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SteelTransition_EU\Add_sectors\Life Cycle Inventory\"/>
    </mc:Choice>
  </mc:AlternateContent>
  <xr:revisionPtr revIDLastSave="0" documentId="13_ncr:1_{8664F7D8-01CB-4A78-A130-0126B5BD7844}" xr6:coauthVersionLast="47" xr6:coauthVersionMax="47" xr10:uidLastSave="{00000000-0000-0000-0000-000000000000}"/>
  <bookViews>
    <workbookView xWindow="-110" yWindow="-110" windowWidth="19420" windowHeight="10300" xr2:uid="{C219F54B-5ED5-42A9-9131-9C02CA4EF00A}"/>
  </bookViews>
  <sheets>
    <sheet name="2030 pathways" sheetId="1" r:id="rId1"/>
    <sheet name="Sensitivity" sheetId="16" r:id="rId2"/>
    <sheet name="CO2&amp;price" sheetId="20" r:id="rId3"/>
    <sheet name="z_2030_GS" sheetId="10" r:id="rId4"/>
    <sheet name="z_2030_REU" sheetId="13" r:id="rId5"/>
    <sheet name="z_2030_GS_sen" sheetId="17" r:id="rId6"/>
    <sheet name="z_2030_REU_sen" sheetId="18" r:id="rId7"/>
    <sheet name="e_2030_sen" sheetId="19" r:id="rId8"/>
    <sheet name="SUT_EU27 total" sheetId="9" r:id="rId9"/>
    <sheet name="Inputs by region H2" sheetId="4" r:id="rId10"/>
    <sheet name="Inputs by region STEEL" sheetId="6" r:id="rId11"/>
    <sheet name="MSUT H2" sheetId="5" r:id="rId12"/>
    <sheet name="MSUT STEEL" sheetId="7" r:id="rId13"/>
  </sheets>
  <externalReferences>
    <externalReference r:id="rId14"/>
    <externalReference r:id="rId15"/>
    <externalReference r:id="rId16"/>
    <externalReference r:id="rId17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20" l="1"/>
  <c r="F35" i="20"/>
  <c r="K35" i="20" s="1"/>
  <c r="F34" i="20"/>
  <c r="K34" i="20" s="1"/>
  <c r="F33" i="20"/>
  <c r="K33" i="20" s="1"/>
  <c r="E36" i="20"/>
  <c r="E35" i="20"/>
  <c r="E34" i="20"/>
  <c r="E33" i="20"/>
  <c r="K36" i="20" l="1"/>
  <c r="F17" i="20" l="1"/>
  <c r="F18" i="20"/>
  <c r="F19" i="20"/>
  <c r="F16" i="20"/>
  <c r="M87" i="16" l="1" a="1"/>
  <c r="M87" i="16" s="1"/>
  <c r="E17" i="20" l="1"/>
  <c r="E18" i="20"/>
  <c r="E19" i="20"/>
  <c r="E16" i="20"/>
  <c r="E8" i="20"/>
  <c r="E9" i="20"/>
  <c r="E10" i="20"/>
  <c r="E7" i="20"/>
  <c r="T27" i="20"/>
  <c r="R27" i="20"/>
  <c r="P27" i="20"/>
  <c r="N27" i="20"/>
  <c r="L27" i="20"/>
  <c r="J27" i="20"/>
  <c r="H27" i="20"/>
  <c r="F27" i="20"/>
  <c r="T26" i="20"/>
  <c r="R26" i="20"/>
  <c r="P26" i="20"/>
  <c r="N26" i="20"/>
  <c r="L26" i="20"/>
  <c r="J26" i="20"/>
  <c r="H26" i="20"/>
  <c r="F26" i="20"/>
  <c r="T25" i="20"/>
  <c r="R25" i="20"/>
  <c r="P25" i="20"/>
  <c r="N25" i="20"/>
  <c r="L25" i="20"/>
  <c r="J25" i="20"/>
  <c r="H25" i="20"/>
  <c r="F25" i="20"/>
  <c r="T24" i="20"/>
  <c r="R24" i="20"/>
  <c r="P24" i="20"/>
  <c r="N24" i="20"/>
  <c r="L24" i="20"/>
  <c r="J24" i="20"/>
  <c r="H24" i="20"/>
  <c r="F24" i="20"/>
  <c r="I12" i="16"/>
  <c r="I13" i="16"/>
  <c r="I14" i="16"/>
  <c r="I15" i="16"/>
  <c r="W27" i="20" l="1"/>
  <c r="W25" i="20"/>
  <c r="W24" i="20"/>
  <c r="W26" i="20"/>
  <c r="V25" i="20"/>
  <c r="V24" i="20"/>
  <c r="V26" i="20"/>
  <c r="V27" i="20"/>
  <c r="G11" i="9" l="1" a="1"/>
  <c r="G11" i="9" s="1"/>
  <c r="J1812" i="18" a="1"/>
  <c r="J1812" i="18" s="1"/>
  <c r="J1510" i="18" a="1"/>
  <c r="J1510" i="18" s="1"/>
  <c r="J1206" i="18" a="1"/>
  <c r="J1206" i="18" s="1"/>
  <c r="J902" i="18" a="1"/>
  <c r="J902" i="18" s="1"/>
  <c r="J598" i="18" a="1"/>
  <c r="J598" i="18" s="1"/>
  <c r="J296" i="18" a="1"/>
  <c r="J296" i="18" s="1"/>
  <c r="J5448" i="17" a="1"/>
  <c r="J5448" i="17" s="1"/>
  <c r="J5146" i="17" a="1"/>
  <c r="J5146" i="17" s="1"/>
  <c r="J4842" i="17" a="1"/>
  <c r="J4842" i="17" s="1"/>
  <c r="J4538" i="17" a="1"/>
  <c r="J4538" i="17" s="1"/>
  <c r="J4234" i="17" a="1"/>
  <c r="J4234" i="17" s="1"/>
  <c r="J3932" i="17" a="1"/>
  <c r="J3932" i="17" s="1"/>
  <c r="J3630" i="17" a="1"/>
  <c r="J3630" i="17" s="1"/>
  <c r="J3328" i="17" a="1"/>
  <c r="J3328" i="17" s="1"/>
  <c r="J3024" i="17" a="1"/>
  <c r="J3024" i="17" s="1"/>
  <c r="J2720" i="17" a="1"/>
  <c r="J2720" i="17" s="1"/>
  <c r="J2416" i="17" a="1"/>
  <c r="J2416" i="17" s="1"/>
  <c r="J2114" i="17" a="1"/>
  <c r="J2114" i="17" s="1"/>
  <c r="J1812" i="17" a="1"/>
  <c r="J1812" i="17" s="1"/>
  <c r="J1510" i="17" a="1"/>
  <c r="J1510" i="17" s="1"/>
  <c r="J1206" i="17" a="1"/>
  <c r="J1206" i="17" s="1"/>
  <c r="J902" i="17" a="1"/>
  <c r="J902" i="17" s="1"/>
  <c r="J598" i="17" a="1"/>
  <c r="J598" i="17" s="1"/>
  <c r="J296" i="17" a="1"/>
  <c r="J296" i="17" s="1"/>
  <c r="J85" i="16" l="1"/>
  <c r="J84" i="16"/>
  <c r="J83" i="16"/>
  <c r="J82" i="16"/>
  <c r="J75" i="16"/>
  <c r="J74" i="16"/>
  <c r="M43" i="16"/>
  <c r="M19" i="16"/>
  <c r="H15" i="16"/>
  <c r="H14" i="16"/>
  <c r="H13" i="16"/>
  <c r="H12" i="16"/>
  <c r="F6" i="16"/>
  <c r="E6" i="16"/>
  <c r="J66" i="16" s="1"/>
  <c r="D6" i="16"/>
  <c r="J846" i="18" l="1" a="1"/>
  <c r="J846" i="18" s="1"/>
  <c r="J4482" i="17" a="1"/>
  <c r="J4482" i="17" s="1"/>
  <c r="J846" i="17" a="1"/>
  <c r="J846" i="17" s="1"/>
  <c r="J2664" i="17" a="1"/>
  <c r="J2664" i="17" s="1"/>
  <c r="J1150" i="18" a="1"/>
  <c r="J1150" i="18" s="1"/>
  <c r="J4786" i="17" a="1"/>
  <c r="J4786" i="17" s="1"/>
  <c r="J2968" i="17" a="1"/>
  <c r="J2968" i="17" s="1"/>
  <c r="J1150" i="17" a="1"/>
  <c r="J1150" i="17" s="1"/>
  <c r="H6" i="19" a="1"/>
  <c r="H6" i="19" s="1"/>
  <c r="H2" i="19" a="1"/>
  <c r="H2" i="19" s="1"/>
  <c r="H14" i="19" a="1"/>
  <c r="H14" i="19" s="1"/>
  <c r="H10" i="19" a="1"/>
  <c r="H10" i="19" s="1"/>
  <c r="J1454" i="18" a="1"/>
  <c r="J1454" i="18" s="1"/>
  <c r="J5090" i="17" a="1"/>
  <c r="J5090" i="17" s="1"/>
  <c r="J3272" i="17" a="1"/>
  <c r="J3272" i="17" s="1"/>
  <c r="J1454" i="17" a="1"/>
  <c r="J1454" i="17" s="1"/>
  <c r="M74" i="16"/>
  <c r="J67" i="16"/>
  <c r="M66" i="16" s="1"/>
  <c r="G5" i="16"/>
  <c r="J88" i="16"/>
  <c r="M20" i="16"/>
  <c r="J18" i="16" s="1"/>
  <c r="J87" i="16"/>
  <c r="J90" i="16"/>
  <c r="J96" i="16"/>
  <c r="J91" i="16"/>
  <c r="J97" i="16"/>
  <c r="M44" i="16"/>
  <c r="J52" i="16" s="1"/>
  <c r="J28" i="16" l="1"/>
  <c r="J36" i="16"/>
  <c r="J77" i="16"/>
  <c r="J78" i="16"/>
  <c r="J80" i="16"/>
  <c r="J81" i="16"/>
  <c r="J79" i="16"/>
  <c r="J76" i="16"/>
  <c r="J69" i="16"/>
  <c r="J71" i="16"/>
  <c r="J72" i="16"/>
  <c r="J68" i="16"/>
  <c r="J73" i="16"/>
  <c r="J70" i="16"/>
  <c r="J32" i="16"/>
  <c r="J20" i="16"/>
  <c r="J30" i="16"/>
  <c r="J24" i="16"/>
  <c r="J38" i="16"/>
  <c r="J22" i="16"/>
  <c r="J40" i="16"/>
  <c r="J34" i="16"/>
  <c r="J26" i="16"/>
  <c r="J86" i="16"/>
  <c r="J95" i="16"/>
  <c r="J89" i="16"/>
  <c r="J62" i="16"/>
  <c r="J54" i="16"/>
  <c r="J46" i="16"/>
  <c r="J56" i="16"/>
  <c r="J42" i="16"/>
  <c r="J60" i="16"/>
  <c r="J44" i="16"/>
  <c r="J58" i="16"/>
  <c r="J50" i="16"/>
  <c r="J64" i="16"/>
  <c r="J48" i="16"/>
  <c r="J1675" i="18" l="1" a="1"/>
  <c r="J1675" i="18" s="1"/>
  <c r="J5311" i="17" a="1"/>
  <c r="J5311" i="17" s="1"/>
  <c r="J3493" i="17" a="1"/>
  <c r="J3493" i="17" s="1"/>
  <c r="J1675" i="17" a="1"/>
  <c r="J1675" i="17" s="1"/>
  <c r="J1560" i="18" a="1"/>
  <c r="J1560" i="18" s="1"/>
  <c r="J5196" i="17" a="1"/>
  <c r="J5196" i="17" s="1"/>
  <c r="J3378" i="17" a="1"/>
  <c r="J3378" i="17" s="1"/>
  <c r="J1560" i="17" a="1"/>
  <c r="J1560" i="17" s="1"/>
  <c r="J5157" i="17" a="1"/>
  <c r="J5157" i="17" s="1"/>
  <c r="J1521" i="18" a="1"/>
  <c r="J1521" i="18" s="1"/>
  <c r="J3339" i="17" a="1"/>
  <c r="J3339" i="17" s="1"/>
  <c r="J1521" i="17" a="1"/>
  <c r="J1521" i="17" s="1"/>
  <c r="J840" i="18" a="1"/>
  <c r="J840" i="18" s="1"/>
  <c r="J4476" i="17" a="1"/>
  <c r="J4476" i="17" s="1"/>
  <c r="J2658" i="17" a="1"/>
  <c r="J2658" i="17" s="1"/>
  <c r="J840" i="17" a="1"/>
  <c r="J840" i="17" s="1"/>
  <c r="G12" i="4" a="1"/>
  <c r="G12" i="4" s="1"/>
  <c r="AD52" i="5" l="1"/>
  <c r="BA7" i="5"/>
  <c r="BA6" i="5"/>
  <c r="H17" i="9" a="1"/>
  <c r="H17" i="9" s="1"/>
  <c r="E9" i="9" a="1"/>
  <c r="E9" i="9" s="1"/>
  <c r="R4" i="9" a="1"/>
  <c r="R4" i="9" s="1"/>
  <c r="AF122" i="5"/>
  <c r="AF121" i="5"/>
  <c r="AF120" i="5"/>
  <c r="AF119" i="5"/>
  <c r="AE126" i="5"/>
  <c r="AE125" i="5"/>
  <c r="AE124" i="5"/>
  <c r="AE122" i="5"/>
  <c r="AE121" i="5"/>
  <c r="AE120" i="5"/>
  <c r="AE119" i="5"/>
  <c r="AD122" i="5"/>
  <c r="AD121" i="5"/>
  <c r="AD120" i="5"/>
  <c r="AF110" i="5"/>
  <c r="AF109" i="5"/>
  <c r="AF108" i="5"/>
  <c r="AF107" i="5"/>
  <c r="AE110" i="5"/>
  <c r="AE109" i="5"/>
  <c r="AE108" i="5"/>
  <c r="AE107" i="5"/>
  <c r="AD110" i="5"/>
  <c r="AD109" i="5"/>
  <c r="AD108" i="5"/>
  <c r="AF98" i="5"/>
  <c r="AF97" i="5"/>
  <c r="AF96" i="5"/>
  <c r="AF95" i="5"/>
  <c r="AE98" i="5"/>
  <c r="AE97" i="5"/>
  <c r="AE96" i="5"/>
  <c r="AE95" i="5"/>
  <c r="AD98" i="5"/>
  <c r="AD97" i="5"/>
  <c r="AD96" i="5"/>
  <c r="AF86" i="5"/>
  <c r="AF85" i="5"/>
  <c r="AF84" i="5"/>
  <c r="AF83" i="5"/>
  <c r="AE86" i="5"/>
  <c r="AE85" i="5"/>
  <c r="AE84" i="5"/>
  <c r="AE83" i="5"/>
  <c r="AD86" i="5"/>
  <c r="AD85" i="5"/>
  <c r="AD84" i="5"/>
  <c r="AF74" i="5"/>
  <c r="AF73" i="5"/>
  <c r="AF72" i="5"/>
  <c r="AF71" i="5"/>
  <c r="AE74" i="5"/>
  <c r="AE73" i="5"/>
  <c r="AE72" i="5"/>
  <c r="AE71" i="5"/>
  <c r="AD74" i="5"/>
  <c r="AD73" i="5"/>
  <c r="AD72" i="5"/>
  <c r="AF59" i="5"/>
  <c r="AE59" i="5"/>
  <c r="AC122" i="5"/>
  <c r="AC121" i="5"/>
  <c r="AC120" i="5"/>
  <c r="AC110" i="5"/>
  <c r="AC109" i="5"/>
  <c r="AC108" i="5"/>
  <c r="AC100" i="5"/>
  <c r="AC98" i="5"/>
  <c r="AC97" i="5"/>
  <c r="AC96" i="5"/>
  <c r="AC88" i="5"/>
  <c r="AC86" i="5"/>
  <c r="AC85" i="5"/>
  <c r="AC84" i="5"/>
  <c r="AC76" i="5"/>
  <c r="AC74" i="5"/>
  <c r="AC73" i="5"/>
  <c r="AC72" i="5"/>
  <c r="AC64" i="5"/>
  <c r="AC52" i="5"/>
  <c r="H31" i="5"/>
  <c r="AD88" i="5" l="1"/>
  <c r="AD100" i="5"/>
  <c r="AD64" i="5"/>
  <c r="AD112" i="5"/>
  <c r="AD76" i="5"/>
  <c r="G30" i="5"/>
  <c r="AB140" i="7" l="1"/>
  <c r="AB128" i="7"/>
  <c r="AB116" i="7"/>
  <c r="AB104" i="7"/>
  <c r="AB92" i="7"/>
  <c r="AB80" i="7"/>
  <c r="I296" i="13" l="1" a="1"/>
  <c r="I296" i="13" s="1"/>
  <c r="I296" i="10" a="1"/>
  <c r="I296" i="10" s="1"/>
  <c r="I598" i="10" a="1"/>
  <c r="I598" i="10" s="1"/>
  <c r="I900" i="10" a="1"/>
  <c r="I900" i="10" s="1"/>
  <c r="H17" i="1"/>
  <c r="I17" i="1"/>
  <c r="E17" i="1" a="1"/>
  <c r="E17" i="1" s="1"/>
  <c r="D17" i="1"/>
  <c r="C17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AA140" i="7" l="1"/>
  <c r="AA128" i="7"/>
  <c r="AA116" i="7"/>
  <c r="AA104" i="7"/>
  <c r="AA92" i="7"/>
  <c r="AA80" i="7"/>
  <c r="X140" i="7"/>
  <c r="X128" i="7"/>
  <c r="X116" i="7"/>
  <c r="X104" i="7"/>
  <c r="X92" i="7"/>
  <c r="X80" i="7"/>
  <c r="CF33" i="7"/>
  <c r="CF34" i="7"/>
  <c r="CF35" i="7"/>
  <c r="CF36" i="7"/>
  <c r="CF37" i="7"/>
  <c r="CF38" i="7"/>
  <c r="CF39" i="7"/>
  <c r="CF40" i="7"/>
  <c r="CF41" i="7"/>
  <c r="CF42" i="7"/>
  <c r="CF43" i="7"/>
  <c r="CF44" i="7"/>
  <c r="CF45" i="7"/>
  <c r="CF46" i="7"/>
  <c r="CF47" i="7"/>
  <c r="CF48" i="7"/>
  <c r="CF49" i="7"/>
  <c r="CF50" i="7"/>
  <c r="CF51" i="7"/>
  <c r="CF52" i="7"/>
  <c r="CF53" i="7"/>
  <c r="CF54" i="7"/>
  <c r="CF55" i="7"/>
  <c r="CF56" i="7"/>
  <c r="CF57" i="7"/>
  <c r="CF58" i="7"/>
  <c r="CF59" i="7"/>
  <c r="CF60" i="7"/>
  <c r="CF61" i="7"/>
  <c r="CF62" i="7"/>
  <c r="CF63" i="7"/>
  <c r="CF64" i="7"/>
  <c r="CF65" i="7"/>
  <c r="CF66" i="7"/>
  <c r="CF67" i="7"/>
  <c r="CF68" i="7"/>
  <c r="CF69" i="7"/>
  <c r="CF70" i="7"/>
  <c r="CF71" i="7"/>
  <c r="CF72" i="7"/>
  <c r="CF73" i="7"/>
  <c r="AC148" i="7"/>
  <c r="AB148" i="7"/>
  <c r="AA148" i="7"/>
  <c r="X148" i="7"/>
  <c r="J17" i="1" l="1"/>
  <c r="G8" i="6" l="1" a="1"/>
  <c r="G8" i="6" s="1"/>
  <c r="M114" i="4" l="1"/>
  <c r="D219" i="4"/>
  <c r="D172" i="4" s="1"/>
  <c r="D200" i="4"/>
  <c r="D171" i="4" s="1"/>
  <c r="G104" i="4" s="1"/>
  <c r="D257" i="4" l="1"/>
  <c r="D181" i="4" s="1"/>
  <c r="D238" i="4"/>
  <c r="D178" i="4" s="1"/>
  <c r="H104" i="4" s="1" a="1"/>
  <c r="H104" i="4" s="1"/>
  <c r="K108" i="4"/>
  <c r="J108" i="4"/>
  <c r="I108" i="4"/>
  <c r="H108" i="4"/>
  <c r="M108" i="4"/>
  <c r="G102" i="4"/>
  <c r="G106" i="4" s="1"/>
  <c r="H102" i="4" a="1"/>
  <c r="H102" i="4" s="1"/>
  <c r="G43" i="6"/>
  <c r="G42" i="6"/>
  <c r="G41" i="6" s="1"/>
  <c r="G36" i="6" s="1"/>
  <c r="G73" i="4"/>
  <c r="G74" i="4"/>
  <c r="G12" i="6" a="1"/>
  <c r="G12" i="6" s="1"/>
  <c r="G13" i="6" l="1" a="1"/>
  <c r="G13" i="6" s="1"/>
  <c r="Z85" i="7" s="1"/>
  <c r="G37" i="6"/>
  <c r="K109" i="4"/>
  <c r="J109" i="4"/>
  <c r="I109" i="4"/>
  <c r="L104" i="4"/>
  <c r="L102" i="4"/>
  <c r="H106" i="4"/>
  <c r="H111" i="4" s="1"/>
  <c r="H109" i="4"/>
  <c r="J106" i="4"/>
  <c r="J111" i="4" s="1"/>
  <c r="I106" i="4"/>
  <c r="I111" i="4" s="1"/>
  <c r="K106" i="4"/>
  <c r="K111" i="4" s="1"/>
  <c r="G72" i="4"/>
  <c r="G67" i="4" s="1"/>
  <c r="G15" i="4" s="1" a="1"/>
  <c r="G68" i="4"/>
  <c r="Z147" i="7"/>
  <c r="Z146" i="7"/>
  <c r="Z145" i="7"/>
  <c r="Z137" i="7"/>
  <c r="Z135" i="7"/>
  <c r="Z134" i="7"/>
  <c r="Z133" i="7"/>
  <c r="Z125" i="7"/>
  <c r="Z123" i="7"/>
  <c r="Z122" i="7"/>
  <c r="Z121" i="7"/>
  <c r="Z113" i="7"/>
  <c r="Z111" i="7"/>
  <c r="Z110" i="7"/>
  <c r="Z109" i="7"/>
  <c r="Z101" i="7"/>
  <c r="Z99" i="7"/>
  <c r="Z98" i="7"/>
  <c r="Z97" i="7"/>
  <c r="Z89" i="7"/>
  <c r="Z77" i="7"/>
  <c r="Y137" i="7"/>
  <c r="Y125" i="7"/>
  <c r="Y113" i="7"/>
  <c r="Y101" i="7"/>
  <c r="Y89" i="7"/>
  <c r="Y77" i="7"/>
  <c r="G6" i="16" l="1"/>
  <c r="G15" i="4"/>
  <c r="AD61" i="5"/>
  <c r="AF62" i="5"/>
  <c r="AE61" i="5"/>
  <c r="AF61" i="5"/>
  <c r="AC62" i="5"/>
  <c r="AE62" i="5"/>
  <c r="AC61" i="5"/>
  <c r="AD62" i="5"/>
  <c r="L106" i="4"/>
  <c r="E3" i="9" a="1"/>
  <c r="E3" i="9" s="1"/>
  <c r="E2" i="9" a="1"/>
  <c r="E2" i="9" s="1"/>
  <c r="E1" i="9" a="1"/>
  <c r="E1" i="9" s="1"/>
  <c r="E154" i="7" a="1"/>
  <c r="E154" i="7" s="1"/>
  <c r="E153" i="7" a="1"/>
  <c r="E153" i="7" s="1"/>
  <c r="E152" i="7" a="1"/>
  <c r="E152" i="7" s="1"/>
  <c r="V150" i="7"/>
  <c r="U150" i="7"/>
  <c r="T150" i="7"/>
  <c r="S150" i="7"/>
  <c r="R150" i="7"/>
  <c r="Q150" i="7"/>
  <c r="P150" i="7"/>
  <c r="O150" i="7"/>
  <c r="N150" i="7"/>
  <c r="M150" i="7"/>
  <c r="L150" i="7"/>
  <c r="K150" i="7"/>
  <c r="J150" i="7"/>
  <c r="I150" i="7"/>
  <c r="H150" i="7"/>
  <c r="Z148" i="7"/>
  <c r="Y148" i="7"/>
  <c r="CF75" i="7"/>
  <c r="CF74" i="7"/>
  <c r="CF32" i="7"/>
  <c r="CF31" i="7"/>
  <c r="CF21" i="7"/>
  <c r="CF20" i="7"/>
  <c r="CF19" i="7"/>
  <c r="CF18" i="7"/>
  <c r="CF17" i="7"/>
  <c r="CF16" i="7"/>
  <c r="CF15" i="7"/>
  <c r="CF14" i="7"/>
  <c r="CF13" i="7"/>
  <c r="CF12" i="7"/>
  <c r="CF11" i="7"/>
  <c r="CF10" i="7"/>
  <c r="CF9" i="7"/>
  <c r="CF8" i="7"/>
  <c r="CF7" i="7"/>
  <c r="E2" i="7" a="1"/>
  <c r="E2" i="7" s="1"/>
  <c r="E1" i="7" a="1"/>
  <c r="E1" i="7" s="1"/>
  <c r="M157" i="6"/>
  <c r="K154" i="6"/>
  <c r="J154" i="6"/>
  <c r="I154" i="6"/>
  <c r="H154" i="6"/>
  <c r="L153" i="6"/>
  <c r="L154" i="6" s="1"/>
  <c r="G153" i="6"/>
  <c r="G154" i="6" s="1"/>
  <c r="K152" i="6"/>
  <c r="J152" i="6"/>
  <c r="H152" i="6"/>
  <c r="G151" i="6"/>
  <c r="L151" i="6" s="1"/>
  <c r="L152" i="6" s="1"/>
  <c r="K150" i="6"/>
  <c r="J150" i="6"/>
  <c r="I150" i="6"/>
  <c r="H150" i="6"/>
  <c r="G149" i="6"/>
  <c r="G150" i="6" s="1"/>
  <c r="K148" i="6"/>
  <c r="J148" i="6"/>
  <c r="I148" i="6"/>
  <c r="H148" i="6"/>
  <c r="L147" i="6"/>
  <c r="L148" i="6" s="1"/>
  <c r="G147" i="6"/>
  <c r="G148" i="6" s="1"/>
  <c r="K146" i="6"/>
  <c r="J146" i="6"/>
  <c r="I146" i="6"/>
  <c r="H146" i="6"/>
  <c r="G145" i="6"/>
  <c r="L145" i="6" s="1"/>
  <c r="K144" i="6"/>
  <c r="J144" i="6"/>
  <c r="I144" i="6"/>
  <c r="H144" i="6"/>
  <c r="L143" i="6"/>
  <c r="L144" i="6" s="1"/>
  <c r="G143" i="6"/>
  <c r="K142" i="6"/>
  <c r="J142" i="6"/>
  <c r="I142" i="6"/>
  <c r="G141" i="6"/>
  <c r="G142" i="6" s="1"/>
  <c r="K140" i="6"/>
  <c r="J140" i="6"/>
  <c r="I140" i="6"/>
  <c r="G139" i="6"/>
  <c r="G140" i="6" s="1"/>
  <c r="K138" i="6"/>
  <c r="J138" i="6"/>
  <c r="I138" i="6"/>
  <c r="H138" i="6"/>
  <c r="L137" i="6"/>
  <c r="L138" i="6" s="1"/>
  <c r="G137" i="6"/>
  <c r="G138" i="6" s="1"/>
  <c r="K136" i="6"/>
  <c r="J136" i="6"/>
  <c r="I136" i="6"/>
  <c r="H136" i="6"/>
  <c r="L135" i="6"/>
  <c r="L136" i="6" s="1"/>
  <c r="G135" i="6"/>
  <c r="G136" i="6" s="1"/>
  <c r="K134" i="6"/>
  <c r="J134" i="6"/>
  <c r="I134" i="6"/>
  <c r="H134" i="6"/>
  <c r="L133" i="6"/>
  <c r="L134" i="6" s="1"/>
  <c r="G133" i="6"/>
  <c r="G134" i="6" s="1"/>
  <c r="K132" i="6"/>
  <c r="J132" i="6"/>
  <c r="I132" i="6"/>
  <c r="H132" i="6"/>
  <c r="G131" i="6"/>
  <c r="G132" i="6" s="1"/>
  <c r="K130" i="6"/>
  <c r="I130" i="6"/>
  <c r="G129" i="6"/>
  <c r="G130" i="6" s="1"/>
  <c r="K128" i="6"/>
  <c r="J128" i="6"/>
  <c r="I128" i="6"/>
  <c r="H128" i="6"/>
  <c r="L127" i="6"/>
  <c r="L128" i="6" s="1"/>
  <c r="G127" i="6"/>
  <c r="G128" i="6" s="1"/>
  <c r="K126" i="6"/>
  <c r="J126" i="6"/>
  <c r="G125" i="6"/>
  <c r="H125" i="6" s="1"/>
  <c r="H126" i="6" s="1"/>
  <c r="K124" i="6"/>
  <c r="J124" i="6"/>
  <c r="I124" i="6"/>
  <c r="H124" i="6"/>
  <c r="L123" i="6"/>
  <c r="L124" i="6" s="1"/>
  <c r="G123" i="6"/>
  <c r="G124" i="6" s="1"/>
  <c r="K122" i="6"/>
  <c r="I122" i="6"/>
  <c r="H122" i="6"/>
  <c r="G121" i="6"/>
  <c r="G122" i="6" s="1"/>
  <c r="K120" i="6"/>
  <c r="J120" i="6"/>
  <c r="I120" i="6"/>
  <c r="H120" i="6"/>
  <c r="G119" i="6"/>
  <c r="G120" i="6" s="1"/>
  <c r="K118" i="6"/>
  <c r="J118" i="6"/>
  <c r="I118" i="6"/>
  <c r="H118" i="6"/>
  <c r="L117" i="6"/>
  <c r="L118" i="6" s="1"/>
  <c r="G117" i="6"/>
  <c r="G118" i="6" s="1"/>
  <c r="K116" i="6"/>
  <c r="J116" i="6"/>
  <c r="I116" i="6"/>
  <c r="H116" i="6"/>
  <c r="L115" i="6"/>
  <c r="L116" i="6" s="1"/>
  <c r="G115" i="6"/>
  <c r="G116" i="6" s="1"/>
  <c r="K114" i="6"/>
  <c r="J114" i="6"/>
  <c r="I114" i="6"/>
  <c r="H114" i="6"/>
  <c r="L113" i="6"/>
  <c r="L114" i="6" s="1"/>
  <c r="G113" i="6"/>
  <c r="K112" i="6"/>
  <c r="H112" i="6"/>
  <c r="G111" i="6"/>
  <c r="K110" i="6"/>
  <c r="J110" i="6"/>
  <c r="I110" i="6"/>
  <c r="H110" i="6"/>
  <c r="L109" i="6"/>
  <c r="L110" i="6" s="1"/>
  <c r="G109" i="6"/>
  <c r="K108" i="6"/>
  <c r="J108" i="6"/>
  <c r="I108" i="6"/>
  <c r="H108" i="6"/>
  <c r="L107" i="6"/>
  <c r="L108" i="6" s="1"/>
  <c r="G107" i="6"/>
  <c r="G108" i="6" s="1"/>
  <c r="K106" i="6"/>
  <c r="J106" i="6"/>
  <c r="I106" i="6"/>
  <c r="H106" i="6"/>
  <c r="L105" i="6"/>
  <c r="L106" i="6" s="1"/>
  <c r="G105" i="6"/>
  <c r="G106" i="6" s="1"/>
  <c r="K104" i="6"/>
  <c r="J104" i="6"/>
  <c r="I104" i="6"/>
  <c r="H104" i="6"/>
  <c r="L103" i="6"/>
  <c r="L104" i="6" s="1"/>
  <c r="G103" i="6"/>
  <c r="G104" i="6" s="1"/>
  <c r="K102" i="6"/>
  <c r="J102" i="6"/>
  <c r="I102" i="6"/>
  <c r="H102" i="6"/>
  <c r="L101" i="6"/>
  <c r="L102" i="6" s="1"/>
  <c r="G101" i="6"/>
  <c r="M96" i="6"/>
  <c r="L93" i="6"/>
  <c r="K93" i="6"/>
  <c r="J93" i="6"/>
  <c r="H93" i="6"/>
  <c r="I92" i="6"/>
  <c r="I93" i="6" s="1"/>
  <c r="G92" i="6"/>
  <c r="G93" i="6" s="1"/>
  <c r="L91" i="6"/>
  <c r="K91" i="6"/>
  <c r="J91" i="6"/>
  <c r="I91" i="6"/>
  <c r="H91" i="6"/>
  <c r="G90" i="6"/>
  <c r="G91" i="6" s="1"/>
  <c r="K89" i="6"/>
  <c r="J89" i="6"/>
  <c r="I89" i="6"/>
  <c r="H89" i="6"/>
  <c r="L88" i="6"/>
  <c r="L89" i="6" s="1"/>
  <c r="G88" i="6"/>
  <c r="G89" i="6" s="1"/>
  <c r="K87" i="6"/>
  <c r="J87" i="6"/>
  <c r="I87" i="6"/>
  <c r="H87" i="6"/>
  <c r="L86" i="6"/>
  <c r="L87" i="6" s="1"/>
  <c r="G86" i="6"/>
  <c r="G87" i="6" s="1"/>
  <c r="K85" i="6"/>
  <c r="J85" i="6"/>
  <c r="I85" i="6"/>
  <c r="H85" i="6"/>
  <c r="L84" i="6"/>
  <c r="L85" i="6" s="1"/>
  <c r="G84" i="6"/>
  <c r="G85" i="6" s="1"/>
  <c r="K83" i="6"/>
  <c r="J83" i="6"/>
  <c r="I83" i="6"/>
  <c r="H83" i="6"/>
  <c r="L82" i="6"/>
  <c r="L83" i="6" s="1"/>
  <c r="G82" i="6"/>
  <c r="K81" i="6"/>
  <c r="J81" i="6"/>
  <c r="I81" i="6"/>
  <c r="H81" i="6"/>
  <c r="L80" i="6"/>
  <c r="L81" i="6" s="1"/>
  <c r="G80" i="6"/>
  <c r="G81" i="6" s="1"/>
  <c r="K79" i="6"/>
  <c r="J79" i="6"/>
  <c r="I79" i="6"/>
  <c r="H79" i="6"/>
  <c r="L78" i="6"/>
  <c r="L79" i="6" s="1"/>
  <c r="G78" i="6"/>
  <c r="L77" i="6"/>
  <c r="K77" i="6"/>
  <c r="J77" i="6"/>
  <c r="I77" i="6"/>
  <c r="H77" i="6"/>
  <c r="G76" i="6"/>
  <c r="G77" i="6" s="1"/>
  <c r="K75" i="6"/>
  <c r="J75" i="6"/>
  <c r="I75" i="6"/>
  <c r="H75" i="6"/>
  <c r="L74" i="6"/>
  <c r="L75" i="6" s="1"/>
  <c r="G74" i="6"/>
  <c r="G75" i="6" s="1"/>
  <c r="L73" i="6"/>
  <c r="K73" i="6"/>
  <c r="J73" i="6"/>
  <c r="I73" i="6"/>
  <c r="H73" i="6"/>
  <c r="G72" i="6"/>
  <c r="G73" i="6" s="1"/>
  <c r="K71" i="6"/>
  <c r="J71" i="6"/>
  <c r="I71" i="6"/>
  <c r="H71" i="6"/>
  <c r="L70" i="6"/>
  <c r="L71" i="6" s="1"/>
  <c r="G70" i="6"/>
  <c r="G71" i="6" s="1"/>
  <c r="K69" i="6"/>
  <c r="J69" i="6"/>
  <c r="I69" i="6"/>
  <c r="H69" i="6"/>
  <c r="L68" i="6"/>
  <c r="L69" i="6" s="1"/>
  <c r="G68" i="6"/>
  <c r="G69" i="6" s="1"/>
  <c r="L67" i="6"/>
  <c r="K67" i="6"/>
  <c r="J67" i="6"/>
  <c r="I67" i="6"/>
  <c r="H67" i="6"/>
  <c r="G66" i="6"/>
  <c r="G67" i="6" s="1"/>
  <c r="K65" i="6"/>
  <c r="J65" i="6"/>
  <c r="I65" i="6"/>
  <c r="H65" i="6"/>
  <c r="L64" i="6"/>
  <c r="L65" i="6" s="1"/>
  <c r="G64" i="6"/>
  <c r="G65" i="6" s="1"/>
  <c r="L63" i="6"/>
  <c r="K63" i="6"/>
  <c r="J63" i="6"/>
  <c r="I63" i="6"/>
  <c r="H63" i="6"/>
  <c r="G62" i="6"/>
  <c r="G63" i="6" s="1"/>
  <c r="K61" i="6"/>
  <c r="J61" i="6"/>
  <c r="I61" i="6"/>
  <c r="H61" i="6"/>
  <c r="L60" i="6"/>
  <c r="L61" i="6" s="1"/>
  <c r="G60" i="6"/>
  <c r="G61" i="6" s="1"/>
  <c r="L59" i="6"/>
  <c r="K59" i="6"/>
  <c r="J59" i="6"/>
  <c r="I59" i="6"/>
  <c r="H59" i="6"/>
  <c r="G58" i="6"/>
  <c r="M58" i="6" s="1"/>
  <c r="K57" i="6"/>
  <c r="J57" i="6"/>
  <c r="I57" i="6"/>
  <c r="H57" i="6"/>
  <c r="L56" i="6"/>
  <c r="G56" i="6"/>
  <c r="G57" i="6" s="1"/>
  <c r="K55" i="6"/>
  <c r="J55" i="6"/>
  <c r="I55" i="6"/>
  <c r="H55" i="6"/>
  <c r="L54" i="6"/>
  <c r="L55" i="6" s="1"/>
  <c r="G54" i="6"/>
  <c r="G55" i="6" s="1"/>
  <c r="K53" i="6"/>
  <c r="J53" i="6"/>
  <c r="I53" i="6"/>
  <c r="H53" i="6"/>
  <c r="L52" i="6"/>
  <c r="L53" i="6" s="1"/>
  <c r="G52" i="6"/>
  <c r="G53" i="6" s="1"/>
  <c r="L51" i="6"/>
  <c r="K51" i="6"/>
  <c r="J51" i="6"/>
  <c r="I51" i="6"/>
  <c r="H51" i="6"/>
  <c r="G50" i="6"/>
  <c r="G51" i="6" s="1"/>
  <c r="K49" i="6"/>
  <c r="J49" i="6"/>
  <c r="I49" i="6"/>
  <c r="H49" i="6"/>
  <c r="L48" i="6"/>
  <c r="L49" i="6" s="1"/>
  <c r="G48" i="6"/>
  <c r="G49" i="6" s="1"/>
  <c r="G23" i="6"/>
  <c r="G21" i="6"/>
  <c r="L9" i="6"/>
  <c r="K9" i="6"/>
  <c r="J9" i="6"/>
  <c r="I9" i="6"/>
  <c r="H9" i="6"/>
  <c r="G9" i="6"/>
  <c r="M6" i="6"/>
  <c r="K5" i="6"/>
  <c r="J5" i="6"/>
  <c r="I5" i="6"/>
  <c r="H5" i="6"/>
  <c r="G5" i="6"/>
  <c r="J33" i="16" l="1"/>
  <c r="J57" i="16"/>
  <c r="J21" i="16"/>
  <c r="J45" i="16"/>
  <c r="AB93" i="7"/>
  <c r="AA93" i="7"/>
  <c r="J31" i="16"/>
  <c r="J55" i="16"/>
  <c r="J19" i="16"/>
  <c r="J43" i="16"/>
  <c r="AB81" i="7"/>
  <c r="AA81" i="7"/>
  <c r="J23" i="16"/>
  <c r="J35" i="16"/>
  <c r="J47" i="16"/>
  <c r="J59" i="16"/>
  <c r="AB105" i="7"/>
  <c r="AA105" i="7"/>
  <c r="J25" i="16"/>
  <c r="J37" i="16"/>
  <c r="J61" i="16"/>
  <c r="J49" i="16"/>
  <c r="AB117" i="7"/>
  <c r="AA117" i="7"/>
  <c r="J65" i="16"/>
  <c r="J29" i="16"/>
  <c r="J53" i="16"/>
  <c r="J41" i="16"/>
  <c r="AB141" i="7"/>
  <c r="AA141" i="7"/>
  <c r="J27" i="16"/>
  <c r="J51" i="16"/>
  <c r="J39" i="16"/>
  <c r="J63" i="16"/>
  <c r="AB129" i="7"/>
  <c r="AA129" i="7"/>
  <c r="AF60" i="5"/>
  <c r="AE60" i="5"/>
  <c r="AD60" i="5"/>
  <c r="AC60" i="5"/>
  <c r="M78" i="6"/>
  <c r="M101" i="6"/>
  <c r="M109" i="6"/>
  <c r="M82" i="6"/>
  <c r="M133" i="6"/>
  <c r="L131" i="6"/>
  <c r="L132" i="6" s="1"/>
  <c r="M143" i="6"/>
  <c r="H96" i="6"/>
  <c r="H95" i="6" s="1"/>
  <c r="M56" i="6"/>
  <c r="G102" i="6"/>
  <c r="M70" i="6"/>
  <c r="L119" i="6"/>
  <c r="L120" i="6" s="1"/>
  <c r="Y88" i="7"/>
  <c r="Z88" i="7"/>
  <c r="L5" i="6"/>
  <c r="M5" i="6" s="1"/>
  <c r="Z100" i="7"/>
  <c r="Y100" i="7"/>
  <c r="Z112" i="7"/>
  <c r="Y112" i="7"/>
  <c r="Z128" i="7"/>
  <c r="Y128" i="7"/>
  <c r="K157" i="6"/>
  <c r="K156" i="6" s="1"/>
  <c r="I96" i="6"/>
  <c r="I95" i="6" s="1"/>
  <c r="M62" i="6"/>
  <c r="M90" i="6"/>
  <c r="M105" i="6"/>
  <c r="M123" i="6"/>
  <c r="I125" i="6"/>
  <c r="I126" i="6" s="1"/>
  <c r="Y96" i="7"/>
  <c r="Z120" i="7"/>
  <c r="Y120" i="7"/>
  <c r="Z144" i="7"/>
  <c r="Z108" i="7"/>
  <c r="Y144" i="7"/>
  <c r="Y108" i="7"/>
  <c r="Z96" i="7"/>
  <c r="Y132" i="7"/>
  <c r="Z132" i="7"/>
  <c r="J96" i="6"/>
  <c r="J95" i="6" s="1"/>
  <c r="M52" i="6"/>
  <c r="G59" i="6"/>
  <c r="M60" i="6"/>
  <c r="M72" i="6"/>
  <c r="M86" i="6"/>
  <c r="M92" i="6"/>
  <c r="M113" i="6"/>
  <c r="M117" i="6"/>
  <c r="M153" i="6"/>
  <c r="Y140" i="7"/>
  <c r="Z140" i="7"/>
  <c r="K96" i="6"/>
  <c r="K95" i="6" s="1"/>
  <c r="Z76" i="7"/>
  <c r="Y76" i="7"/>
  <c r="M9" i="6"/>
  <c r="Y92" i="7"/>
  <c r="Z92" i="7"/>
  <c r="M54" i="6"/>
  <c r="M84" i="6"/>
  <c r="G114" i="6"/>
  <c r="G152" i="6"/>
  <c r="Z124" i="7"/>
  <c r="Y124" i="7"/>
  <c r="Y80" i="7"/>
  <c r="Z80" i="7"/>
  <c r="Y104" i="7"/>
  <c r="Z104" i="7"/>
  <c r="G24" i="6"/>
  <c r="G28" i="6" s="1"/>
  <c r="G83" i="6"/>
  <c r="G144" i="6"/>
  <c r="Z103" i="7"/>
  <c r="Y139" i="7"/>
  <c r="Y103" i="7"/>
  <c r="Z127" i="7"/>
  <c r="Z91" i="7"/>
  <c r="Y127" i="7"/>
  <c r="Y91" i="7"/>
  <c r="Z115" i="7"/>
  <c r="Z139" i="7"/>
  <c r="Y115" i="7"/>
  <c r="Z116" i="7"/>
  <c r="Y116" i="7"/>
  <c r="G79" i="6"/>
  <c r="M80" i="6"/>
  <c r="G110" i="6"/>
  <c r="L111" i="6"/>
  <c r="L112" i="6" s="1"/>
  <c r="M127" i="6"/>
  <c r="BY155" i="7" a="1"/>
  <c r="BY155" i="7" s="1"/>
  <c r="L146" i="6"/>
  <c r="M145" i="6"/>
  <c r="M64" i="6"/>
  <c r="M66" i="6"/>
  <c r="G112" i="6"/>
  <c r="L125" i="6"/>
  <c r="L126" i="6" s="1"/>
  <c r="M135" i="6"/>
  <c r="G146" i="6"/>
  <c r="M147" i="6"/>
  <c r="L149" i="6"/>
  <c r="L150" i="6" s="1"/>
  <c r="M68" i="6"/>
  <c r="M88" i="6"/>
  <c r="M103" i="6"/>
  <c r="M115" i="6"/>
  <c r="M137" i="6"/>
  <c r="H139" i="6"/>
  <c r="H140" i="6" s="1"/>
  <c r="I151" i="6"/>
  <c r="G126" i="6"/>
  <c r="H129" i="6"/>
  <c r="L139" i="6"/>
  <c r="L140" i="6" s="1"/>
  <c r="M48" i="6"/>
  <c r="M50" i="6"/>
  <c r="M74" i="6"/>
  <c r="M76" i="6"/>
  <c r="M107" i="6"/>
  <c r="J121" i="6"/>
  <c r="J129" i="6"/>
  <c r="J130" i="6" s="1"/>
  <c r="H141" i="6"/>
  <c r="L57" i="6"/>
  <c r="L96" i="6" s="1"/>
  <c r="L95" i="6" s="1"/>
  <c r="L121" i="6"/>
  <c r="L122" i="6" s="1"/>
  <c r="L129" i="6"/>
  <c r="L130" i="6" s="1"/>
  <c r="L141" i="6"/>
  <c r="L142" i="6" s="1"/>
  <c r="J2332" i="17" l="1" a="1"/>
  <c r="J2332" i="17" s="1"/>
  <c r="J514" i="18" a="1"/>
  <c r="J514" i="18" s="1"/>
  <c r="J514" i="17" a="1"/>
  <c r="J514" i="17" s="1"/>
  <c r="J4150" i="17" a="1"/>
  <c r="J4150" i="17" s="1"/>
  <c r="J212" i="18" a="1"/>
  <c r="J212" i="18" s="1"/>
  <c r="J212" i="17" a="1"/>
  <c r="J212" i="17" s="1"/>
  <c r="J3848" i="17" a="1"/>
  <c r="J3848" i="17" s="1"/>
  <c r="J2030" i="17" a="1"/>
  <c r="J2030" i="17" s="1"/>
  <c r="M119" i="6"/>
  <c r="M131" i="6"/>
  <c r="G96" i="6"/>
  <c r="G95" i="6" s="1"/>
  <c r="G7" i="6" s="1" a="1"/>
  <c r="M149" i="6"/>
  <c r="M139" i="6"/>
  <c r="G157" i="6"/>
  <c r="G156" i="6" s="1"/>
  <c r="M8" i="6"/>
  <c r="Z79" i="7"/>
  <c r="Y79" i="7"/>
  <c r="Y136" i="7"/>
  <c r="Z136" i="7"/>
  <c r="G27" i="6"/>
  <c r="J111" i="6"/>
  <c r="J112" i="6" s="1"/>
  <c r="G26" i="6"/>
  <c r="M12" i="6"/>
  <c r="Z84" i="7"/>
  <c r="Y84" i="7"/>
  <c r="I111" i="6"/>
  <c r="L157" i="6"/>
  <c r="L156" i="6" s="1"/>
  <c r="M141" i="6"/>
  <c r="H142" i="6"/>
  <c r="M121" i="6"/>
  <c r="J122" i="6"/>
  <c r="M125" i="6"/>
  <c r="M129" i="6"/>
  <c r="H130" i="6"/>
  <c r="I152" i="6"/>
  <c r="M151" i="6"/>
  <c r="J157" i="6" l="1"/>
  <c r="J156" i="6" s="1"/>
  <c r="G29" i="6"/>
  <c r="I112" i="6"/>
  <c r="I157" i="6" s="1"/>
  <c r="I156" i="6" s="1"/>
  <c r="M111" i="6"/>
  <c r="H157" i="6"/>
  <c r="H156" i="6" s="1"/>
  <c r="G7" i="6"/>
  <c r="Z138" i="7"/>
  <c r="Z102" i="7"/>
  <c r="Y138" i="7"/>
  <c r="Y102" i="7"/>
  <c r="Z126" i="7"/>
  <c r="Z90" i="7"/>
  <c r="Y126" i="7"/>
  <c r="Y90" i="7"/>
  <c r="Y114" i="7"/>
  <c r="Z114" i="7"/>
  <c r="I45" i="4"/>
  <c r="H40" i="4"/>
  <c r="I40" i="4"/>
  <c r="J40" i="4"/>
  <c r="G40" i="4"/>
  <c r="K44" i="4"/>
  <c r="L44" i="4" s="1"/>
  <c r="L45" i="4" s="1"/>
  <c r="G44" i="4"/>
  <c r="G45" i="4" s="1"/>
  <c r="J44" i="4"/>
  <c r="J45" i="4" s="1"/>
  <c r="H44" i="4"/>
  <c r="H45" i="4" s="1"/>
  <c r="K39" i="4"/>
  <c r="L39" i="4" s="1"/>
  <c r="L40" i="4" s="1"/>
  <c r="J29" i="4"/>
  <c r="H29" i="4"/>
  <c r="L28" i="4"/>
  <c r="K28" i="4"/>
  <c r="I28" i="4"/>
  <c r="M27" i="4"/>
  <c r="I27" i="4" s="1"/>
  <c r="G23" i="4"/>
  <c r="BA134" i="5"/>
  <c r="BA133" i="5"/>
  <c r="E132" i="5" a="1"/>
  <c r="E132" i="5" s="1"/>
  <c r="E131" i="5" a="1"/>
  <c r="E131" i="5" s="1"/>
  <c r="E130" i="5" a="1"/>
  <c r="E130" i="5" s="1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F128" i="5"/>
  <c r="E128" i="5"/>
  <c r="BH51" i="5"/>
  <c r="BH50" i="5"/>
  <c r="BH49" i="5"/>
  <c r="BH48" i="5"/>
  <c r="BH47" i="5"/>
  <c r="BH46" i="5"/>
  <c r="BH45" i="5"/>
  <c r="BH44" i="5"/>
  <c r="BH43" i="5"/>
  <c r="BH42" i="5"/>
  <c r="BH41" i="5"/>
  <c r="BH40" i="5"/>
  <c r="BH39" i="5"/>
  <c r="BH38" i="5"/>
  <c r="BH37" i="5"/>
  <c r="BH36" i="5"/>
  <c r="BH35" i="5"/>
  <c r="BH34" i="5"/>
  <c r="BH33" i="5"/>
  <c r="BH32" i="5"/>
  <c r="BH31" i="5"/>
  <c r="BH29" i="5"/>
  <c r="BH28" i="5"/>
  <c r="BH27" i="5"/>
  <c r="BH26" i="5"/>
  <c r="BH25" i="5"/>
  <c r="BH24" i="5"/>
  <c r="BH23" i="5"/>
  <c r="BH22" i="5"/>
  <c r="BH21" i="5"/>
  <c r="BH20" i="5"/>
  <c r="BH19" i="5"/>
  <c r="BH18" i="5"/>
  <c r="BH17" i="5"/>
  <c r="BH16" i="5"/>
  <c r="BH15" i="5"/>
  <c r="BH14" i="5"/>
  <c r="BH13" i="5"/>
  <c r="BH12" i="5"/>
  <c r="BH11" i="5"/>
  <c r="BH10" i="5"/>
  <c r="BH9" i="5"/>
  <c r="BH8" i="5"/>
  <c r="BH7" i="5"/>
  <c r="BH5" i="5"/>
  <c r="BH4" i="5"/>
  <c r="E2" i="5" a="1"/>
  <c r="E2" i="5" s="1"/>
  <c r="E1" i="5" a="1"/>
  <c r="E1" i="5" s="1"/>
  <c r="D93" i="4"/>
  <c r="D83" i="4"/>
  <c r="G54" i="4"/>
  <c r="G52" i="4"/>
  <c r="M14" i="4"/>
  <c r="L13" i="4"/>
  <c r="AD118" i="5" s="1"/>
  <c r="K13" i="4"/>
  <c r="AD106" i="5" s="1"/>
  <c r="J13" i="4"/>
  <c r="AD94" i="5" s="1"/>
  <c r="I13" i="4"/>
  <c r="AD82" i="5" s="1"/>
  <c r="H13" i="4"/>
  <c r="AD70" i="5" s="1"/>
  <c r="G13" i="4"/>
  <c r="AD58" i="5" s="1"/>
  <c r="G11" i="4" a="1"/>
  <c r="K10" i="4"/>
  <c r="AD105" i="5" s="1"/>
  <c r="J10" i="4"/>
  <c r="AD93" i="5" s="1"/>
  <c r="I10" i="4"/>
  <c r="AD81" i="5" s="1"/>
  <c r="H10" i="4"/>
  <c r="AD69" i="5" s="1"/>
  <c r="G10" i="4"/>
  <c r="AD57" i="5" s="1"/>
  <c r="L9" i="4"/>
  <c r="AD116" i="5" s="1"/>
  <c r="K9" i="4"/>
  <c r="AD104" i="5" s="1"/>
  <c r="J9" i="4"/>
  <c r="AD92" i="5" s="1"/>
  <c r="I9" i="4"/>
  <c r="AD80" i="5" s="1"/>
  <c r="H9" i="4"/>
  <c r="AD68" i="5" s="1"/>
  <c r="G9" i="4"/>
  <c r="AD56" i="5" s="1"/>
  <c r="L5" i="4"/>
  <c r="AC112" i="5" s="1"/>
  <c r="J103" i="16" l="1"/>
  <c r="J102" i="16"/>
  <c r="J101" i="16"/>
  <c r="AD114" i="5"/>
  <c r="AD90" i="5"/>
  <c r="AD102" i="5"/>
  <c r="AD78" i="5"/>
  <c r="AD66" i="5"/>
  <c r="G108" i="4"/>
  <c r="G111" i="4" s="1"/>
  <c r="Z86" i="7"/>
  <c r="Z87" i="7"/>
  <c r="M7" i="6"/>
  <c r="Y78" i="7"/>
  <c r="Z78" i="7"/>
  <c r="G10" i="6" a="1"/>
  <c r="M15" i="6"/>
  <c r="K27" i="4"/>
  <c r="K29" i="4" s="1"/>
  <c r="L27" i="4"/>
  <c r="L29" i="4" s="1"/>
  <c r="K45" i="4"/>
  <c r="M45" i="4" s="1"/>
  <c r="G55" i="4"/>
  <c r="G58" i="4" s="1"/>
  <c r="K40" i="4"/>
  <c r="M40" i="4" s="1"/>
  <c r="G11" i="4"/>
  <c r="AD54" i="5" s="1"/>
  <c r="M13" i="4"/>
  <c r="M29" i="4"/>
  <c r="M5" i="4"/>
  <c r="M9" i="4"/>
  <c r="L10" i="4"/>
  <c r="AD117" i="5" s="1"/>
  <c r="I29" i="4"/>
  <c r="H128" i="5"/>
  <c r="BA136" i="5"/>
  <c r="G6" i="4" l="1" a="1"/>
  <c r="G6" i="4" s="1"/>
  <c r="G8" i="4" s="1" a="1"/>
  <c r="G8" i="4" s="1"/>
  <c r="J1789" i="18" a="1"/>
  <c r="J1789" i="18" s="1"/>
  <c r="J5425" i="17" a="1"/>
  <c r="J5425" i="17" s="1"/>
  <c r="J3607" i="17" a="1"/>
  <c r="J3607" i="17" s="1"/>
  <c r="J1789" i="17" a="1"/>
  <c r="J1789" i="17" s="1"/>
  <c r="G109" i="4"/>
  <c r="L108" i="4"/>
  <c r="G59" i="4"/>
  <c r="G10" i="6"/>
  <c r="Z130" i="7"/>
  <c r="Z94" i="7"/>
  <c r="Y130" i="7"/>
  <c r="Z118" i="7"/>
  <c r="Y106" i="7"/>
  <c r="Y94" i="7"/>
  <c r="Y118" i="7"/>
  <c r="Z142" i="7"/>
  <c r="Z106" i="7"/>
  <c r="Y142" i="7"/>
  <c r="G57" i="4"/>
  <c r="M10" i="4"/>
  <c r="M12" i="4"/>
  <c r="H23" i="4" a="1"/>
  <c r="L109" i="4" l="1"/>
  <c r="L111" i="4"/>
  <c r="M111" i="4" s="1"/>
  <c r="M6" i="4"/>
  <c r="G114" i="4" a="1"/>
  <c r="M10" i="6"/>
  <c r="Z82" i="7"/>
  <c r="Y82" i="7"/>
  <c r="H23" i="4"/>
  <c r="M17" i="4"/>
  <c r="AC53" i="5" l="1"/>
  <c r="AC101" i="5"/>
  <c r="AC65" i="5"/>
  <c r="AC113" i="5"/>
  <c r="AC77" i="5"/>
  <c r="AC89" i="5"/>
  <c r="K112" i="4"/>
  <c r="I112" i="4"/>
  <c r="J112" i="4"/>
  <c r="H112" i="4"/>
  <c r="L112" i="4"/>
  <c r="G114" i="4"/>
  <c r="L114" i="4" s="1"/>
  <c r="I115" i="4"/>
  <c r="J115" i="4"/>
  <c r="K115" i="4"/>
  <c r="H115" i="4"/>
  <c r="G112" i="4"/>
  <c r="M23" i="4"/>
  <c r="M8" i="4"/>
  <c r="G115" i="4" l="1"/>
  <c r="L115" i="4"/>
  <c r="G24" i="4"/>
  <c r="I24" i="4"/>
  <c r="J24" i="4"/>
  <c r="K24" i="4"/>
  <c r="L24" i="4"/>
  <c r="H24" i="4"/>
  <c r="G7" i="4" l="1" a="1"/>
  <c r="G7" i="4" s="1"/>
  <c r="AC55" i="5" s="1"/>
  <c r="AC67" i="5"/>
  <c r="L34" i="4"/>
  <c r="I34" i="4"/>
  <c r="G34" i="4"/>
  <c r="M24" i="4"/>
  <c r="AC79" i="5" l="1"/>
  <c r="AC103" i="5"/>
  <c r="AC115" i="5"/>
  <c r="AC91" i="5"/>
  <c r="G18" i="4" a="1"/>
  <c r="G11" i="6" a="1"/>
  <c r="G11" i="6" s="1"/>
  <c r="M34" i="4"/>
  <c r="G18" i="4" l="1"/>
  <c r="AD63" i="5" s="1"/>
  <c r="AE123" i="5"/>
  <c r="AE99" i="5"/>
  <c r="AD123" i="5"/>
  <c r="AD111" i="5"/>
  <c r="AD99" i="5"/>
  <c r="AD87" i="5"/>
  <c r="AD75" i="5"/>
  <c r="AE111" i="5"/>
  <c r="AE87" i="5"/>
  <c r="AE75" i="5"/>
  <c r="AE63" i="5"/>
  <c r="M7" i="4"/>
  <c r="Z107" i="7"/>
  <c r="Z143" i="7"/>
  <c r="Z119" i="7"/>
  <c r="Y131" i="7"/>
  <c r="Z95" i="7"/>
  <c r="Z131" i="7"/>
  <c r="Y119" i="7"/>
  <c r="Y95" i="7"/>
  <c r="Y107" i="7"/>
  <c r="Y143" i="7"/>
  <c r="M18" i="4"/>
  <c r="Z83" i="7" l="1"/>
  <c r="Y83" i="7"/>
  <c r="M11" i="6"/>
  <c r="BH30" i="5" l="1"/>
  <c r="G128" i="5"/>
  <c r="BH6" i="5"/>
  <c r="BA135" i="5"/>
  <c r="AC133" i="5" l="1" a="1"/>
  <c r="AC133" i="5" s="1"/>
  <c r="J99" i="16"/>
  <c r="J100" i="16"/>
  <c r="J98" i="16"/>
  <c r="E157" i="5" a="1"/>
  <c r="E157" i="5" s="1"/>
  <c r="BJ4" i="5" a="1"/>
  <c r="BJ4" i="5" s="1"/>
  <c r="AC181" i="5" a="1"/>
  <c r="AC253" i="5" a="1"/>
  <c r="J1760" i="18" l="1" a="1"/>
  <c r="J1760" i="18" s="1"/>
  <c r="J5396" i="17" a="1"/>
  <c r="J5396" i="17" s="1"/>
  <c r="J3578" i="17" a="1"/>
  <c r="J3578" i="17" s="1"/>
  <c r="J1760" i="17" a="1"/>
  <c r="J1760" i="17" s="1"/>
  <c r="AC253" i="5"/>
  <c r="J121" i="9" s="1" a="1"/>
  <c r="J121" i="9" s="1"/>
  <c r="R121" i="9" a="1"/>
  <c r="R121" i="9" s="1"/>
  <c r="R110" i="9" a="1"/>
  <c r="R110" i="9" s="1"/>
  <c r="J44" i="9" a="1"/>
  <c r="J93" i="9" a="1"/>
  <c r="R64" i="9" a="1"/>
  <c r="R64" i="9" s="1"/>
  <c r="J30" i="9" a="1"/>
  <c r="J70" i="9" a="1"/>
  <c r="J70" i="9" s="1"/>
  <c r="J47" i="9" a="1"/>
  <c r="R30" i="9" a="1"/>
  <c r="R30" i="9" s="1"/>
  <c r="R66" i="9" a="1"/>
  <c r="R81" i="9" a="1"/>
  <c r="R81" i="9" s="1"/>
  <c r="J104" i="9" a="1"/>
  <c r="J104" i="9" s="1"/>
  <c r="R20" i="9" a="1"/>
  <c r="R36" i="9" a="1"/>
  <c r="R36" i="9" s="1"/>
  <c r="J53" i="9" a="1"/>
  <c r="J53" i="9" s="1"/>
  <c r="J117" i="9" a="1"/>
  <c r="R98" i="9" a="1"/>
  <c r="R98" i="9" s="1"/>
  <c r="R61" i="9" a="1"/>
  <c r="R61" i="9" s="1"/>
  <c r="R70" i="9" a="1"/>
  <c r="R70" i="9" s="1"/>
  <c r="J25" i="9" a="1"/>
  <c r="J54" i="9" a="1"/>
  <c r="J32" i="9" a="1"/>
  <c r="J83" i="9" a="1"/>
  <c r="R49" i="9" a="1"/>
  <c r="R59" i="9" a="1"/>
  <c r="R59" i="9" s="1"/>
  <c r="R78" i="9" a="1"/>
  <c r="R78" i="9" s="1"/>
  <c r="J78" i="9" a="1"/>
  <c r="R19" i="9" a="1"/>
  <c r="R19" i="9" s="1"/>
  <c r="R53" i="9" a="1"/>
  <c r="R53" i="9" s="1"/>
  <c r="J112" i="9" a="1"/>
  <c r="J100" i="9" a="1"/>
  <c r="R87" i="9" a="1"/>
  <c r="R87" i="9" s="1"/>
  <c r="J98" i="9" a="1"/>
  <c r="R112" i="9" a="1"/>
  <c r="R112" i="9" s="1"/>
  <c r="J59" i="9" a="1"/>
  <c r="R83" i="9" a="1"/>
  <c r="J110" i="9" a="1"/>
  <c r="J115" i="9" a="1"/>
  <c r="J66" i="9" a="1"/>
  <c r="J105" i="9" a="1"/>
  <c r="R117" i="9" a="1"/>
  <c r="J42" i="9" a="1"/>
  <c r="J20" i="9" a="1"/>
  <c r="R100" i="9" a="1"/>
  <c r="J88" i="9" a="1"/>
  <c r="J95" i="9" a="1"/>
  <c r="R37" i="9" a="1"/>
  <c r="R95" i="9" a="1"/>
  <c r="R95" i="9" s="1"/>
  <c r="J87" i="9" a="1"/>
  <c r="J87" i="9" s="1"/>
  <c r="J81" i="9" a="1"/>
  <c r="J37" i="9" a="1"/>
  <c r="R71" i="9" a="1"/>
  <c r="R76" i="9" a="1"/>
  <c r="R76" i="9" s="1"/>
  <c r="R93" i="9" a="1"/>
  <c r="R93" i="9" s="1"/>
  <c r="J61" i="9" a="1"/>
  <c r="J49" i="9" a="1"/>
  <c r="J19" i="9" a="1"/>
  <c r="J19" i="9" s="1"/>
  <c r="R32" i="9" a="1"/>
  <c r="J76" i="9" a="1"/>
  <c r="R44" i="9" a="1"/>
  <c r="R44" i="9" s="1"/>
  <c r="R115" i="9" a="1"/>
  <c r="R115" i="9" s="1"/>
  <c r="R54" i="9" a="1"/>
  <c r="R104" i="9" a="1"/>
  <c r="R104" i="9" s="1"/>
  <c r="R25" i="9" a="1"/>
  <c r="R25" i="9" s="1"/>
  <c r="R47" i="9" a="1"/>
  <c r="R47" i="9" s="1"/>
  <c r="AC181" i="5"/>
  <c r="J27" i="9" s="1" a="1"/>
  <c r="J36" i="9" a="1"/>
  <c r="J36" i="9" s="1"/>
  <c r="J64" i="9" a="1"/>
  <c r="J71" i="9" a="1"/>
  <c r="R42" i="9" a="1"/>
  <c r="R42" i="9" s="1"/>
  <c r="R105" i="9" a="1"/>
  <c r="R88" i="9" a="1"/>
  <c r="R27" i="9" a="1"/>
  <c r="R27" i="9" s="1"/>
  <c r="J1281" i="18" l="1"/>
  <c r="J1585" i="18"/>
  <c r="J673" i="18"/>
  <c r="J69" i="18"/>
  <c r="J371" i="18"/>
  <c r="J4007" i="17"/>
  <c r="J5221" i="17"/>
  <c r="J4613" i="17"/>
  <c r="J4309" i="17"/>
  <c r="J977" i="18"/>
  <c r="J2189" i="17"/>
  <c r="J2491" i="17"/>
  <c r="J2795" i="17"/>
  <c r="J1585" i="17"/>
  <c r="J4917" i="17"/>
  <c r="J3403" i="17"/>
  <c r="J673" i="17"/>
  <c r="J3099" i="17"/>
  <c r="J1281" i="17"/>
  <c r="J371" i="17"/>
  <c r="J1887" i="17"/>
  <c r="J977" i="17"/>
  <c r="J69" i="17"/>
  <c r="J3705" i="17"/>
  <c r="J1566" i="18"/>
  <c r="J352" i="18"/>
  <c r="J1262" i="18"/>
  <c r="J654" i="18"/>
  <c r="J50" i="18"/>
  <c r="J5202" i="17"/>
  <c r="J958" i="18"/>
  <c r="J4594" i="17"/>
  <c r="J4290" i="17"/>
  <c r="J3384" i="17"/>
  <c r="J4898" i="17"/>
  <c r="J3080" i="17"/>
  <c r="J2776" i="17"/>
  <c r="J3988" i="17"/>
  <c r="J2472" i="17"/>
  <c r="J1262" i="17"/>
  <c r="J2170" i="17"/>
  <c r="J1566" i="17"/>
  <c r="J352" i="17"/>
  <c r="J50" i="17"/>
  <c r="J1868" i="17"/>
  <c r="J958" i="17"/>
  <c r="J3686" i="17"/>
  <c r="J654" i="17"/>
  <c r="J646" i="18"/>
  <c r="J1558" i="18"/>
  <c r="J1254" i="18"/>
  <c r="J42" i="18"/>
  <c r="J5194" i="17"/>
  <c r="J344" i="18"/>
  <c r="J950" i="18"/>
  <c r="J3980" i="17"/>
  <c r="J3376" i="17"/>
  <c r="J4586" i="17"/>
  <c r="J4282" i="17"/>
  <c r="J4890" i="17"/>
  <c r="J3072" i="17"/>
  <c r="J2768" i="17"/>
  <c r="J2162" i="17"/>
  <c r="J1558" i="17"/>
  <c r="J344" i="17"/>
  <c r="J646" i="17"/>
  <c r="J950" i="17"/>
  <c r="J1254" i="17"/>
  <c r="J1860" i="17"/>
  <c r="J42" i="17"/>
  <c r="J2464" i="17"/>
  <c r="J3678" i="17"/>
  <c r="J1797" i="18" a="1"/>
  <c r="J1797" i="18" s="1"/>
  <c r="J281" i="18" a="1"/>
  <c r="J281" i="18" s="1"/>
  <c r="J583" i="18" a="1"/>
  <c r="J583" i="18" s="1"/>
  <c r="J1495" i="18" a="1"/>
  <c r="J1495" i="18" s="1"/>
  <c r="J887" i="18" a="1"/>
  <c r="J887" i="18" s="1"/>
  <c r="J5433" i="17" a="1"/>
  <c r="J5433" i="17" s="1"/>
  <c r="J4827" i="17" a="1"/>
  <c r="J4827" i="17" s="1"/>
  <c r="J4219" i="17" a="1"/>
  <c r="J4219" i="17" s="1"/>
  <c r="J4523" i="17" a="1"/>
  <c r="J4523" i="17" s="1"/>
  <c r="J1191" i="18" a="1"/>
  <c r="J1191" i="18" s="1"/>
  <c r="J5131" i="17" a="1"/>
  <c r="J5131" i="17" s="1"/>
  <c r="J3615" i="17" a="1"/>
  <c r="J3615" i="17" s="1"/>
  <c r="J3313" i="17" a="1"/>
  <c r="J3313" i="17" s="1"/>
  <c r="J1191" i="17" a="1"/>
  <c r="J1191" i="17" s="1"/>
  <c r="J2401" i="17" a="1"/>
  <c r="J2401" i="17" s="1"/>
  <c r="J1495" i="17" a="1"/>
  <c r="J1495" i="17" s="1"/>
  <c r="J583" i="17" a="1"/>
  <c r="J583" i="17" s="1"/>
  <c r="J2099" i="17" a="1"/>
  <c r="J2099" i="17" s="1"/>
  <c r="J3009" i="17" a="1"/>
  <c r="J3009" i="17" s="1"/>
  <c r="J887" i="17" a="1"/>
  <c r="J887" i="17" s="1"/>
  <c r="J3917" i="17" a="1"/>
  <c r="J3917" i="17" s="1"/>
  <c r="J281" i="17" a="1"/>
  <c r="J281" i="17" s="1"/>
  <c r="J2705" i="17" a="1"/>
  <c r="J2705" i="17" s="1"/>
  <c r="J1797" i="17" a="1"/>
  <c r="J1797" i="17" s="1"/>
  <c r="J1462" i="18"/>
  <c r="J854" i="18"/>
  <c r="J550" i="18"/>
  <c r="J248" i="18"/>
  <c r="J1764" i="18"/>
  <c r="J5400" i="17"/>
  <c r="J5098" i="17"/>
  <c r="J3582" i="17"/>
  <c r="J4186" i="17"/>
  <c r="J4794" i="17"/>
  <c r="J3280" i="17"/>
  <c r="J2976" i="17"/>
  <c r="J1764" i="17"/>
  <c r="J1462" i="17"/>
  <c r="J2672" i="17"/>
  <c r="J2368" i="17"/>
  <c r="J854" i="17"/>
  <c r="J550" i="17"/>
  <c r="J4490" i="17"/>
  <c r="J1158" i="17"/>
  <c r="J3884" i="17"/>
  <c r="J248" i="17"/>
  <c r="J2066" i="17"/>
  <c r="J1158" i="18"/>
  <c r="J1507" i="18" a="1"/>
  <c r="J1507" i="18" s="1"/>
  <c r="J899" i="18" a="1"/>
  <c r="J899" i="18" s="1"/>
  <c r="J1809" i="18" a="1"/>
  <c r="J1809" i="18" s="1"/>
  <c r="J1203" i="18" a="1"/>
  <c r="J1203" i="18" s="1"/>
  <c r="J595" i="18" a="1"/>
  <c r="J595" i="18" s="1"/>
  <c r="J3627" i="17" a="1"/>
  <c r="J3627" i="17" s="1"/>
  <c r="J4231" i="17" a="1"/>
  <c r="J4231" i="17" s="1"/>
  <c r="J5143" i="17" a="1"/>
  <c r="J5143" i="17" s="1"/>
  <c r="J4535" i="17" a="1"/>
  <c r="J4535" i="17" s="1"/>
  <c r="J5445" i="17" a="1"/>
  <c r="J5445" i="17" s="1"/>
  <c r="J293" i="18" a="1"/>
  <c r="J293" i="18" s="1"/>
  <c r="J2717" i="17" a="1"/>
  <c r="J2717" i="17" s="1"/>
  <c r="J2413" i="17" a="1"/>
  <c r="J2413" i="17" s="1"/>
  <c r="J1809" i="17" a="1"/>
  <c r="J1809" i="17" s="1"/>
  <c r="J1507" i="17" a="1"/>
  <c r="J1507" i="17" s="1"/>
  <c r="J4839" i="17" a="1"/>
  <c r="J4839" i="17" s="1"/>
  <c r="J3021" i="17" a="1"/>
  <c r="J3021" i="17" s="1"/>
  <c r="J899" i="17" a="1"/>
  <c r="J899" i="17" s="1"/>
  <c r="J1203" i="17" a="1"/>
  <c r="J1203" i="17" s="1"/>
  <c r="J3325" i="17" a="1"/>
  <c r="J3325" i="17" s="1"/>
  <c r="J3929" i="17" a="1"/>
  <c r="J3929" i="17" s="1"/>
  <c r="J293" i="17" a="1"/>
  <c r="J293" i="17" s="1"/>
  <c r="J2111" i="17" a="1"/>
  <c r="J2111" i="17" s="1"/>
  <c r="J595" i="17" a="1"/>
  <c r="J595" i="17" s="1"/>
  <c r="J1595" i="18"/>
  <c r="J381" i="18"/>
  <c r="J683" i="18"/>
  <c r="J1291" i="18"/>
  <c r="J79" i="18"/>
  <c r="J5231" i="17"/>
  <c r="J4319" i="17"/>
  <c r="J2501" i="17"/>
  <c r="J4927" i="17"/>
  <c r="J987" i="18"/>
  <c r="J2805" i="17"/>
  <c r="J4017" i="17"/>
  <c r="J4623" i="17"/>
  <c r="J3109" i="17"/>
  <c r="J1291" i="17"/>
  <c r="J3413" i="17"/>
  <c r="J2199" i="17"/>
  <c r="J381" i="17"/>
  <c r="J987" i="17"/>
  <c r="J3715" i="17"/>
  <c r="J79" i="17"/>
  <c r="J1595" i="17"/>
  <c r="J683" i="17"/>
  <c r="J1897" i="17"/>
  <c r="J1477" i="18"/>
  <c r="J869" i="18"/>
  <c r="J1779" i="18"/>
  <c r="J5415" i="17"/>
  <c r="J565" i="18"/>
  <c r="J263" i="18"/>
  <c r="J1173" i="18"/>
  <c r="J4809" i="17"/>
  <c r="J4201" i="17"/>
  <c r="J4505" i="17"/>
  <c r="J5113" i="17"/>
  <c r="J3597" i="17"/>
  <c r="J2687" i="17"/>
  <c r="J1477" i="17"/>
  <c r="J3295" i="17"/>
  <c r="J869" i="17"/>
  <c r="J2383" i="17"/>
  <c r="J1173" i="17"/>
  <c r="J263" i="17"/>
  <c r="J565" i="17"/>
  <c r="J1779" i="17"/>
  <c r="J2081" i="17"/>
  <c r="J2991" i="17"/>
  <c r="J3899" i="17"/>
  <c r="J1153" i="18"/>
  <c r="J545" i="18"/>
  <c r="J1759" i="18"/>
  <c r="J1457" i="18"/>
  <c r="J849" i="18"/>
  <c r="J243" i="18"/>
  <c r="J4789" i="17"/>
  <c r="J3577" i="17"/>
  <c r="J4485" i="17"/>
  <c r="J2667" i="17"/>
  <c r="J2363" i="17"/>
  <c r="J5395" i="17"/>
  <c r="J2971" i="17"/>
  <c r="J3275" i="17"/>
  <c r="J1759" i="17"/>
  <c r="J1457" i="17"/>
  <c r="J2061" i="17"/>
  <c r="J4181" i="17"/>
  <c r="J243" i="17"/>
  <c r="J3879" i="17"/>
  <c r="J5093" i="17"/>
  <c r="J1153" i="17"/>
  <c r="J849" i="17"/>
  <c r="J545" i="17"/>
  <c r="J1280" i="18"/>
  <c r="J1584" i="18"/>
  <c r="J68" i="18"/>
  <c r="J672" i="18"/>
  <c r="J976" i="18"/>
  <c r="J4916" i="17"/>
  <c r="J370" i="18"/>
  <c r="J4006" i="17"/>
  <c r="J5220" i="17"/>
  <c r="J4612" i="17"/>
  <c r="J4308" i="17"/>
  <c r="J2188" i="17"/>
  <c r="J2490" i="17"/>
  <c r="J370" i="17"/>
  <c r="J2794" i="17"/>
  <c r="J1584" i="17"/>
  <c r="J672" i="17"/>
  <c r="J3704" i="17"/>
  <c r="J68" i="17"/>
  <c r="J3098" i="17"/>
  <c r="J1280" i="17"/>
  <c r="J1886" i="17"/>
  <c r="J3402" i="17"/>
  <c r="J976" i="17"/>
  <c r="J674" i="18"/>
  <c r="J1282" i="18"/>
  <c r="J978" i="18"/>
  <c r="J372" i="18"/>
  <c r="J70" i="18"/>
  <c r="J1586" i="18"/>
  <c r="J4008" i="17"/>
  <c r="J5222" i="17"/>
  <c r="J4918" i="17"/>
  <c r="J4614" i="17"/>
  <c r="J4310" i="17"/>
  <c r="J3404" i="17"/>
  <c r="J3100" i="17"/>
  <c r="J2796" i="17"/>
  <c r="J2190" i="17"/>
  <c r="J2492" i="17"/>
  <c r="J372" i="17"/>
  <c r="J1586" i="17"/>
  <c r="J674" i="17"/>
  <c r="J978" i="17"/>
  <c r="J1888" i="17"/>
  <c r="J3706" i="17"/>
  <c r="J1282" i="17"/>
  <c r="J70" i="17"/>
  <c r="J1476" i="18"/>
  <c r="J868" i="18"/>
  <c r="J590" i="18"/>
  <c r="J1172" i="18"/>
  <c r="J894" i="18"/>
  <c r="J288" i="18"/>
  <c r="J1502" i="18"/>
  <c r="J564" i="18"/>
  <c r="J5440" i="17"/>
  <c r="J4834" i="17"/>
  <c r="J1804" i="18"/>
  <c r="J5414" i="17"/>
  <c r="J5112" i="17"/>
  <c r="J1198" i="18"/>
  <c r="J262" i="18"/>
  <c r="J3596" i="17"/>
  <c r="J4808" i="17"/>
  <c r="J4200" i="17"/>
  <c r="J3622" i="17"/>
  <c r="J4504" i="17"/>
  <c r="J4530" i="17"/>
  <c r="J4226" i="17"/>
  <c r="J3294" i="17"/>
  <c r="J2990" i="17"/>
  <c r="J1778" i="17"/>
  <c r="J1476" i="17"/>
  <c r="J2408" i="17"/>
  <c r="J3924" i="17"/>
  <c r="J1804" i="17"/>
  <c r="J1502" i="17"/>
  <c r="J2712" i="17"/>
  <c r="J868" i="17"/>
  <c r="J564" i="17"/>
  <c r="J5138" i="17"/>
  <c r="J3016" i="17"/>
  <c r="J2382" i="17"/>
  <c r="J1172" i="17"/>
  <c r="J2686" i="17"/>
  <c r="J1198" i="17"/>
  <c r="J894" i="17"/>
  <c r="J3898" i="17"/>
  <c r="J262" i="17"/>
  <c r="J288" i="17"/>
  <c r="J590" i="17"/>
  <c r="J2080" i="17"/>
  <c r="J2106" i="17"/>
  <c r="J3320" i="17"/>
  <c r="J1778" i="18"/>
  <c r="J1265" i="18" a="1"/>
  <c r="J1265" i="18" s="1"/>
  <c r="J961" i="18" a="1"/>
  <c r="J961" i="18" s="1"/>
  <c r="J355" i="18" a="1"/>
  <c r="J355" i="18" s="1"/>
  <c r="J53" i="18" a="1"/>
  <c r="J53" i="18" s="1"/>
  <c r="J5205" i="17" a="1"/>
  <c r="J5205" i="17" s="1"/>
  <c r="J4901" i="17" a="1"/>
  <c r="J4901" i="17" s="1"/>
  <c r="J3991" i="17" a="1"/>
  <c r="J3991" i="17" s="1"/>
  <c r="J1569" i="18" a="1"/>
  <c r="J1569" i="18" s="1"/>
  <c r="J657" i="18" a="1"/>
  <c r="J657" i="18" s="1"/>
  <c r="J4597" i="17" a="1"/>
  <c r="J4597" i="17" s="1"/>
  <c r="J4293" i="17" a="1"/>
  <c r="J4293" i="17" s="1"/>
  <c r="J3387" i="17" a="1"/>
  <c r="J3387" i="17" s="1"/>
  <c r="J2475" i="17" a="1"/>
  <c r="J2475" i="17" s="1"/>
  <c r="J2173" i="17" a="1"/>
  <c r="J2173" i="17" s="1"/>
  <c r="J2779" i="17" a="1"/>
  <c r="J2779" i="17" s="1"/>
  <c r="J3083" i="17" a="1"/>
  <c r="J3083" i="17" s="1"/>
  <c r="J1569" i="17" a="1"/>
  <c r="J1569" i="17" s="1"/>
  <c r="J657" i="17" a="1"/>
  <c r="J657" i="17" s="1"/>
  <c r="J3689" i="17" a="1"/>
  <c r="J3689" i="17" s="1"/>
  <c r="J53" i="17" a="1"/>
  <c r="J53" i="17" s="1"/>
  <c r="J1871" i="17" a="1"/>
  <c r="J1871" i="17" s="1"/>
  <c r="J1265" i="17" a="1"/>
  <c r="J1265" i="17" s="1"/>
  <c r="J355" i="17" a="1"/>
  <c r="J355" i="17" s="1"/>
  <c r="J961" i="17" a="1"/>
  <c r="J961" i="17" s="1"/>
  <c r="J1295" i="18" a="1"/>
  <c r="J1295" i="18" s="1"/>
  <c r="J1599" i="18" a="1"/>
  <c r="J1599" i="18" s="1"/>
  <c r="J385" i="18" a="1"/>
  <c r="J385" i="18" s="1"/>
  <c r="J83" i="18" a="1"/>
  <c r="J83" i="18" s="1"/>
  <c r="J991" i="18" a="1"/>
  <c r="J991" i="18" s="1"/>
  <c r="J5235" i="17" a="1"/>
  <c r="J5235" i="17" s="1"/>
  <c r="J687" i="18" a="1"/>
  <c r="J687" i="18" s="1"/>
  <c r="J4021" i="17" a="1"/>
  <c r="J4021" i="17" s="1"/>
  <c r="J4931" i="17" a="1"/>
  <c r="J4931" i="17" s="1"/>
  <c r="J4323" i="17" a="1"/>
  <c r="J4323" i="17" s="1"/>
  <c r="J3417" i="17" a="1"/>
  <c r="J3417" i="17" s="1"/>
  <c r="J3113" i="17" a="1"/>
  <c r="J3113" i="17" s="1"/>
  <c r="J4627" i="17" a="1"/>
  <c r="J4627" i="17" s="1"/>
  <c r="J2203" i="17" a="1"/>
  <c r="J2203" i="17" s="1"/>
  <c r="J1599" i="17" a="1"/>
  <c r="J1599" i="17" s="1"/>
  <c r="J2505" i="17" a="1"/>
  <c r="J2505" i="17" s="1"/>
  <c r="J687" i="17" a="1"/>
  <c r="J687" i="17" s="1"/>
  <c r="J991" i="17" a="1"/>
  <c r="J991" i="17" s="1"/>
  <c r="J3719" i="17" a="1"/>
  <c r="J3719" i="17" s="1"/>
  <c r="J1901" i="17" a="1"/>
  <c r="J1901" i="17" s="1"/>
  <c r="J83" i="17" a="1"/>
  <c r="J83" i="17" s="1"/>
  <c r="J2809" i="17" a="1"/>
  <c r="J2809" i="17" s="1"/>
  <c r="J1295" i="17" a="1"/>
  <c r="J1295" i="17" s="1"/>
  <c r="J385" i="17" a="1"/>
  <c r="J385" i="17" s="1"/>
  <c r="J1491" i="18" a="1"/>
  <c r="J1491" i="18" s="1"/>
  <c r="J883" i="18" a="1"/>
  <c r="J883" i="18" s="1"/>
  <c r="J1793" i="18" a="1"/>
  <c r="J1793" i="18" s="1"/>
  <c r="J1187" i="18" a="1"/>
  <c r="J1187" i="18" s="1"/>
  <c r="J277" i="18" a="1"/>
  <c r="J277" i="18" s="1"/>
  <c r="J5429" i="17" a="1"/>
  <c r="J5429" i="17" s="1"/>
  <c r="J5127" i="17" a="1"/>
  <c r="J5127" i="17" s="1"/>
  <c r="J3611" i="17" a="1"/>
  <c r="J3611" i="17" s="1"/>
  <c r="J579" i="18" a="1"/>
  <c r="J579" i="18" s="1"/>
  <c r="J4823" i="17" a="1"/>
  <c r="J4823" i="17" s="1"/>
  <c r="J4215" i="17" a="1"/>
  <c r="J4215" i="17" s="1"/>
  <c r="J4519" i="17" a="1"/>
  <c r="J4519" i="17" s="1"/>
  <c r="J2701" i="17" a="1"/>
  <c r="J2701" i="17" s="1"/>
  <c r="J2397" i="17" a="1"/>
  <c r="J2397" i="17" s="1"/>
  <c r="J1793" i="17" a="1"/>
  <c r="J1793" i="17" s="1"/>
  <c r="J1491" i="17" a="1"/>
  <c r="J1491" i="17" s="1"/>
  <c r="J3005" i="17" a="1"/>
  <c r="J3005" i="17" s="1"/>
  <c r="J3309" i="17" a="1"/>
  <c r="J3309" i="17" s="1"/>
  <c r="J883" i="17" a="1"/>
  <c r="J883" i="17" s="1"/>
  <c r="J1187" i="17" a="1"/>
  <c r="J1187" i="17" s="1"/>
  <c r="J2095" i="17" a="1"/>
  <c r="J2095" i="17" s="1"/>
  <c r="J3913" i="17" a="1"/>
  <c r="J3913" i="17" s="1"/>
  <c r="J579" i="17" a="1"/>
  <c r="J579" i="17" s="1"/>
  <c r="J277" i="17" a="1"/>
  <c r="J277" i="17" s="1"/>
  <c r="J997" i="18" a="1"/>
  <c r="J997" i="18" s="1"/>
  <c r="J1301" i="18" a="1"/>
  <c r="J1301" i="18" s="1"/>
  <c r="J693" i="18" a="1"/>
  <c r="J693" i="18" s="1"/>
  <c r="J391" i="18" a="1"/>
  <c r="J391" i="18" s="1"/>
  <c r="J1605" i="18" a="1"/>
  <c r="J1605" i="18" s="1"/>
  <c r="J5241" i="17" a="1"/>
  <c r="J5241" i="17" s="1"/>
  <c r="J4633" i="17" a="1"/>
  <c r="J4633" i="17" s="1"/>
  <c r="J4329" i="17" a="1"/>
  <c r="J4329" i="17" s="1"/>
  <c r="J4937" i="17" a="1"/>
  <c r="J4937" i="17" s="1"/>
  <c r="J89" i="18" a="1"/>
  <c r="J89" i="18" s="1"/>
  <c r="J3423" i="17" a="1"/>
  <c r="J3423" i="17" s="1"/>
  <c r="J1605" i="17" a="1"/>
  <c r="J1605" i="17" s="1"/>
  <c r="J2511" i="17" a="1"/>
  <c r="J2511" i="17" s="1"/>
  <c r="J997" i="17" a="1"/>
  <c r="J997" i="17" s="1"/>
  <c r="J2815" i="17" a="1"/>
  <c r="J2815" i="17" s="1"/>
  <c r="J1301" i="17" a="1"/>
  <c r="J1301" i="17" s="1"/>
  <c r="J3119" i="17" a="1"/>
  <c r="J3119" i="17" s="1"/>
  <c r="J2209" i="17" a="1"/>
  <c r="J2209" i="17" s="1"/>
  <c r="J1907" i="17" a="1"/>
  <c r="J1907" i="17" s="1"/>
  <c r="J391" i="17" a="1"/>
  <c r="J391" i="17" s="1"/>
  <c r="J89" i="17" a="1"/>
  <c r="J89" i="17" s="1"/>
  <c r="J693" i="17" a="1"/>
  <c r="J693" i="17" s="1"/>
  <c r="J3725" i="17" a="1"/>
  <c r="J3725" i="17" s="1"/>
  <c r="J4027" i="17" a="1"/>
  <c r="J4027" i="17" s="1"/>
  <c r="J1264" i="18"/>
  <c r="J656" i="18"/>
  <c r="J52" i="18"/>
  <c r="J960" i="18"/>
  <c r="J354" i="18"/>
  <c r="J1568" i="18"/>
  <c r="J4900" i="17"/>
  <c r="J5204" i="17"/>
  <c r="J3990" i="17"/>
  <c r="J3386" i="17"/>
  <c r="J2474" i="17"/>
  <c r="J2172" i="17"/>
  <c r="J2778" i="17"/>
  <c r="J4596" i="17"/>
  <c r="J4292" i="17"/>
  <c r="J354" i="17"/>
  <c r="J3082" i="17"/>
  <c r="J1568" i="17"/>
  <c r="J960" i="17"/>
  <c r="J3688" i="17"/>
  <c r="J52" i="17"/>
  <c r="J1870" i="17"/>
  <c r="J656" i="17"/>
  <c r="J1264" i="17"/>
  <c r="J1250" i="18" a="1"/>
  <c r="J1250" i="18" s="1"/>
  <c r="J946" i="18" a="1"/>
  <c r="J946" i="18" s="1"/>
  <c r="J340" i="18" a="1"/>
  <c r="J340" i="18" s="1"/>
  <c r="J38" i="18" a="1"/>
  <c r="J38" i="18" s="1"/>
  <c r="J1554" i="18" a="1"/>
  <c r="J1554" i="18" s="1"/>
  <c r="J642" i="18" a="1"/>
  <c r="J642" i="18" s="1"/>
  <c r="J4886" i="17" a="1"/>
  <c r="J4886" i="17" s="1"/>
  <c r="J3976" i="17" a="1"/>
  <c r="J3976" i="17" s="1"/>
  <c r="J4582" i="17" a="1"/>
  <c r="J4582" i="17" s="1"/>
  <c r="J4278" i="17" a="1"/>
  <c r="J4278" i="17" s="1"/>
  <c r="J2460" i="17" a="1"/>
  <c r="J2460" i="17" s="1"/>
  <c r="J2764" i="17" a="1"/>
  <c r="J2764" i="17" s="1"/>
  <c r="J2158" i="17" a="1"/>
  <c r="J2158" i="17" s="1"/>
  <c r="J3068" i="17" a="1"/>
  <c r="J3068" i="17" s="1"/>
  <c r="J5190" i="17" a="1"/>
  <c r="J5190" i="17" s="1"/>
  <c r="J1554" i="17" a="1"/>
  <c r="J1554" i="17" s="1"/>
  <c r="J340" i="17" a="1"/>
  <c r="J340" i="17" s="1"/>
  <c r="J3372" i="17" a="1"/>
  <c r="J3372" i="17" s="1"/>
  <c r="J642" i="17" a="1"/>
  <c r="J642" i="17" s="1"/>
  <c r="J3674" i="17" a="1"/>
  <c r="J3674" i="17" s="1"/>
  <c r="J38" i="17" a="1"/>
  <c r="J38" i="17" s="1"/>
  <c r="J1250" i="17" a="1"/>
  <c r="J1250" i="17" s="1"/>
  <c r="J1856" i="17" a="1"/>
  <c r="J1856" i="17" s="1"/>
  <c r="J946" i="17" a="1"/>
  <c r="J946" i="17" s="1"/>
  <c r="J575" i="18" a="1"/>
  <c r="J575" i="18" s="1"/>
  <c r="J1487" i="18" a="1"/>
  <c r="J1487" i="18" s="1"/>
  <c r="J273" i="18" a="1"/>
  <c r="J273" i="18" s="1"/>
  <c r="J5123" i="17" a="1"/>
  <c r="J5123" i="17" s="1"/>
  <c r="J879" i="18" a="1"/>
  <c r="J879" i="18" s="1"/>
  <c r="J1183" i="18" a="1"/>
  <c r="J1183" i="18" s="1"/>
  <c r="J4819" i="17" a="1"/>
  <c r="J4819" i="17" s="1"/>
  <c r="J4211" i="17" a="1"/>
  <c r="J4211" i="17" s="1"/>
  <c r="J4515" i="17" a="1"/>
  <c r="J4515" i="17" s="1"/>
  <c r="J2697" i="17" a="1"/>
  <c r="J2697" i="17" s="1"/>
  <c r="J3001" i="17" a="1"/>
  <c r="J3001" i="17" s="1"/>
  <c r="J1487" i="17" a="1"/>
  <c r="J1487" i="17" s="1"/>
  <c r="J3305" i="17" a="1"/>
  <c r="J3305" i="17" s="1"/>
  <c r="J879" i="17" a="1"/>
  <c r="J879" i="17" s="1"/>
  <c r="J575" i="17" a="1"/>
  <c r="J575" i="17" s="1"/>
  <c r="J3909" i="17" a="1"/>
  <c r="J3909" i="17" s="1"/>
  <c r="J273" i="17" a="1"/>
  <c r="J273" i="17" s="1"/>
  <c r="J2393" i="17" a="1"/>
  <c r="J2393" i="17" s="1"/>
  <c r="J1183" i="17" a="1"/>
  <c r="J1183" i="17" s="1"/>
  <c r="J2091" i="17" a="1"/>
  <c r="J2091" i="17" s="1"/>
  <c r="J1506" i="18"/>
  <c r="J898" i="18"/>
  <c r="J873" i="18"/>
  <c r="J267" i="18"/>
  <c r="J1808" i="18"/>
  <c r="J5444" i="17"/>
  <c r="J1177" i="18"/>
  <c r="J5419" i="17"/>
  <c r="J1202" i="18"/>
  <c r="J569" i="18"/>
  <c r="J5142" i="17"/>
  <c r="J4813" i="17"/>
  <c r="J1481" i="18"/>
  <c r="J594" i="18"/>
  <c r="J4205" i="17"/>
  <c r="J4509" i="17"/>
  <c r="J4230" i="17"/>
  <c r="J5117" i="17"/>
  <c r="J4534" i="17"/>
  <c r="J1783" i="18"/>
  <c r="J4838" i="17"/>
  <c r="J3324" i="17"/>
  <c r="J3020" i="17"/>
  <c r="J2412" i="17"/>
  <c r="J1808" i="17"/>
  <c r="J1506" i="17"/>
  <c r="J292" i="18"/>
  <c r="J2716" i="17"/>
  <c r="J2387" i="17"/>
  <c r="J1177" i="17"/>
  <c r="J3601" i="17"/>
  <c r="J2691" i="17"/>
  <c r="J898" i="17"/>
  <c r="J594" i="17"/>
  <c r="J2995" i="17"/>
  <c r="J1783" i="17"/>
  <c r="J1202" i="17"/>
  <c r="J292" i="17"/>
  <c r="J1481" i="17"/>
  <c r="J3928" i="17"/>
  <c r="J2085" i="17"/>
  <c r="J569" i="17"/>
  <c r="J3626" i="17"/>
  <c r="J2110" i="17"/>
  <c r="J873" i="17"/>
  <c r="J3903" i="17"/>
  <c r="J267" i="17"/>
  <c r="J3299" i="17"/>
  <c r="J968" i="18"/>
  <c r="J1576" i="18"/>
  <c r="J362" i="18"/>
  <c r="J5212" i="17"/>
  <c r="J60" i="18"/>
  <c r="J1272" i="18"/>
  <c r="J4908" i="17"/>
  <c r="J4604" i="17"/>
  <c r="J4300" i="17"/>
  <c r="J3394" i="17"/>
  <c r="J664" i="18"/>
  <c r="J2786" i="17"/>
  <c r="J1576" i="17"/>
  <c r="J3090" i="17"/>
  <c r="J664" i="17"/>
  <c r="J968" i="17"/>
  <c r="J1272" i="17"/>
  <c r="J1878" i="17"/>
  <c r="J2180" i="17"/>
  <c r="J3696" i="17"/>
  <c r="J60" i="17"/>
  <c r="J2482" i="17"/>
  <c r="J362" i="17"/>
  <c r="J3998" i="17"/>
  <c r="J549" i="18"/>
  <c r="J1490" i="18"/>
  <c r="J882" i="18"/>
  <c r="J1792" i="18"/>
  <c r="J853" i="18"/>
  <c r="J1186" i="18"/>
  <c r="J5428" i="17"/>
  <c r="J5399" i="17"/>
  <c r="J1157" i="18"/>
  <c r="J578" i="18"/>
  <c r="J1763" i="18"/>
  <c r="J1461" i="18"/>
  <c r="J276" i="18"/>
  <c r="J247" i="18"/>
  <c r="J5126" i="17"/>
  <c r="J5097" i="17"/>
  <c r="J4793" i="17"/>
  <c r="J4822" i="17"/>
  <c r="J4214" i="17"/>
  <c r="J4185" i="17"/>
  <c r="J4489" i="17"/>
  <c r="J3610" i="17"/>
  <c r="J3308" i="17"/>
  <c r="J3004" i="17"/>
  <c r="J3279" i="17"/>
  <c r="J2700" i="17"/>
  <c r="J3581" i="17"/>
  <c r="J1792" i="17"/>
  <c r="J1763" i="17"/>
  <c r="J1490" i="17"/>
  <c r="J1461" i="17"/>
  <c r="J4518" i="17"/>
  <c r="J882" i="17"/>
  <c r="J578" i="17"/>
  <c r="J2671" i="17"/>
  <c r="J2367" i="17"/>
  <c r="J1186" i="17"/>
  <c r="J853" i="17"/>
  <c r="J549" i="17"/>
  <c r="J3912" i="17"/>
  <c r="J276" i="17"/>
  <c r="J3883" i="17"/>
  <c r="J247" i="17"/>
  <c r="J2396" i="17"/>
  <c r="J2094" i="17"/>
  <c r="J1157" i="17"/>
  <c r="J2975" i="17"/>
  <c r="J2065" i="17"/>
  <c r="J1578" i="18" a="1"/>
  <c r="J1578" i="18" s="1"/>
  <c r="J364" i="18" a="1"/>
  <c r="J364" i="18" s="1"/>
  <c r="J1274" i="18" a="1"/>
  <c r="J1274" i="18" s="1"/>
  <c r="J62" i="18" a="1"/>
  <c r="J62" i="18" s="1"/>
  <c r="J5214" i="17" a="1"/>
  <c r="J5214" i="17" s="1"/>
  <c r="J970" i="18" a="1"/>
  <c r="J970" i="18" s="1"/>
  <c r="J666" i="18" a="1"/>
  <c r="J666" i="18" s="1"/>
  <c r="J4606" i="17" a="1"/>
  <c r="J4606" i="17" s="1"/>
  <c r="J4302" i="17" a="1"/>
  <c r="J4302" i="17" s="1"/>
  <c r="J3396" i="17" a="1"/>
  <c r="J3396" i="17" s="1"/>
  <c r="J4000" i="17" a="1"/>
  <c r="J4000" i="17" s="1"/>
  <c r="J3092" i="17" a="1"/>
  <c r="J3092" i="17" s="1"/>
  <c r="J2788" i="17" a="1"/>
  <c r="J2788" i="17" s="1"/>
  <c r="J1274" i="17" a="1"/>
  <c r="J1274" i="17" s="1"/>
  <c r="J2182" i="17" a="1"/>
  <c r="J2182" i="17" s="1"/>
  <c r="J2484" i="17" a="1"/>
  <c r="J2484" i="17" s="1"/>
  <c r="J4910" i="17" a="1"/>
  <c r="J4910" i="17" s="1"/>
  <c r="J970" i="17" a="1"/>
  <c r="J970" i="17" s="1"/>
  <c r="J666" i="17" a="1"/>
  <c r="J666" i="17" s="1"/>
  <c r="J3698" i="17" a="1"/>
  <c r="J3698" i="17" s="1"/>
  <c r="J62" i="17" a="1"/>
  <c r="J62" i="17" s="1"/>
  <c r="J1578" i="17" a="1"/>
  <c r="J1578" i="17" s="1"/>
  <c r="J364" i="17" a="1"/>
  <c r="J364" i="17" s="1"/>
  <c r="J1880" i="17" a="1"/>
  <c r="J1880" i="17" s="1"/>
  <c r="J1292" i="18" a="1"/>
  <c r="J1292" i="18" s="1"/>
  <c r="J80" i="18" a="1"/>
  <c r="J80" i="18" s="1"/>
  <c r="J1596" i="18" a="1"/>
  <c r="J1596" i="18" s="1"/>
  <c r="J382" i="18" a="1"/>
  <c r="J382" i="18" s="1"/>
  <c r="J4928" i="17" a="1"/>
  <c r="J4928" i="17" s="1"/>
  <c r="J988" i="18" a="1"/>
  <c r="J988" i="18" s="1"/>
  <c r="J5232" i="17" a="1"/>
  <c r="J5232" i="17" s="1"/>
  <c r="J684" i="18" a="1"/>
  <c r="J684" i="18" s="1"/>
  <c r="J4018" i="17" a="1"/>
  <c r="J4018" i="17" s="1"/>
  <c r="J4624" i="17" a="1"/>
  <c r="J4624" i="17" s="1"/>
  <c r="J3110" i="17" a="1"/>
  <c r="J3110" i="17" s="1"/>
  <c r="J4320" i="17" a="1"/>
  <c r="J4320" i="17" s="1"/>
  <c r="J3414" i="17" a="1"/>
  <c r="J3414" i="17" s="1"/>
  <c r="J2200" i="17" a="1"/>
  <c r="J2200" i="17" s="1"/>
  <c r="J382" i="17" a="1"/>
  <c r="J382" i="17" s="1"/>
  <c r="J1596" i="17" a="1"/>
  <c r="J1596" i="17" s="1"/>
  <c r="J2502" i="17" a="1"/>
  <c r="J2502" i="17" s="1"/>
  <c r="J988" i="17" a="1"/>
  <c r="J988" i="17" s="1"/>
  <c r="J3716" i="17" a="1"/>
  <c r="J3716" i="17" s="1"/>
  <c r="J80" i="17" a="1"/>
  <c r="J80" i="17" s="1"/>
  <c r="J2806" i="17" a="1"/>
  <c r="J2806" i="17" s="1"/>
  <c r="J684" i="17" a="1"/>
  <c r="J684" i="17" s="1"/>
  <c r="J1898" i="17" a="1"/>
  <c r="J1898" i="17" s="1"/>
  <c r="J1292" i="17" a="1"/>
  <c r="J1292" i="17" s="1"/>
  <c r="J675" i="18" a="1"/>
  <c r="J675" i="18" s="1"/>
  <c r="J1283" i="18" a="1"/>
  <c r="J1283" i="18" s="1"/>
  <c r="J979" i="18" a="1"/>
  <c r="J979" i="18" s="1"/>
  <c r="J373" i="18" a="1"/>
  <c r="J373" i="18" s="1"/>
  <c r="J4919" i="17" a="1"/>
  <c r="J4919" i="17" s="1"/>
  <c r="J1587" i="18" a="1"/>
  <c r="J1587" i="18" s="1"/>
  <c r="J5223" i="17" a="1"/>
  <c r="J5223" i="17" s="1"/>
  <c r="J71" i="18" a="1"/>
  <c r="J71" i="18" s="1"/>
  <c r="J4009" i="17" a="1"/>
  <c r="J4009" i="17" s="1"/>
  <c r="J4615" i="17" a="1"/>
  <c r="J4615" i="17" s="1"/>
  <c r="J4311" i="17" a="1"/>
  <c r="J4311" i="17" s="1"/>
  <c r="J3405" i="17" a="1"/>
  <c r="J3405" i="17" s="1"/>
  <c r="J2493" i="17" a="1"/>
  <c r="J2493" i="17" s="1"/>
  <c r="J1587" i="17" a="1"/>
  <c r="J1587" i="17" s="1"/>
  <c r="J2797" i="17" a="1"/>
  <c r="J2797" i="17" s="1"/>
  <c r="J675" i="17" a="1"/>
  <c r="J675" i="17" s="1"/>
  <c r="J979" i="17" a="1"/>
  <c r="J979" i="17" s="1"/>
  <c r="J3101" i="17" a="1"/>
  <c r="J3101" i="17" s="1"/>
  <c r="J2191" i="17" a="1"/>
  <c r="J2191" i="17" s="1"/>
  <c r="J373" i="17" a="1"/>
  <c r="J373" i="17" s="1"/>
  <c r="J1889" i="17" a="1"/>
  <c r="J1889" i="17" s="1"/>
  <c r="J1283" i="17" a="1"/>
  <c r="J1283" i="17" s="1"/>
  <c r="J3707" i="17" a="1"/>
  <c r="J3707" i="17" s="1"/>
  <c r="J71" i="17" a="1"/>
  <c r="J71" i="17" s="1"/>
  <c r="J996" i="18"/>
  <c r="J1300" i="18"/>
  <c r="J692" i="18"/>
  <c r="J390" i="18"/>
  <c r="J88" i="18"/>
  <c r="J1604" i="18"/>
  <c r="J5240" i="17"/>
  <c r="J4632" i="17"/>
  <c r="J4328" i="17"/>
  <c r="J3422" i="17"/>
  <c r="J4936" i="17"/>
  <c r="J4026" i="17"/>
  <c r="J1604" i="17"/>
  <c r="J692" i="17"/>
  <c r="J2510" i="17"/>
  <c r="J996" i="17"/>
  <c r="J2814" i="17"/>
  <c r="J1300" i="17"/>
  <c r="J1906" i="17"/>
  <c r="J3724" i="17"/>
  <c r="J88" i="17"/>
  <c r="J390" i="17"/>
  <c r="J3118" i="17"/>
  <c r="J2208" i="17"/>
  <c r="J691" i="18"/>
  <c r="J1603" i="18"/>
  <c r="J1299" i="18"/>
  <c r="J389" i="18"/>
  <c r="J87" i="18"/>
  <c r="J4935" i="17"/>
  <c r="J995" i="18"/>
  <c r="J5239" i="17"/>
  <c r="J4025" i="17"/>
  <c r="J4631" i="17"/>
  <c r="J4327" i="17"/>
  <c r="J3421" i="17"/>
  <c r="J2509" i="17"/>
  <c r="J1603" i="17"/>
  <c r="J691" i="17"/>
  <c r="J995" i="17"/>
  <c r="J2813" i="17"/>
  <c r="J1905" i="17"/>
  <c r="J1299" i="17"/>
  <c r="J2207" i="17"/>
  <c r="J389" i="17"/>
  <c r="J3723" i="17"/>
  <c r="J87" i="17"/>
  <c r="J3117" i="17"/>
  <c r="J952" i="18" a="1"/>
  <c r="J952" i="18" s="1"/>
  <c r="J1256" i="18" a="1"/>
  <c r="J1256" i="18" s="1"/>
  <c r="J648" i="18" a="1"/>
  <c r="J648" i="18" s="1"/>
  <c r="J44" i="18" a="1"/>
  <c r="J44" i="18" s="1"/>
  <c r="J346" i="18" a="1"/>
  <c r="J346" i="18" s="1"/>
  <c r="J4588" i="17" a="1"/>
  <c r="J4588" i="17" s="1"/>
  <c r="J4284" i="17" a="1"/>
  <c r="J4284" i="17" s="1"/>
  <c r="J4892" i="17" a="1"/>
  <c r="J4892" i="17" s="1"/>
  <c r="J3074" i="17" a="1"/>
  <c r="J3074" i="17" s="1"/>
  <c r="J3982" i="17" a="1"/>
  <c r="J3982" i="17" s="1"/>
  <c r="J648" i="17" a="1"/>
  <c r="J648" i="17" s="1"/>
  <c r="J952" i="17" a="1"/>
  <c r="J952" i="17" s="1"/>
  <c r="J2466" i="17" a="1"/>
  <c r="J2466" i="17" s="1"/>
  <c r="J1256" i="17" a="1"/>
  <c r="J1256" i="17" s="1"/>
  <c r="J1862" i="17" a="1"/>
  <c r="J1862" i="17" s="1"/>
  <c r="J346" i="17" a="1"/>
  <c r="J346" i="17" s="1"/>
  <c r="J2164" i="17" a="1"/>
  <c r="J2164" i="17" s="1"/>
  <c r="J3680" i="17" a="1"/>
  <c r="J3680" i="17" s="1"/>
  <c r="J44" i="17" a="1"/>
  <c r="J44" i="17" s="1"/>
  <c r="J2770" i="17" a="1"/>
  <c r="J2770" i="17" s="1"/>
  <c r="J647" i="18"/>
  <c r="J1559" i="18"/>
  <c r="J1255" i="18"/>
  <c r="J4891" i="17"/>
  <c r="J43" i="18"/>
  <c r="J5195" i="17"/>
  <c r="J345" i="18"/>
  <c r="J951" i="18"/>
  <c r="J3981" i="17"/>
  <c r="J3377" i="17"/>
  <c r="J4587" i="17"/>
  <c r="J4283" i="17"/>
  <c r="J2465" i="17"/>
  <c r="J3073" i="17"/>
  <c r="J1559" i="17"/>
  <c r="J647" i="17"/>
  <c r="J951" i="17"/>
  <c r="J2769" i="17"/>
  <c r="J1861" i="17"/>
  <c r="J345" i="17"/>
  <c r="J2163" i="17"/>
  <c r="J3679" i="17"/>
  <c r="J43" i="17"/>
  <c r="J1255" i="17"/>
  <c r="J663" i="18"/>
  <c r="J1575" i="18"/>
  <c r="J361" i="18"/>
  <c r="J4907" i="17"/>
  <c r="J967" i="18"/>
  <c r="J5211" i="17"/>
  <c r="J59" i="18"/>
  <c r="J1271" i="18"/>
  <c r="J3997" i="17"/>
  <c r="J4603" i="17"/>
  <c r="J4299" i="17"/>
  <c r="J3393" i="17"/>
  <c r="J2481" i="17"/>
  <c r="J2785" i="17"/>
  <c r="J1575" i="17"/>
  <c r="J3089" i="17"/>
  <c r="J663" i="17"/>
  <c r="J967" i="17"/>
  <c r="J1877" i="17"/>
  <c r="J1271" i="17"/>
  <c r="J2179" i="17"/>
  <c r="J361" i="17"/>
  <c r="J3695" i="17"/>
  <c r="J59" i="17"/>
  <c r="J1567" i="18"/>
  <c r="J353" i="18"/>
  <c r="J1263" i="18"/>
  <c r="J655" i="18"/>
  <c r="J51" i="18"/>
  <c r="J959" i="18"/>
  <c r="J5203" i="17"/>
  <c r="J4899" i="17"/>
  <c r="J4595" i="17"/>
  <c r="J4291" i="17"/>
  <c r="J3385" i="17"/>
  <c r="J2473" i="17"/>
  <c r="J1263" i="17"/>
  <c r="J2171" i="17"/>
  <c r="J2777" i="17"/>
  <c r="J353" i="17"/>
  <c r="J3989" i="17"/>
  <c r="J959" i="17"/>
  <c r="J3687" i="17"/>
  <c r="J51" i="17"/>
  <c r="J3081" i="17"/>
  <c r="J1567" i="17"/>
  <c r="J655" i="17"/>
  <c r="J1869" i="17"/>
  <c r="J1768" i="18"/>
  <c r="J1796" i="18"/>
  <c r="J280" i="18"/>
  <c r="J252" i="18"/>
  <c r="J1190" i="18"/>
  <c r="J858" i="18"/>
  <c r="J5432" i="17"/>
  <c r="J1466" i="18"/>
  <c r="J582" i="18"/>
  <c r="J5404" i="17"/>
  <c r="J5130" i="17"/>
  <c r="J5102" i="17"/>
  <c r="J1494" i="18"/>
  <c r="J886" i="18"/>
  <c r="J1162" i="18"/>
  <c r="J4826" i="17"/>
  <c r="J4218" i="17"/>
  <c r="J4190" i="17"/>
  <c r="J4522" i="17"/>
  <c r="J4494" i="17"/>
  <c r="J554" i="18"/>
  <c r="J4798" i="17"/>
  <c r="J3586" i="17"/>
  <c r="J3008" i="17"/>
  <c r="J3614" i="17"/>
  <c r="J3312" i="17"/>
  <c r="J2372" i="17"/>
  <c r="J886" i="17"/>
  <c r="J858" i="17"/>
  <c r="J582" i="17"/>
  <c r="J554" i="17"/>
  <c r="J2676" i="17"/>
  <c r="J1190" i="17"/>
  <c r="J1162" i="17"/>
  <c r="J2980" i="17"/>
  <c r="J2400" i="17"/>
  <c r="J3284" i="17"/>
  <c r="J1796" i="17"/>
  <c r="J1494" i="17"/>
  <c r="J2098" i="17"/>
  <c r="J2070" i="17"/>
  <c r="J2704" i="17"/>
  <c r="J1768" i="17"/>
  <c r="J3916" i="17"/>
  <c r="J252" i="17"/>
  <c r="J1466" i="17"/>
  <c r="J3888" i="17"/>
  <c r="J280" i="17"/>
  <c r="J1594" i="18"/>
  <c r="J380" i="18"/>
  <c r="J986" i="18"/>
  <c r="J78" i="18"/>
  <c r="J682" i="18"/>
  <c r="J5230" i="17"/>
  <c r="J1290" i="18"/>
  <c r="J4926" i="17"/>
  <c r="J4318" i="17"/>
  <c r="J3412" i="17"/>
  <c r="J4622" i="17"/>
  <c r="J3108" i="17"/>
  <c r="J2804" i="17"/>
  <c r="J4016" i="17"/>
  <c r="J1290" i="17"/>
  <c r="J2198" i="17"/>
  <c r="J2500" i="17"/>
  <c r="J78" i="17"/>
  <c r="J682" i="17"/>
  <c r="J380" i="17"/>
  <c r="J986" i="17"/>
  <c r="J3714" i="17"/>
  <c r="J1896" i="17"/>
  <c r="J1594" i="17"/>
  <c r="J1178" i="18"/>
  <c r="J874" i="18"/>
  <c r="J268" i="18"/>
  <c r="J1482" i="18"/>
  <c r="J1784" i="18"/>
  <c r="J5420" i="17"/>
  <c r="J570" i="18"/>
  <c r="J4510" i="17"/>
  <c r="J5118" i="17"/>
  <c r="J3300" i="17"/>
  <c r="J2996" i="17"/>
  <c r="J4814" i="17"/>
  <c r="J4206" i="17"/>
  <c r="J2388" i="17"/>
  <c r="J3602" i="17"/>
  <c r="J2692" i="17"/>
  <c r="J1784" i="17"/>
  <c r="J1482" i="17"/>
  <c r="J2086" i="17"/>
  <c r="J874" i="17"/>
  <c r="J268" i="17"/>
  <c r="J3904" i="17"/>
  <c r="J570" i="17"/>
  <c r="J1178" i="17"/>
  <c r="J982" i="18" a="1"/>
  <c r="J982" i="18" s="1"/>
  <c r="J678" i="18" a="1"/>
  <c r="J678" i="18" s="1"/>
  <c r="J376" i="18" a="1"/>
  <c r="J376" i="18" s="1"/>
  <c r="J1590" i="18" a="1"/>
  <c r="J1590" i="18" s="1"/>
  <c r="J5226" i="17" a="1"/>
  <c r="J5226" i="17" s="1"/>
  <c r="J1286" i="18" a="1"/>
  <c r="J1286" i="18" s="1"/>
  <c r="J74" i="18" a="1"/>
  <c r="J74" i="18" s="1"/>
  <c r="J4618" i="17" a="1"/>
  <c r="J4618" i="17" s="1"/>
  <c r="J4922" i="17" a="1"/>
  <c r="J4922" i="17" s="1"/>
  <c r="J4314" i="17" a="1"/>
  <c r="J4314" i="17" s="1"/>
  <c r="J3408" i="17" a="1"/>
  <c r="J3408" i="17" s="1"/>
  <c r="J2496" i="17" a="1"/>
  <c r="J2496" i="17" s="1"/>
  <c r="J1590" i="17" a="1"/>
  <c r="J1590" i="17" s="1"/>
  <c r="J2800" i="17" a="1"/>
  <c r="J2800" i="17" s="1"/>
  <c r="J678" i="17" a="1"/>
  <c r="J678" i="17" s="1"/>
  <c r="J4012" i="17" a="1"/>
  <c r="J4012" i="17" s="1"/>
  <c r="J982" i="17" a="1"/>
  <c r="J982" i="17" s="1"/>
  <c r="J3104" i="17" a="1"/>
  <c r="J3104" i="17" s="1"/>
  <c r="J1286" i="17" a="1"/>
  <c r="J1286" i="17" s="1"/>
  <c r="J2194" i="17" a="1"/>
  <c r="J2194" i="17" s="1"/>
  <c r="J376" i="17" a="1"/>
  <c r="J376" i="17" s="1"/>
  <c r="J1892" i="17" a="1"/>
  <c r="J1892" i="17" s="1"/>
  <c r="J3710" i="17" a="1"/>
  <c r="J3710" i="17" s="1"/>
  <c r="J74" i="17" a="1"/>
  <c r="J74" i="17" s="1"/>
  <c r="J690" i="18"/>
  <c r="J1602" i="18"/>
  <c r="J1298" i="18"/>
  <c r="J388" i="18"/>
  <c r="J86" i="18"/>
  <c r="J994" i="18"/>
  <c r="J5238" i="17"/>
  <c r="J4024" i="17"/>
  <c r="J4630" i="17"/>
  <c r="J4934" i="17"/>
  <c r="J3116" i="17"/>
  <c r="J2812" i="17"/>
  <c r="J2206" i="17"/>
  <c r="J4326" i="17"/>
  <c r="J3420" i="17"/>
  <c r="J388" i="17"/>
  <c r="J1602" i="17"/>
  <c r="J2508" i="17"/>
  <c r="J690" i="17"/>
  <c r="J994" i="17"/>
  <c r="J3722" i="17"/>
  <c r="J86" i="17"/>
  <c r="J1904" i="17"/>
  <c r="J1298" i="17"/>
  <c r="J660" i="18" a="1"/>
  <c r="J660" i="18" s="1"/>
  <c r="J964" i="18" a="1"/>
  <c r="J964" i="18" s="1"/>
  <c r="J358" i="18" a="1"/>
  <c r="J358" i="18" s="1"/>
  <c r="J1268" i="18" a="1"/>
  <c r="J1268" i="18" s="1"/>
  <c r="J56" i="18" a="1"/>
  <c r="J56" i="18" s="1"/>
  <c r="J5208" i="17" a="1"/>
  <c r="J5208" i="17" s="1"/>
  <c r="J4904" i="17" a="1"/>
  <c r="J4904" i="17" s="1"/>
  <c r="J3994" i="17" a="1"/>
  <c r="J3994" i="17" s="1"/>
  <c r="J1572" i="18" a="1"/>
  <c r="J1572" i="18" s="1"/>
  <c r="J3086" i="17" a="1"/>
  <c r="J3086" i="17" s="1"/>
  <c r="J2782" i="17" a="1"/>
  <c r="J2782" i="17" s="1"/>
  <c r="J3390" i="17" a="1"/>
  <c r="J3390" i="17" s="1"/>
  <c r="J2478" i="17" a="1"/>
  <c r="J2478" i="17" s="1"/>
  <c r="J2176" i="17" a="1"/>
  <c r="J2176" i="17" s="1"/>
  <c r="J358" i="17" a="1"/>
  <c r="J358" i="17" s="1"/>
  <c r="J4600" i="17" a="1"/>
  <c r="J4600" i="17" s="1"/>
  <c r="J4296" i="17" a="1"/>
  <c r="J4296" i="17" s="1"/>
  <c r="J1572" i="17" a="1"/>
  <c r="J1572" i="17" s="1"/>
  <c r="J660" i="17" a="1"/>
  <c r="J660" i="17" s="1"/>
  <c r="J964" i="17" a="1"/>
  <c r="J964" i="17" s="1"/>
  <c r="J1874" i="17" a="1"/>
  <c r="J1874" i="17" s="1"/>
  <c r="J1268" i="17" a="1"/>
  <c r="J1268" i="17" s="1"/>
  <c r="J56" i="17" a="1"/>
  <c r="J56" i="17" s="1"/>
  <c r="J3692" i="17" a="1"/>
  <c r="J3692" i="17" s="1"/>
  <c r="J1152" i="18"/>
  <c r="J574" i="18"/>
  <c r="J1486" i="18"/>
  <c r="J1788" i="18"/>
  <c r="J544" i="18"/>
  <c r="J1182" i="18"/>
  <c r="J4818" i="17"/>
  <c r="J1758" i="18"/>
  <c r="J5394" i="17"/>
  <c r="J1456" i="18"/>
  <c r="J272" i="18"/>
  <c r="J5424" i="17"/>
  <c r="J242" i="18"/>
  <c r="J4484" i="17"/>
  <c r="J5122" i="17"/>
  <c r="J878" i="18"/>
  <c r="J4788" i="17"/>
  <c r="J3606" i="17"/>
  <c r="J3576" i="17"/>
  <c r="J848" i="18"/>
  <c r="J4210" i="17"/>
  <c r="J3274" i="17"/>
  <c r="J2970" i="17"/>
  <c r="J4180" i="17"/>
  <c r="J5092" i="17"/>
  <c r="J2392" i="17"/>
  <c r="J2696" i="17"/>
  <c r="J1788" i="17"/>
  <c r="J3000" i="17"/>
  <c r="J1758" i="17"/>
  <c r="J1486" i="17"/>
  <c r="J4514" i="17"/>
  <c r="J3304" i="17"/>
  <c r="J1456" i="17"/>
  <c r="J2060" i="17"/>
  <c r="J3878" i="17"/>
  <c r="J242" i="17"/>
  <c r="J3908" i="17"/>
  <c r="J272" i="17"/>
  <c r="J2090" i="17"/>
  <c r="J544" i="17"/>
  <c r="J2666" i="17"/>
  <c r="J574" i="17"/>
  <c r="J1182" i="17"/>
  <c r="J878" i="17"/>
  <c r="J1152" i="17"/>
  <c r="J848" i="17"/>
  <c r="J2362" i="17"/>
  <c r="J253" i="18"/>
  <c r="J1467" i="18"/>
  <c r="J1769" i="18"/>
  <c r="J1163" i="18"/>
  <c r="J859" i="18"/>
  <c r="J4799" i="17"/>
  <c r="J4191" i="17"/>
  <c r="J5103" i="17"/>
  <c r="J4495" i="17"/>
  <c r="J555" i="18"/>
  <c r="J5405" i="17"/>
  <c r="J2373" i="17"/>
  <c r="J2677" i="17"/>
  <c r="J1163" i="17"/>
  <c r="J2981" i="17"/>
  <c r="J3285" i="17"/>
  <c r="J1769" i="17"/>
  <c r="J2071" i="17"/>
  <c r="J1467" i="17"/>
  <c r="J859" i="17"/>
  <c r="J555" i="17"/>
  <c r="J3889" i="17"/>
  <c r="J253" i="17"/>
  <c r="J3587" i="17"/>
  <c r="J955" i="18" a="1"/>
  <c r="J955" i="18" s="1"/>
  <c r="J1563" i="18" a="1"/>
  <c r="J1563" i="18" s="1"/>
  <c r="J1259" i="18" a="1"/>
  <c r="J1259" i="18" s="1"/>
  <c r="J651" i="18" a="1"/>
  <c r="J651" i="18" s="1"/>
  <c r="J47" i="18" a="1"/>
  <c r="J47" i="18" s="1"/>
  <c r="J349" i="18" a="1"/>
  <c r="J349" i="18" s="1"/>
  <c r="J4591" i="17" a="1"/>
  <c r="J4591" i="17" s="1"/>
  <c r="J4287" i="17" a="1"/>
  <c r="J4287" i="17" s="1"/>
  <c r="J4895" i="17" a="1"/>
  <c r="J4895" i="17" s="1"/>
  <c r="J3985" i="17" a="1"/>
  <c r="J3985" i="17" s="1"/>
  <c r="J1563" i="17" a="1"/>
  <c r="J1563" i="17" s="1"/>
  <c r="J955" i="17" a="1"/>
  <c r="J955" i="17" s="1"/>
  <c r="J5199" i="17" a="1"/>
  <c r="J5199" i="17" s="1"/>
  <c r="J3381" i="17" a="1"/>
  <c r="J3381" i="17" s="1"/>
  <c r="J2469" i="17" a="1"/>
  <c r="J2469" i="17" s="1"/>
  <c r="J1259" i="17" a="1"/>
  <c r="J1259" i="17" s="1"/>
  <c r="J2773" i="17" a="1"/>
  <c r="J2773" i="17" s="1"/>
  <c r="J2167" i="17" a="1"/>
  <c r="J2167" i="17" s="1"/>
  <c r="J1865" i="17" a="1"/>
  <c r="J1865" i="17" s="1"/>
  <c r="J349" i="17" a="1"/>
  <c r="J349" i="17" s="1"/>
  <c r="J47" i="17" a="1"/>
  <c r="J47" i="17" s="1"/>
  <c r="J3077" i="17" a="1"/>
  <c r="J3077" i="17" s="1"/>
  <c r="J3683" i="17" a="1"/>
  <c r="J3683" i="17" s="1"/>
  <c r="J651" i="17" a="1"/>
  <c r="J651" i="17" s="1"/>
  <c r="J560" i="18"/>
  <c r="J1774" i="18"/>
  <c r="J1168" i="18"/>
  <c r="J1472" i="18"/>
  <c r="J258" i="18"/>
  <c r="J864" i="18"/>
  <c r="J4804" i="17"/>
  <c r="J5410" i="17"/>
  <c r="J3592" i="17"/>
  <c r="J5108" i="17"/>
  <c r="J4500" i="17"/>
  <c r="J4196" i="17"/>
  <c r="J2682" i="17"/>
  <c r="J2986" i="17"/>
  <c r="J1774" i="17"/>
  <c r="J3290" i="17"/>
  <c r="J1472" i="17"/>
  <c r="J1168" i="17"/>
  <c r="J864" i="17"/>
  <c r="J560" i="17"/>
  <c r="J3894" i="17"/>
  <c r="J258" i="17"/>
  <c r="J2378" i="17"/>
  <c r="J2076" i="17"/>
  <c r="J1581" i="18" a="1"/>
  <c r="J1581" i="18" s="1"/>
  <c r="J367" i="18" a="1"/>
  <c r="J367" i="18" s="1"/>
  <c r="J1277" i="18" a="1"/>
  <c r="J1277" i="18" s="1"/>
  <c r="J973" i="18" a="1"/>
  <c r="J973" i="18" s="1"/>
  <c r="J65" i="18" a="1"/>
  <c r="J65" i="18" s="1"/>
  <c r="J669" i="18" a="1"/>
  <c r="J669" i="18" s="1"/>
  <c r="J2487" i="17" a="1"/>
  <c r="J2487" i="17" s="1"/>
  <c r="J5217" i="17" a="1"/>
  <c r="J5217" i="17" s="1"/>
  <c r="J4609" i="17" a="1"/>
  <c r="J4609" i="17" s="1"/>
  <c r="J4305" i="17" a="1"/>
  <c r="J4305" i="17" s="1"/>
  <c r="J4913" i="17" a="1"/>
  <c r="J4913" i="17" s="1"/>
  <c r="J3095" i="17" a="1"/>
  <c r="J3095" i="17" s="1"/>
  <c r="J1277" i="17" a="1"/>
  <c r="J1277" i="17" s="1"/>
  <c r="J2185" i="17" a="1"/>
  <c r="J2185" i="17" s="1"/>
  <c r="J4003" i="17" a="1"/>
  <c r="J4003" i="17" s="1"/>
  <c r="J367" i="17" a="1"/>
  <c r="J367" i="17" s="1"/>
  <c r="J669" i="17" a="1"/>
  <c r="J669" i="17" s="1"/>
  <c r="J3701" i="17" a="1"/>
  <c r="J3701" i="17" s="1"/>
  <c r="J65" i="17" a="1"/>
  <c r="J65" i="17" s="1"/>
  <c r="J3399" i="17" a="1"/>
  <c r="J3399" i="17" s="1"/>
  <c r="J2791" i="17" a="1"/>
  <c r="J2791" i="17" s="1"/>
  <c r="J1581" i="17" a="1"/>
  <c r="J1581" i="17" s="1"/>
  <c r="J973" i="17" a="1"/>
  <c r="J973" i="17" s="1"/>
  <c r="J1883" i="17" a="1"/>
  <c r="J1883" i="17" s="1"/>
  <c r="J969" i="18"/>
  <c r="J1577" i="18"/>
  <c r="J61" i="18"/>
  <c r="J1273" i="18"/>
  <c r="J665" i="18"/>
  <c r="J5213" i="17"/>
  <c r="J363" i="18"/>
  <c r="J4605" i="17"/>
  <c r="J4301" i="17"/>
  <c r="J4909" i="17"/>
  <c r="J3395" i="17"/>
  <c r="J1577" i="17"/>
  <c r="J3091" i="17"/>
  <c r="J969" i="17"/>
  <c r="J1273" i="17"/>
  <c r="J3999" i="17"/>
  <c r="J2181" i="17"/>
  <c r="J2483" i="17"/>
  <c r="J61" i="17"/>
  <c r="J363" i="17"/>
  <c r="J665" i="17"/>
  <c r="J3697" i="17"/>
  <c r="J1879" i="17"/>
  <c r="J2787" i="17"/>
  <c r="J1167" i="18"/>
  <c r="J1194" i="18"/>
  <c r="J1471" i="18"/>
  <c r="J1773" i="18"/>
  <c r="J586" i="18"/>
  <c r="J890" i="18"/>
  <c r="J284" i="18"/>
  <c r="J257" i="18"/>
  <c r="J1498" i="18"/>
  <c r="J863" i="18"/>
  <c r="J5436" i="17"/>
  <c r="J559" i="18"/>
  <c r="J1800" i="18"/>
  <c r="J5409" i="17"/>
  <c r="J4830" i="17"/>
  <c r="J4526" i="17"/>
  <c r="J4803" i="17"/>
  <c r="J3591" i="17"/>
  <c r="J3316" i="17"/>
  <c r="J3012" i="17"/>
  <c r="J2681" i="17"/>
  <c r="J2377" i="17"/>
  <c r="J5107" i="17"/>
  <c r="J4499" i="17"/>
  <c r="J4222" i="17"/>
  <c r="J2985" i="17"/>
  <c r="J2404" i="17"/>
  <c r="J1773" i="17"/>
  <c r="J4195" i="17"/>
  <c r="J3289" i="17"/>
  <c r="J1471" i="17"/>
  <c r="J2708" i="17"/>
  <c r="J1800" i="17"/>
  <c r="J1498" i="17"/>
  <c r="J586" i="17"/>
  <c r="J2102" i="17"/>
  <c r="J1167" i="17"/>
  <c r="J863" i="17"/>
  <c r="J559" i="17"/>
  <c r="J257" i="17"/>
  <c r="J284" i="17"/>
  <c r="J1194" i="17"/>
  <c r="J890" i="17"/>
  <c r="J2075" i="17"/>
  <c r="J3893" i="17"/>
  <c r="J3920" i="17"/>
  <c r="J3618" i="17"/>
  <c r="J5134" i="17"/>
  <c r="J591" i="18" a="1"/>
  <c r="J591" i="18" s="1"/>
  <c r="J1503" i="18" a="1"/>
  <c r="J1503" i="18" s="1"/>
  <c r="J1805" i="18" a="1"/>
  <c r="J1805" i="18" s="1"/>
  <c r="J289" i="18" a="1"/>
  <c r="J289" i="18" s="1"/>
  <c r="J5441" i="17" a="1"/>
  <c r="J5441" i="17" s="1"/>
  <c r="J895" i="18" a="1"/>
  <c r="J895" i="18" s="1"/>
  <c r="J1199" i="18" a="1"/>
  <c r="J1199" i="18" s="1"/>
  <c r="J5139" i="17" a="1"/>
  <c r="J5139" i="17" s="1"/>
  <c r="J3623" i="17" a="1"/>
  <c r="J3623" i="17" s="1"/>
  <c r="J4531" i="17" a="1"/>
  <c r="J4531" i="17" s="1"/>
  <c r="J2409" i="17" a="1"/>
  <c r="J2409" i="17" s="1"/>
  <c r="J4835" i="17" a="1"/>
  <c r="J4835" i="17" s="1"/>
  <c r="J1805" i="17" a="1"/>
  <c r="J1805" i="17" s="1"/>
  <c r="J1503" i="17" a="1"/>
  <c r="J1503" i="17" s="1"/>
  <c r="J2713" i="17" a="1"/>
  <c r="J2713" i="17" s="1"/>
  <c r="J3017" i="17" a="1"/>
  <c r="J3017" i="17" s="1"/>
  <c r="J895" i="17" a="1"/>
  <c r="J895" i="17" s="1"/>
  <c r="J591" i="17" a="1"/>
  <c r="J591" i="17" s="1"/>
  <c r="J4227" i="17" a="1"/>
  <c r="J4227" i="17" s="1"/>
  <c r="J289" i="17" a="1"/>
  <c r="J289" i="17" s="1"/>
  <c r="J3925" i="17" a="1"/>
  <c r="J3925" i="17" s="1"/>
  <c r="J3321" i="17" a="1"/>
  <c r="J3321" i="17" s="1"/>
  <c r="J2107" i="17" a="1"/>
  <c r="J2107" i="17" s="1"/>
  <c r="J1199" i="17" a="1"/>
  <c r="J1199" i="17" s="1"/>
  <c r="J1195" i="18" a="1"/>
  <c r="J1195" i="18" s="1"/>
  <c r="J891" i="18" a="1"/>
  <c r="J891" i="18" s="1"/>
  <c r="J285" i="18" a="1"/>
  <c r="J285" i="18" s="1"/>
  <c r="J1499" i="18" a="1"/>
  <c r="J1499" i="18" s="1"/>
  <c r="J1801" i="18" a="1"/>
  <c r="J1801" i="18" s="1"/>
  <c r="J5437" i="17" a="1"/>
  <c r="J5437" i="17" s="1"/>
  <c r="J587" i="18" a="1"/>
  <c r="J587" i="18" s="1"/>
  <c r="J4831" i="17" a="1"/>
  <c r="J4831" i="17" s="1"/>
  <c r="J3619" i="17" a="1"/>
  <c r="J3619" i="17" s="1"/>
  <c r="J2709" i="17" a="1"/>
  <c r="J2709" i="17" s="1"/>
  <c r="J2405" i="17" a="1"/>
  <c r="J2405" i="17" s="1"/>
  <c r="J4527" i="17" a="1"/>
  <c r="J4527" i="17" s="1"/>
  <c r="J5135" i="17" a="1"/>
  <c r="J5135" i="17" s="1"/>
  <c r="J4223" i="17" a="1"/>
  <c r="J4223" i="17" s="1"/>
  <c r="J3317" i="17" a="1"/>
  <c r="J3317" i="17" s="1"/>
  <c r="J1801" i="17" a="1"/>
  <c r="J1801" i="17" s="1"/>
  <c r="J1499" i="17" a="1"/>
  <c r="J1499" i="17" s="1"/>
  <c r="J587" i="17" a="1"/>
  <c r="J587" i="17" s="1"/>
  <c r="J3013" i="17" a="1"/>
  <c r="J3013" i="17" s="1"/>
  <c r="J1195" i="17" a="1"/>
  <c r="J1195" i="17" s="1"/>
  <c r="J891" i="17" a="1"/>
  <c r="J891" i="17" s="1"/>
  <c r="J285" i="17" a="1"/>
  <c r="J285" i="17" s="1"/>
  <c r="J3921" i="17" a="1"/>
  <c r="J3921" i="17" s="1"/>
  <c r="J2103" i="17" a="1"/>
  <c r="J2103" i="17" s="1"/>
  <c r="J1253" i="18"/>
  <c r="J1557" i="18"/>
  <c r="J949" i="18"/>
  <c r="J645" i="18"/>
  <c r="J41" i="18"/>
  <c r="J4889" i="17"/>
  <c r="J343" i="18"/>
  <c r="J3979" i="17"/>
  <c r="J4585" i="17"/>
  <c r="J4281" i="17"/>
  <c r="J5193" i="17"/>
  <c r="J2767" i="17"/>
  <c r="J2161" i="17"/>
  <c r="J3071" i="17"/>
  <c r="J1557" i="17"/>
  <c r="J3375" i="17"/>
  <c r="J645" i="17"/>
  <c r="J1253" i="17"/>
  <c r="J343" i="17"/>
  <c r="J1859" i="17"/>
  <c r="J949" i="17"/>
  <c r="J41" i="17"/>
  <c r="J2463" i="17"/>
  <c r="J3677" i="17"/>
  <c r="J985" i="18"/>
  <c r="J1593" i="18"/>
  <c r="J681" i="18"/>
  <c r="J1289" i="18"/>
  <c r="J379" i="18"/>
  <c r="J77" i="18"/>
  <c r="J4621" i="17"/>
  <c r="J4925" i="17"/>
  <c r="J4317" i="17"/>
  <c r="J5229" i="17"/>
  <c r="J2499" i="17"/>
  <c r="J1593" i="17"/>
  <c r="J2803" i="17"/>
  <c r="J4015" i="17"/>
  <c r="J985" i="17"/>
  <c r="J3107" i="17"/>
  <c r="J3411" i="17"/>
  <c r="J1289" i="17"/>
  <c r="J2197" i="17"/>
  <c r="J681" i="17"/>
  <c r="J379" i="17"/>
  <c r="J1895" i="17"/>
  <c r="J77" i="17"/>
  <c r="J3713" i="17"/>
  <c r="J61" i="9"/>
  <c r="I60" i="13"/>
  <c r="I362" i="10"/>
  <c r="I664" i="10"/>
  <c r="I60" i="10"/>
  <c r="I578" i="10"/>
  <c r="I247" i="13"/>
  <c r="R37" i="9"/>
  <c r="I549" i="10"/>
  <c r="I851" i="10"/>
  <c r="I276" i="10"/>
  <c r="I247" i="10"/>
  <c r="I880" i="10"/>
  <c r="I276" i="13"/>
  <c r="I62" i="13" a="1"/>
  <c r="I62" i="13" s="1"/>
  <c r="I62" i="10" a="1"/>
  <c r="I62" i="10" s="1"/>
  <c r="I666" i="10" a="1"/>
  <c r="I666" i="10" s="1"/>
  <c r="J66" i="9"/>
  <c r="I364" i="10" a="1"/>
  <c r="I364" i="10" s="1"/>
  <c r="I684" i="10" a="1"/>
  <c r="I684" i="10" s="1"/>
  <c r="I80" i="10" a="1"/>
  <c r="I80" i="10" s="1"/>
  <c r="I382" i="10" a="1"/>
  <c r="I382" i="10" s="1"/>
  <c r="I80" i="13" a="1"/>
  <c r="I80" i="13" s="1"/>
  <c r="J100" i="9"/>
  <c r="I71" i="10" a="1"/>
  <c r="I71" i="10" s="1"/>
  <c r="J83" i="9"/>
  <c r="I373" i="10" a="1"/>
  <c r="I373" i="10" s="1"/>
  <c r="I71" i="13" a="1"/>
  <c r="I71" i="13" s="1"/>
  <c r="I675" i="10" a="1"/>
  <c r="I675" i="10" s="1"/>
  <c r="R54" i="9"/>
  <c r="I856" i="10"/>
  <c r="I280" i="13"/>
  <c r="I252" i="13"/>
  <c r="I582" i="10"/>
  <c r="I554" i="10"/>
  <c r="I252" i="10"/>
  <c r="I280" i="10"/>
  <c r="I884" i="10"/>
  <c r="J95" i="9"/>
  <c r="I78" i="13"/>
  <c r="I682" i="10"/>
  <c r="I78" i="10"/>
  <c r="I380" i="10"/>
  <c r="J115" i="9"/>
  <c r="I390" i="10"/>
  <c r="I88" i="13"/>
  <c r="I88" i="10"/>
  <c r="I692" i="10"/>
  <c r="I87" i="10"/>
  <c r="J112" i="9"/>
  <c r="I691" i="10"/>
  <c r="I389" i="10"/>
  <c r="I87" i="13"/>
  <c r="J32" i="9"/>
  <c r="I346" i="10" a="1"/>
  <c r="I346" i="10" s="1"/>
  <c r="I44" i="13" a="1"/>
  <c r="I44" i="13" s="1"/>
  <c r="I648" i="10" a="1"/>
  <c r="I648" i="10" s="1"/>
  <c r="I44" i="10" a="1"/>
  <c r="I44" i="10" s="1"/>
  <c r="I647" i="10"/>
  <c r="I43" i="10"/>
  <c r="J30" i="9"/>
  <c r="I345" i="10"/>
  <c r="I43" i="13"/>
  <c r="J88" i="9"/>
  <c r="I26" i="13" s="1" a="1"/>
  <c r="I26" i="13" s="1"/>
  <c r="I74" i="13" a="1"/>
  <c r="I74" i="13" s="1"/>
  <c r="I376" i="10" a="1"/>
  <c r="I376" i="10" s="1"/>
  <c r="I678" i="10" a="1"/>
  <c r="I678" i="10" s="1"/>
  <c r="I74" i="10" a="1"/>
  <c r="I74" i="10" s="1"/>
  <c r="J110" i="9"/>
  <c r="I86" i="10"/>
  <c r="I388" i="10"/>
  <c r="I86" i="13"/>
  <c r="I690" i="10"/>
  <c r="J54" i="9"/>
  <c r="I14" i="13" s="1" a="1"/>
  <c r="I14" i="13" s="1"/>
  <c r="I358" i="10" a="1"/>
  <c r="I358" i="10" s="1"/>
  <c r="I56" i="10" a="1"/>
  <c r="I56" i="10" s="1"/>
  <c r="I56" i="13" a="1"/>
  <c r="I56" i="13" s="1"/>
  <c r="I660" i="10" a="1"/>
  <c r="I660" i="10" s="1"/>
  <c r="I242" i="10"/>
  <c r="R20" i="9"/>
  <c r="I544" i="10"/>
  <c r="I272" i="13"/>
  <c r="I242" i="13"/>
  <c r="I846" i="10"/>
  <c r="I876" i="10"/>
  <c r="I272" i="10"/>
  <c r="I574" i="10"/>
  <c r="I253" i="13"/>
  <c r="I555" i="10"/>
  <c r="I253" i="10"/>
  <c r="I857" i="10"/>
  <c r="I61" i="10"/>
  <c r="J64" i="9"/>
  <c r="I363" i="10"/>
  <c r="I665" i="10"/>
  <c r="I61" i="13"/>
  <c r="I284" i="13"/>
  <c r="I257" i="13"/>
  <c r="I559" i="10"/>
  <c r="I586" i="10"/>
  <c r="I257" i="10"/>
  <c r="I861" i="10"/>
  <c r="R71" i="9"/>
  <c r="I284" i="10"/>
  <c r="I888" i="10"/>
  <c r="I893" i="10" a="1"/>
  <c r="I893" i="10" s="1"/>
  <c r="I289" i="10" a="1"/>
  <c r="I289" i="10" s="1"/>
  <c r="I289" i="13" a="1"/>
  <c r="I289" i="13" s="1"/>
  <c r="I591" i="10" a="1"/>
  <c r="I591" i="10" s="1"/>
  <c r="R100" i="9"/>
  <c r="I587" i="10" a="1"/>
  <c r="I587" i="10" s="1"/>
  <c r="I889" i="10" a="1"/>
  <c r="I889" i="10" s="1"/>
  <c r="I285" i="10" a="1"/>
  <c r="I285" i="10" s="1"/>
  <c r="I285" i="13" a="1"/>
  <c r="I285" i="13" s="1"/>
  <c r="R83" i="9"/>
  <c r="J25" i="9"/>
  <c r="I41" i="10"/>
  <c r="I41" i="13"/>
  <c r="I645" i="10"/>
  <c r="I343" i="10"/>
  <c r="I77" i="13"/>
  <c r="I681" i="10"/>
  <c r="I77" i="10"/>
  <c r="I379" i="10"/>
  <c r="J93" i="9"/>
  <c r="R105" i="9"/>
  <c r="I896" i="10"/>
  <c r="I267" i="13"/>
  <c r="I569" i="10"/>
  <c r="I292" i="13"/>
  <c r="I871" i="10"/>
  <c r="I292" i="10"/>
  <c r="I594" i="10"/>
  <c r="I267" i="10"/>
  <c r="I872" i="10"/>
  <c r="I268" i="10"/>
  <c r="I268" i="13"/>
  <c r="I570" i="10"/>
  <c r="J76" i="9"/>
  <c r="I68" i="13"/>
  <c r="I672" i="10"/>
  <c r="I68" i="10"/>
  <c r="I370" i="10"/>
  <c r="I642" i="10" a="1"/>
  <c r="I642" i="10" s="1"/>
  <c r="I38" i="10" a="1"/>
  <c r="I38" i="10" s="1"/>
  <c r="I38" i="13" a="1"/>
  <c r="I38" i="13" s="1"/>
  <c r="I340" i="10" a="1"/>
  <c r="I340" i="10" s="1"/>
  <c r="J20" i="9"/>
  <c r="I606" i="10" s="1" a="1"/>
  <c r="I606" i="10" s="1"/>
  <c r="J59" i="9"/>
  <c r="I361" i="10"/>
  <c r="I59" i="13"/>
  <c r="I663" i="10"/>
  <c r="I59" i="10"/>
  <c r="I69" i="13"/>
  <c r="I673" i="10"/>
  <c r="I371" i="10"/>
  <c r="J78" i="9"/>
  <c r="I69" i="10"/>
  <c r="I258" i="10"/>
  <c r="I862" i="10"/>
  <c r="I258" i="13"/>
  <c r="I560" i="10"/>
  <c r="J44" i="9"/>
  <c r="I51" i="13"/>
  <c r="I655" i="10"/>
  <c r="I353" i="10"/>
  <c r="I51" i="10"/>
  <c r="J27" i="9"/>
  <c r="I42" i="10"/>
  <c r="I42" i="13"/>
  <c r="I344" i="10"/>
  <c r="I646" i="10"/>
  <c r="I273" i="13" a="1"/>
  <c r="I273" i="13" s="1"/>
  <c r="I575" i="10" a="1"/>
  <c r="I575" i="10" s="1"/>
  <c r="R32" i="9"/>
  <c r="I273" i="10" a="1"/>
  <c r="I273" i="10" s="1"/>
  <c r="I877" i="10" a="1"/>
  <c r="I877" i="10" s="1"/>
  <c r="I674" i="10"/>
  <c r="I70" i="10"/>
  <c r="J81" i="9"/>
  <c r="I70" i="13"/>
  <c r="I372" i="10"/>
  <c r="I352" i="10"/>
  <c r="J42" i="9"/>
  <c r="I50" i="10"/>
  <c r="I50" i="13"/>
  <c r="I654" i="10"/>
  <c r="I281" i="13" a="1"/>
  <c r="I281" i="13" s="1"/>
  <c r="R66" i="9"/>
  <c r="I583" i="10" a="1"/>
  <c r="I583" i="10" s="1"/>
  <c r="I281" i="10" a="1"/>
  <c r="I281" i="10" s="1"/>
  <c r="I885" i="10" a="1"/>
  <c r="I885" i="10" s="1"/>
  <c r="J37" i="9"/>
  <c r="I310" i="10" s="1" a="1"/>
  <c r="I310" i="10" s="1"/>
  <c r="I349" i="10" a="1"/>
  <c r="I349" i="10" s="1"/>
  <c r="I47" i="13" a="1"/>
  <c r="I47" i="13" s="1"/>
  <c r="I47" i="10" a="1"/>
  <c r="I47" i="10" s="1"/>
  <c r="I651" i="10" a="1"/>
  <c r="I651" i="10" s="1"/>
  <c r="I550" i="10"/>
  <c r="I852" i="10"/>
  <c r="I248" i="13"/>
  <c r="I248" i="10"/>
  <c r="I897" i="10" a="1"/>
  <c r="I897" i="10" s="1"/>
  <c r="R117" i="9"/>
  <c r="I293" i="10" a="1"/>
  <c r="I293" i="10" s="1"/>
  <c r="I293" i="13" a="1"/>
  <c r="I293" i="13" s="1"/>
  <c r="I595" i="10" a="1"/>
  <c r="I595" i="10" s="1"/>
  <c r="J98" i="9"/>
  <c r="I79" i="13"/>
  <c r="I683" i="10"/>
  <c r="I381" i="10"/>
  <c r="I79" i="10"/>
  <c r="I867" i="10"/>
  <c r="I263" i="10"/>
  <c r="I263" i="13"/>
  <c r="I565" i="10"/>
  <c r="I243" i="13"/>
  <c r="I545" i="10"/>
  <c r="I243" i="10"/>
  <c r="I847" i="10"/>
  <c r="J71" i="9"/>
  <c r="I624" i="10" s="1" a="1"/>
  <c r="I624" i="10" s="1"/>
  <c r="I65" i="13" a="1"/>
  <c r="I65" i="13" s="1"/>
  <c r="I669" i="10" a="1"/>
  <c r="I669" i="10" s="1"/>
  <c r="I65" i="10" a="1"/>
  <c r="I65" i="10" s="1"/>
  <c r="I367" i="10" a="1"/>
  <c r="I367" i="10" s="1"/>
  <c r="I892" i="10"/>
  <c r="I866" i="10"/>
  <c r="I262" i="10"/>
  <c r="I262" i="13"/>
  <c r="I564" i="10"/>
  <c r="I288" i="10"/>
  <c r="R88" i="9"/>
  <c r="I288" i="13"/>
  <c r="I590" i="10"/>
  <c r="I657" i="10" a="1"/>
  <c r="I657" i="10" s="1"/>
  <c r="I53" i="13" a="1"/>
  <c r="I53" i="13" s="1"/>
  <c r="J49" i="9"/>
  <c r="I53" i="10" a="1"/>
  <c r="I53" i="10" s="1"/>
  <c r="I355" i="10" a="1"/>
  <c r="I355" i="10" s="1"/>
  <c r="I83" i="10" a="1"/>
  <c r="I83" i="10" s="1"/>
  <c r="J105" i="9"/>
  <c r="I334" i="10" s="1" a="1"/>
  <c r="I334" i="10" s="1"/>
  <c r="I687" i="10" a="1"/>
  <c r="I687" i="10" s="1"/>
  <c r="I83" i="13" a="1"/>
  <c r="I83" i="13" s="1"/>
  <c r="I385" i="10" a="1"/>
  <c r="I385" i="10" s="1"/>
  <c r="I277" i="10" a="1"/>
  <c r="I277" i="10" s="1"/>
  <c r="I277" i="13" a="1"/>
  <c r="I277" i="13" s="1"/>
  <c r="I579" i="10" a="1"/>
  <c r="I579" i="10" s="1"/>
  <c r="I881" i="10" a="1"/>
  <c r="I881" i="10" s="1"/>
  <c r="R49" i="9"/>
  <c r="J117" i="9"/>
  <c r="I391" i="10" a="1"/>
  <c r="I391" i="10" s="1"/>
  <c r="I89" i="13" a="1"/>
  <c r="I89" i="13" s="1"/>
  <c r="I693" i="10" a="1"/>
  <c r="I693" i="10" s="1"/>
  <c r="I89" i="10" a="1"/>
  <c r="I89" i="10" s="1"/>
  <c r="J47" i="9"/>
  <c r="I52" i="13"/>
  <c r="I656" i="10"/>
  <c r="I52" i="10"/>
  <c r="I354" i="10"/>
  <c r="J916" i="17" l="1" a="1"/>
  <c r="J916" i="17" s="1"/>
  <c r="J1226" i="18" a="1"/>
  <c r="J1226" i="18" s="1"/>
  <c r="J2128" i="17" a="1"/>
  <c r="J2128" i="17" s="1"/>
  <c r="J928" i="17" a="1"/>
  <c r="J928" i="17" s="1"/>
  <c r="J2746" i="17" a="1"/>
  <c r="J2746" i="17" s="1"/>
  <c r="J1232" i="18" a="1"/>
  <c r="J1232" i="18" s="1"/>
  <c r="J1820" i="17" a="1"/>
  <c r="J1820" i="17" s="1"/>
  <c r="J1832" i="17" a="1"/>
  <c r="J1832" i="17" s="1"/>
  <c r="J2424" i="17" a="1"/>
  <c r="J2424" i="17" s="1"/>
  <c r="J1530" i="17" a="1"/>
  <c r="J1530" i="17" s="1"/>
  <c r="J4242" i="17" a="1"/>
  <c r="J4242" i="17" s="1"/>
  <c r="J1244" i="17" a="1"/>
  <c r="J1244" i="17" s="1"/>
  <c r="J8" i="18" a="1"/>
  <c r="J8" i="18" s="1"/>
  <c r="J1238" i="17" a="1"/>
  <c r="J1238" i="17" s="1"/>
  <c r="J2448" i="17" a="1"/>
  <c r="J2448" i="17" s="1"/>
  <c r="J3964" i="17" a="1"/>
  <c r="J3964" i="17" s="1"/>
  <c r="J546" i="18" a="1"/>
  <c r="J546" i="18" s="1"/>
  <c r="J1154" i="18" a="1"/>
  <c r="J1154" i="18" s="1"/>
  <c r="J850" i="18" a="1"/>
  <c r="J850" i="18" s="1"/>
  <c r="J4790" i="17" a="1"/>
  <c r="J4790" i="17" s="1"/>
  <c r="J1458" i="18" a="1"/>
  <c r="J1458" i="18" s="1"/>
  <c r="J244" i="18" a="1"/>
  <c r="J244" i="18" s="1"/>
  <c r="J5094" i="17" a="1"/>
  <c r="J5094" i="17" s="1"/>
  <c r="J4182" i="17" a="1"/>
  <c r="J4182" i="17" s="1"/>
  <c r="J3276" i="17" a="1"/>
  <c r="J3276" i="17" s="1"/>
  <c r="J1458" i="17" a="1"/>
  <c r="J1458" i="17" s="1"/>
  <c r="J2062" i="17" a="1"/>
  <c r="J2062" i="17" s="1"/>
  <c r="J2668" i="17" a="1"/>
  <c r="J2668" i="17" s="1"/>
  <c r="J3880" i="17" a="1"/>
  <c r="J3880" i="17" s="1"/>
  <c r="J244" i="17" a="1"/>
  <c r="J244" i="17" s="1"/>
  <c r="J1154" i="17" a="1"/>
  <c r="J1154" i="17" s="1"/>
  <c r="J850" i="17" a="1"/>
  <c r="J850" i="17" s="1"/>
  <c r="J546" i="17" a="1"/>
  <c r="J546" i="17" s="1"/>
  <c r="J4486" i="17" a="1"/>
  <c r="J4486" i="17" s="1"/>
  <c r="J2972" i="17" a="1"/>
  <c r="J2972" i="17" s="1"/>
  <c r="J2364" i="17" a="1"/>
  <c r="J2364" i="17" s="1"/>
  <c r="J632" i="18"/>
  <c r="J1240" i="18"/>
  <c r="J936" i="18"/>
  <c r="J28" i="18"/>
  <c r="J4876" i="17"/>
  <c r="J5180" i="17"/>
  <c r="J1544" i="18"/>
  <c r="J3966" i="17"/>
  <c r="J3362" i="17"/>
  <c r="J330" i="18"/>
  <c r="J4572" i="17"/>
  <c r="J4268" i="17"/>
  <c r="J2450" i="17"/>
  <c r="J1544" i="17"/>
  <c r="J632" i="17"/>
  <c r="J936" i="17"/>
  <c r="J2754" i="17"/>
  <c r="J330" i="17"/>
  <c r="J1846" i="17"/>
  <c r="J1240" i="17"/>
  <c r="J2148" i="17"/>
  <c r="J3058" i="17"/>
  <c r="J3664" i="17"/>
  <c r="J28" i="17"/>
  <c r="J3668" i="17" a="1"/>
  <c r="J3668" i="17" s="1"/>
  <c r="J2758" i="17" a="1"/>
  <c r="J2758" i="17" s="1"/>
  <c r="J3366" i="17" a="1"/>
  <c r="J3366" i="17" s="1"/>
  <c r="J1826" i="17" a="1"/>
  <c r="J1826" i="17" s="1"/>
  <c r="J4248" i="17" a="1"/>
  <c r="J4248" i="17" s="1"/>
  <c r="J1524" i="18" a="1"/>
  <c r="J1524" i="18" s="1"/>
  <c r="J322" i="17" a="1"/>
  <c r="J322" i="17" s="1"/>
  <c r="J2442" i="17" a="1"/>
  <c r="J2442" i="17" s="1"/>
  <c r="J20" i="18" a="1"/>
  <c r="J20" i="18" s="1"/>
  <c r="J2134" i="17" a="1"/>
  <c r="J2134" i="17" s="1"/>
  <c r="J3348" i="17" a="1"/>
  <c r="J3348" i="17" s="1"/>
  <c r="J316" i="18" a="1"/>
  <c r="J316" i="18" s="1"/>
  <c r="J1844" i="17" a="1"/>
  <c r="J1844" i="17" s="1"/>
  <c r="J328" i="17" a="1"/>
  <c r="J328" i="17" s="1"/>
  <c r="J5178" i="17" a="1"/>
  <c r="J5178" i="17" s="1"/>
  <c r="J910" i="17" a="1"/>
  <c r="J910" i="17" s="1"/>
  <c r="J2122" i="17" a="1"/>
  <c r="J2122" i="17" s="1"/>
  <c r="J4546" i="17" a="1"/>
  <c r="J4546" i="17" s="1"/>
  <c r="J1850" i="17" a="1"/>
  <c r="J1850" i="17" s="1"/>
  <c r="J1780" i="18" a="1"/>
  <c r="J1780" i="18" s="1"/>
  <c r="J264" i="18" a="1"/>
  <c r="J264" i="18" s="1"/>
  <c r="J566" i="18" a="1"/>
  <c r="J566" i="18" s="1"/>
  <c r="J870" i="18" a="1"/>
  <c r="J870" i="18" s="1"/>
  <c r="J5114" i="17" a="1"/>
  <c r="J5114" i="17" s="1"/>
  <c r="J1174" i="18" a="1"/>
  <c r="J1174" i="18" s="1"/>
  <c r="J1478" i="18" a="1"/>
  <c r="J1478" i="18" s="1"/>
  <c r="J5416" i="17" a="1"/>
  <c r="J5416" i="17" s="1"/>
  <c r="J4202" i="17" a="1"/>
  <c r="J4202" i="17" s="1"/>
  <c r="J4506" i="17" a="1"/>
  <c r="J4506" i="17" s="1"/>
  <c r="J4810" i="17" a="1"/>
  <c r="J4810" i="17" s="1"/>
  <c r="J3296" i="17" a="1"/>
  <c r="J3296" i="17" s="1"/>
  <c r="J870" i="17" a="1"/>
  <c r="J870" i="17" s="1"/>
  <c r="J566" i="17" a="1"/>
  <c r="J566" i="17" s="1"/>
  <c r="J2384" i="17" a="1"/>
  <c r="J2384" i="17" s="1"/>
  <c r="J1174" i="17" a="1"/>
  <c r="J1174" i="17" s="1"/>
  <c r="J3598" i="17" a="1"/>
  <c r="J3598" i="17" s="1"/>
  <c r="J2688" i="17" a="1"/>
  <c r="J2688" i="17" s="1"/>
  <c r="J1780" i="17" a="1"/>
  <c r="J1780" i="17" s="1"/>
  <c r="J264" i="17" a="1"/>
  <c r="J264" i="17" s="1"/>
  <c r="J1478" i="17" a="1"/>
  <c r="J1478" i="17" s="1"/>
  <c r="J2082" i="17" a="1"/>
  <c r="J2082" i="17" s="1"/>
  <c r="J3900" i="17" a="1"/>
  <c r="J3900" i="17" s="1"/>
  <c r="J2992" i="17" a="1"/>
  <c r="J2992" i="17" s="1"/>
  <c r="J1217" i="18" a="1"/>
  <c r="J1217" i="18" s="1"/>
  <c r="J5" i="18" a="1"/>
  <c r="J5" i="18" s="1"/>
  <c r="J609" i="18" a="1"/>
  <c r="J609" i="18" s="1"/>
  <c r="J4853" i="17" a="1"/>
  <c r="J4853" i="17" s="1"/>
  <c r="J307" i="18" a="1"/>
  <c r="J307" i="18" s="1"/>
  <c r="J913" i="18" a="1"/>
  <c r="J913" i="18" s="1"/>
  <c r="J3943" i="17" a="1"/>
  <c r="J3943" i="17" s="1"/>
  <c r="J4549" i="17" a="1"/>
  <c r="J4549" i="17" s="1"/>
  <c r="J4245" i="17" a="1"/>
  <c r="J4245" i="17" s="1"/>
  <c r="J2125" i="17" a="1"/>
  <c r="J2125" i="17" s="1"/>
  <c r="J2427" i="17" a="1"/>
  <c r="J2427" i="17" s="1"/>
  <c r="J307" i="17" a="1"/>
  <c r="J307" i="17" s="1"/>
  <c r="J2731" i="17" a="1"/>
  <c r="J2731" i="17" s="1"/>
  <c r="J609" i="17" a="1"/>
  <c r="J609" i="17" s="1"/>
  <c r="J3641" i="17" a="1"/>
  <c r="J3641" i="17" s="1"/>
  <c r="J5" i="17" a="1"/>
  <c r="J5" i="17" s="1"/>
  <c r="J3035" i="17" a="1"/>
  <c r="J3035" i="17" s="1"/>
  <c r="J1217" i="17" a="1"/>
  <c r="J1217" i="17" s="1"/>
  <c r="J1823" i="17" a="1"/>
  <c r="J1823" i="17" s="1"/>
  <c r="J913" i="17" a="1"/>
  <c r="J913" i="17" s="1"/>
  <c r="J636" i="17" a="1"/>
  <c r="J636" i="17" s="1"/>
  <c r="J3970" i="17" a="1"/>
  <c r="J3970" i="17" s="1"/>
  <c r="J5184" i="17" a="1"/>
  <c r="J5184" i="17" s="1"/>
  <c r="J8" i="17" a="1"/>
  <c r="J8" i="17" s="1"/>
  <c r="J4552" i="17" a="1"/>
  <c r="J4552" i="17" s="1"/>
  <c r="J612" i="18" a="1"/>
  <c r="J612" i="18" s="1"/>
  <c r="J1536" i="17" a="1"/>
  <c r="J1536" i="17" s="1"/>
  <c r="J5172" i="17" a="1"/>
  <c r="J5172" i="17" s="1"/>
  <c r="J1536" i="18" a="1"/>
  <c r="J1536" i="18" s="1"/>
  <c r="J1226" i="17" a="1"/>
  <c r="J1226" i="17" s="1"/>
  <c r="J14" i="18" a="1"/>
  <c r="J14" i="18" s="1"/>
  <c r="J618" i="18" a="1"/>
  <c r="J618" i="18" s="1"/>
  <c r="J26" i="17" a="1"/>
  <c r="J26" i="17" s="1"/>
  <c r="J1542" i="17" a="1"/>
  <c r="J1542" i="17" s="1"/>
  <c r="J26" i="18" a="1"/>
  <c r="J26" i="18" s="1"/>
  <c r="J2" i="17" a="1"/>
  <c r="J2" i="17" s="1"/>
  <c r="J1214" i="17" a="1"/>
  <c r="J1214" i="17" s="1"/>
  <c r="J606" i="18" a="1"/>
  <c r="J606" i="18" s="1"/>
  <c r="J1463" i="18" a="1"/>
  <c r="J1463" i="18" s="1"/>
  <c r="J855" i="18" a="1"/>
  <c r="J855" i="18" s="1"/>
  <c r="J1765" i="18" a="1"/>
  <c r="J1765" i="18" s="1"/>
  <c r="J5401" i="17" a="1"/>
  <c r="J5401" i="17" s="1"/>
  <c r="J249" i="18" a="1"/>
  <c r="J249" i="18" s="1"/>
  <c r="J551" i="18" a="1"/>
  <c r="J551" i="18" s="1"/>
  <c r="J5099" i="17" a="1"/>
  <c r="J5099" i="17" s="1"/>
  <c r="J4187" i="17" a="1"/>
  <c r="J4187" i="17" s="1"/>
  <c r="J4491" i="17" a="1"/>
  <c r="J4491" i="17" s="1"/>
  <c r="J1159" i="18" a="1"/>
  <c r="J1159" i="18" s="1"/>
  <c r="J2673" i="17" a="1"/>
  <c r="J2673" i="17" s="1"/>
  <c r="J3583" i="17" a="1"/>
  <c r="J3583" i="17" s="1"/>
  <c r="J1463" i="17" a="1"/>
  <c r="J1463" i="17" s="1"/>
  <c r="J2369" i="17" a="1"/>
  <c r="J2369" i="17" s="1"/>
  <c r="J855" i="17" a="1"/>
  <c r="J855" i="17" s="1"/>
  <c r="J4795" i="17" a="1"/>
  <c r="J4795" i="17" s="1"/>
  <c r="J1159" i="17" a="1"/>
  <c r="J1159" i="17" s="1"/>
  <c r="J2977" i="17" a="1"/>
  <c r="J2977" i="17" s="1"/>
  <c r="J3281" i="17" a="1"/>
  <c r="J3281" i="17" s="1"/>
  <c r="J2067" i="17" a="1"/>
  <c r="J2067" i="17" s="1"/>
  <c r="J1765" i="17" a="1"/>
  <c r="J1765" i="17" s="1"/>
  <c r="J551" i="17" a="1"/>
  <c r="J551" i="17" s="1"/>
  <c r="J249" i="17" a="1"/>
  <c r="J249" i="17" s="1"/>
  <c r="J3885" i="17" a="1"/>
  <c r="J3885" i="17" s="1"/>
  <c r="J306" i="18"/>
  <c r="J1520" i="18"/>
  <c r="J1216" i="18"/>
  <c r="J912" i="18"/>
  <c r="J608" i="18"/>
  <c r="J4" i="18"/>
  <c r="J5156" i="17"/>
  <c r="J4852" i="17"/>
  <c r="J3338" i="17"/>
  <c r="J2426" i="17"/>
  <c r="J4548" i="17"/>
  <c r="J4244" i="17"/>
  <c r="J3942" i="17"/>
  <c r="J3034" i="17"/>
  <c r="J1216" i="17"/>
  <c r="J2124" i="17"/>
  <c r="J1520" i="17"/>
  <c r="J306" i="17"/>
  <c r="J608" i="17"/>
  <c r="J3640" i="17"/>
  <c r="J4" i="17"/>
  <c r="J2730" i="17"/>
  <c r="J912" i="17"/>
  <c r="J1822" i="17"/>
  <c r="J1164" i="18" a="1"/>
  <c r="J1164" i="18" s="1"/>
  <c r="J1468" i="18" a="1"/>
  <c r="J1468" i="18" s="1"/>
  <c r="J1770" i="18" a="1"/>
  <c r="J1770" i="18" s="1"/>
  <c r="J254" i="18" a="1"/>
  <c r="J254" i="18" s="1"/>
  <c r="J860" i="18" a="1"/>
  <c r="J860" i="18" s="1"/>
  <c r="J556" i="18" a="1"/>
  <c r="J556" i="18" s="1"/>
  <c r="J5104" i="17" a="1"/>
  <c r="J5104" i="17" s="1"/>
  <c r="J4496" i="17" a="1"/>
  <c r="J4496" i="17" s="1"/>
  <c r="J5406" i="17" a="1"/>
  <c r="J5406" i="17" s="1"/>
  <c r="J3286" i="17" a="1"/>
  <c r="J3286" i="17" s="1"/>
  <c r="J2982" i="17" a="1"/>
  <c r="J2982" i="17" s="1"/>
  <c r="J2374" i="17" a="1"/>
  <c r="J2374" i="17" s="1"/>
  <c r="J2678" i="17" a="1"/>
  <c r="J2678" i="17" s="1"/>
  <c r="J4800" i="17" a="1"/>
  <c r="J4800" i="17" s="1"/>
  <c r="J1770" i="17" a="1"/>
  <c r="J1770" i="17" s="1"/>
  <c r="J4192" i="17" a="1"/>
  <c r="J4192" i="17" s="1"/>
  <c r="J1468" i="17" a="1"/>
  <c r="J1468" i="17" s="1"/>
  <c r="J2072" i="17" a="1"/>
  <c r="J2072" i="17" s="1"/>
  <c r="J1164" i="17" a="1"/>
  <c r="J1164" i="17" s="1"/>
  <c r="J860" i="17" a="1"/>
  <c r="J860" i="17" s="1"/>
  <c r="J556" i="17" a="1"/>
  <c r="J556" i="17" s="1"/>
  <c r="J3890" i="17" a="1"/>
  <c r="J3890" i="17" s="1"/>
  <c r="J254" i="17" a="1"/>
  <c r="J254" i="17" s="1"/>
  <c r="J3588" i="17" a="1"/>
  <c r="J3588" i="17" s="1"/>
  <c r="J1234" i="18"/>
  <c r="J22" i="18"/>
  <c r="J1538" i="18"/>
  <c r="J324" i="18"/>
  <c r="J930" i="18"/>
  <c r="J4870" i="17"/>
  <c r="J626" i="18"/>
  <c r="J5174" i="17"/>
  <c r="J3960" i="17"/>
  <c r="J3356" i="17"/>
  <c r="J3052" i="17"/>
  <c r="J2142" i="17"/>
  <c r="J1538" i="17"/>
  <c r="J324" i="17"/>
  <c r="J4262" i="17"/>
  <c r="J930" i="17"/>
  <c r="J3658" i="17"/>
  <c r="J22" i="17"/>
  <c r="J1840" i="17"/>
  <c r="J2748" i="17"/>
  <c r="J4566" i="17"/>
  <c r="J626" i="17"/>
  <c r="J1234" i="17"/>
  <c r="J2444" i="17"/>
  <c r="J32" i="17" a="1"/>
  <c r="J32" i="17" s="1"/>
  <c r="J940" i="17" a="1"/>
  <c r="J940" i="17" s="1"/>
  <c r="J334" i="18" a="1"/>
  <c r="J334" i="18" s="1"/>
  <c r="J1220" i="17" a="1"/>
  <c r="J1220" i="17" s="1"/>
  <c r="J4856" i="17" a="1"/>
  <c r="J4856" i="17" s="1"/>
  <c r="J1220" i="18" a="1"/>
  <c r="J1220" i="18" s="1"/>
  <c r="J3958" i="17" a="1"/>
  <c r="J3958" i="17" s="1"/>
  <c r="J4260" i="17" a="1"/>
  <c r="J4260" i="17" s="1"/>
  <c r="J322" i="18" a="1"/>
  <c r="J322" i="18" s="1"/>
  <c r="J3044" i="17" a="1"/>
  <c r="J3044" i="17" s="1"/>
  <c r="J4254" i="17" a="1"/>
  <c r="J4254" i="17" s="1"/>
  <c r="J922" i="18" a="1"/>
  <c r="J922" i="18" s="1"/>
  <c r="J3662" i="17" a="1"/>
  <c r="J3662" i="17" s="1"/>
  <c r="J2146" i="17" a="1"/>
  <c r="J2146" i="17" s="1"/>
  <c r="J934" i="18" a="1"/>
  <c r="J934" i="18" s="1"/>
  <c r="J3638" i="17" a="1"/>
  <c r="J3638" i="17" s="1"/>
  <c r="J4850" i="17" a="1"/>
  <c r="J4850" i="17" s="1"/>
  <c r="J910" i="18" a="1"/>
  <c r="J910" i="18" s="1"/>
  <c r="J615" i="18" a="1"/>
  <c r="J615" i="18" s="1"/>
  <c r="J919" i="18" a="1"/>
  <c r="J919" i="18" s="1"/>
  <c r="J313" i="18" a="1"/>
  <c r="J313" i="18" s="1"/>
  <c r="J1223" i="18" a="1"/>
  <c r="J1223" i="18" s="1"/>
  <c r="J4859" i="17" a="1"/>
  <c r="J4859" i="17" s="1"/>
  <c r="J5163" i="17" a="1"/>
  <c r="J5163" i="17" s="1"/>
  <c r="J3949" i="17" a="1"/>
  <c r="J3949" i="17" s="1"/>
  <c r="J4555" i="17" a="1"/>
  <c r="J4555" i="17" s="1"/>
  <c r="J4251" i="17" a="1"/>
  <c r="J4251" i="17" s="1"/>
  <c r="J1527" i="18" a="1"/>
  <c r="J1527" i="18" s="1"/>
  <c r="J11" i="18" a="1"/>
  <c r="J11" i="18" s="1"/>
  <c r="J2433" i="17" a="1"/>
  <c r="J2433" i="17" s="1"/>
  <c r="J1527" i="17" a="1"/>
  <c r="J1527" i="17" s="1"/>
  <c r="J2737" i="17" a="1"/>
  <c r="J2737" i="17" s="1"/>
  <c r="J615" i="17" a="1"/>
  <c r="J615" i="17" s="1"/>
  <c r="J3345" i="17" a="1"/>
  <c r="J3345" i="17" s="1"/>
  <c r="J919" i="17" a="1"/>
  <c r="J919" i="17" s="1"/>
  <c r="J3041" i="17" a="1"/>
  <c r="J3041" i="17" s="1"/>
  <c r="J2131" i="17" a="1"/>
  <c r="J2131" i="17" s="1"/>
  <c r="J1829" i="17" a="1"/>
  <c r="J1829" i="17" s="1"/>
  <c r="J313" i="17" a="1"/>
  <c r="J313" i="17" s="1"/>
  <c r="J3647" i="17" a="1"/>
  <c r="J3647" i="17" s="1"/>
  <c r="J11" i="17" a="1"/>
  <c r="J11" i="17" s="1"/>
  <c r="J1223" i="17" a="1"/>
  <c r="J1223" i="17" s="1"/>
  <c r="J1548" i="17" a="1"/>
  <c r="J1548" i="17" s="1"/>
  <c r="J2454" i="17" a="1"/>
  <c r="J2454" i="17" s="1"/>
  <c r="J636" i="18" a="1"/>
  <c r="J636" i="18" s="1"/>
  <c r="J310" i="17" a="1"/>
  <c r="J310" i="17" s="1"/>
  <c r="J612" i="17" a="1"/>
  <c r="J612" i="17" s="1"/>
  <c r="J3946" i="17" a="1"/>
  <c r="J3946" i="17" s="1"/>
  <c r="J1838" i="17" a="1"/>
  <c r="J1838" i="17" s="1"/>
  <c r="J2140" i="17" a="1"/>
  <c r="J2140" i="17" s="1"/>
  <c r="J4564" i="17" a="1"/>
  <c r="J4564" i="17" s="1"/>
  <c r="J316" i="17" a="1"/>
  <c r="J316" i="17" s="1"/>
  <c r="J922" i="17" a="1"/>
  <c r="J922" i="17" s="1"/>
  <c r="J4558" i="17" a="1"/>
  <c r="J4558" i="17" s="1"/>
  <c r="J934" i="17" a="1"/>
  <c r="J934" i="17" s="1"/>
  <c r="J2752" i="17" a="1"/>
  <c r="J2752" i="17" s="1"/>
  <c r="J328" i="18" a="1"/>
  <c r="J328" i="18" s="1"/>
  <c r="J606" i="17" a="1"/>
  <c r="J606" i="17" s="1"/>
  <c r="J2728" i="17" a="1"/>
  <c r="J2728" i="17" s="1"/>
  <c r="J2" i="18" a="1"/>
  <c r="J2" i="18" s="1"/>
  <c r="J937" i="18" a="1"/>
  <c r="J937" i="18" s="1"/>
  <c r="J1241" i="18" a="1"/>
  <c r="J1241" i="18" s="1"/>
  <c r="J633" i="18" a="1"/>
  <c r="J633" i="18" s="1"/>
  <c r="J331" i="18" a="1"/>
  <c r="J331" i="18" s="1"/>
  <c r="J29" i="18" a="1"/>
  <c r="J29" i="18" s="1"/>
  <c r="J1545" i="18" a="1"/>
  <c r="J1545" i="18" s="1"/>
  <c r="J5181" i="17" a="1"/>
  <c r="J5181" i="17" s="1"/>
  <c r="J4573" i="17" a="1"/>
  <c r="J4573" i="17" s="1"/>
  <c r="J4269" i="17" a="1"/>
  <c r="J4269" i="17" s="1"/>
  <c r="J1545" i="17" a="1"/>
  <c r="J1545" i="17" s="1"/>
  <c r="J633" i="17" a="1"/>
  <c r="J633" i="17" s="1"/>
  <c r="J2451" i="17" a="1"/>
  <c r="J2451" i="17" s="1"/>
  <c r="J937" i="17" a="1"/>
  <c r="J937" i="17" s="1"/>
  <c r="J3967" i="17" a="1"/>
  <c r="J3967" i="17" s="1"/>
  <c r="J2755" i="17" a="1"/>
  <c r="J2755" i="17" s="1"/>
  <c r="J1241" i="17" a="1"/>
  <c r="J1241" i="17" s="1"/>
  <c r="J1847" i="17" a="1"/>
  <c r="J1847" i="17" s="1"/>
  <c r="J4877" i="17" a="1"/>
  <c r="J4877" i="17" s="1"/>
  <c r="J3665" i="17" a="1"/>
  <c r="J3665" i="17" s="1"/>
  <c r="J331" i="17" a="1"/>
  <c r="J331" i="17" s="1"/>
  <c r="J29" i="17" a="1"/>
  <c r="J29" i="17" s="1"/>
  <c r="J3059" i="17" a="1"/>
  <c r="J3059" i="17" s="1"/>
  <c r="J3363" i="17" a="1"/>
  <c r="J3363" i="17" s="1"/>
  <c r="J2149" i="17" a="1"/>
  <c r="J2149" i="17" s="1"/>
  <c r="J4576" i="17" a="1"/>
  <c r="J4576" i="17" s="1"/>
  <c r="J561" i="18" a="1"/>
  <c r="J561" i="18" s="1"/>
  <c r="J1169" i="18" a="1"/>
  <c r="J1169" i="18" s="1"/>
  <c r="J5411" i="17" a="1"/>
  <c r="J5411" i="17" s="1"/>
  <c r="J1775" i="18" a="1"/>
  <c r="J1775" i="18" s="1"/>
  <c r="J865" i="18" a="1"/>
  <c r="J865" i="18" s="1"/>
  <c r="J5109" i="17" a="1"/>
  <c r="J5109" i="17" s="1"/>
  <c r="J1473" i="18" a="1"/>
  <c r="J1473" i="18" s="1"/>
  <c r="J259" i="18" a="1"/>
  <c r="J259" i="18" s="1"/>
  <c r="J4805" i="17" a="1"/>
  <c r="J4805" i="17" s="1"/>
  <c r="J4501" i="17" a="1"/>
  <c r="J4501" i="17" s="1"/>
  <c r="J2987" i="17" a="1"/>
  <c r="J2987" i="17" s="1"/>
  <c r="J1775" i="17" a="1"/>
  <c r="J1775" i="17" s="1"/>
  <c r="J3291" i="17" a="1"/>
  <c r="J3291" i="17" s="1"/>
  <c r="J1473" i="17" a="1"/>
  <c r="J1473" i="17" s="1"/>
  <c r="J4197" i="17" a="1"/>
  <c r="J4197" i="17" s="1"/>
  <c r="J3593" i="17" a="1"/>
  <c r="J3593" i="17" s="1"/>
  <c r="J865" i="17" a="1"/>
  <c r="J865" i="17" s="1"/>
  <c r="J561" i="17" a="1"/>
  <c r="J561" i="17" s="1"/>
  <c r="J2683" i="17" a="1"/>
  <c r="J2683" i="17" s="1"/>
  <c r="J3895" i="17" a="1"/>
  <c r="J3895" i="17" s="1"/>
  <c r="J259" i="17" a="1"/>
  <c r="J259" i="17" s="1"/>
  <c r="J1169" i="17" a="1"/>
  <c r="J1169" i="17" s="1"/>
  <c r="J2379" i="17" a="1"/>
  <c r="J2379" i="17" s="1"/>
  <c r="J2077" i="17" a="1"/>
  <c r="J2077" i="17" s="1"/>
  <c r="J1244" i="18" a="1"/>
  <c r="J1244" i="18" s="1"/>
  <c r="J3038" i="17" a="1"/>
  <c r="J3038" i="17" s="1"/>
  <c r="J2734" i="17" a="1"/>
  <c r="J2734" i="17" s="1"/>
  <c r="J5160" i="17" a="1"/>
  <c r="J5160" i="17" s="1"/>
  <c r="J624" i="17" a="1"/>
  <c r="J624" i="17" s="1"/>
  <c r="J1232" i="17" a="1"/>
  <c r="J1232" i="17" s="1"/>
  <c r="J4868" i="17" a="1"/>
  <c r="J4868" i="17" s="1"/>
  <c r="J14" i="17" a="1"/>
  <c r="J14" i="17" s="1"/>
  <c r="J618" i="17" a="1"/>
  <c r="J618" i="17" s="1"/>
  <c r="J4862" i="17" a="1"/>
  <c r="J4862" i="17" s="1"/>
  <c r="J4266" i="17" a="1"/>
  <c r="J4266" i="17" s="1"/>
  <c r="J3056" i="17" a="1"/>
  <c r="J3056" i="17" s="1"/>
  <c r="J1238" i="18" a="1"/>
  <c r="J1238" i="18" s="1"/>
  <c r="J304" i="17" a="1"/>
  <c r="J304" i="17" s="1"/>
  <c r="J3032" i="17" a="1"/>
  <c r="J3032" i="17" s="1"/>
  <c r="J1214" i="18" a="1"/>
  <c r="J1214" i="18" s="1"/>
  <c r="J614" i="18"/>
  <c r="J1222" i="18"/>
  <c r="J918" i="18"/>
  <c r="J312" i="18"/>
  <c r="J10" i="18"/>
  <c r="J3948" i="17"/>
  <c r="J4858" i="17"/>
  <c r="J1526" i="18"/>
  <c r="J4554" i="17"/>
  <c r="J4250" i="17"/>
  <c r="J5162" i="17"/>
  <c r="J3040" i="17"/>
  <c r="J2736" i="17"/>
  <c r="J2130" i="17"/>
  <c r="J2432" i="17"/>
  <c r="J1526" i="17"/>
  <c r="J312" i="17"/>
  <c r="J614" i="17"/>
  <c r="J3344" i="17"/>
  <c r="J918" i="17"/>
  <c r="J1828" i="17"/>
  <c r="J3646" i="17"/>
  <c r="J1222" i="17"/>
  <c r="J10" i="17"/>
  <c r="J334" i="17" a="1"/>
  <c r="J334" i="17" s="1"/>
  <c r="J4880" i="17" a="1"/>
  <c r="J4880" i="17" s="1"/>
  <c r="J1550" i="18"/>
  <c r="J336" i="18"/>
  <c r="J638" i="18"/>
  <c r="J942" i="18"/>
  <c r="J34" i="18"/>
  <c r="J1246" i="18"/>
  <c r="J5186" i="17"/>
  <c r="J4578" i="17"/>
  <c r="J4274" i="17"/>
  <c r="J4882" i="17"/>
  <c r="J3972" i="17"/>
  <c r="J3064" i="17"/>
  <c r="J2760" i="17"/>
  <c r="J2456" i="17"/>
  <c r="J1246" i="17"/>
  <c r="J2154" i="17"/>
  <c r="J1550" i="17"/>
  <c r="J34" i="17"/>
  <c r="J638" i="17"/>
  <c r="J3670" i="17"/>
  <c r="J3368" i="17"/>
  <c r="J336" i="17"/>
  <c r="J942" i="17"/>
  <c r="J1852" i="17"/>
  <c r="J1235" i="18" a="1"/>
  <c r="J1235" i="18" s="1"/>
  <c r="J1539" i="18" a="1"/>
  <c r="J1539" i="18" s="1"/>
  <c r="J325" i="18" a="1"/>
  <c r="J325" i="18" s="1"/>
  <c r="J931" i="18" a="1"/>
  <c r="J931" i="18" s="1"/>
  <c r="J23" i="18" a="1"/>
  <c r="J23" i="18" s="1"/>
  <c r="J627" i="18" a="1"/>
  <c r="J627" i="18" s="1"/>
  <c r="J5175" i="17" a="1"/>
  <c r="J5175" i="17" s="1"/>
  <c r="J3961" i="17" a="1"/>
  <c r="J3961" i="17" s="1"/>
  <c r="J4567" i="17" a="1"/>
  <c r="J4567" i="17" s="1"/>
  <c r="J4263" i="17" a="1"/>
  <c r="J4263" i="17" s="1"/>
  <c r="J4871" i="17" a="1"/>
  <c r="J4871" i="17" s="1"/>
  <c r="J3357" i="17" a="1"/>
  <c r="J3357" i="17" s="1"/>
  <c r="J3053" i="17" a="1"/>
  <c r="J3053" i="17" s="1"/>
  <c r="J2143" i="17" a="1"/>
  <c r="J2143" i="17" s="1"/>
  <c r="J1539" i="17" a="1"/>
  <c r="J1539" i="17" s="1"/>
  <c r="J2445" i="17" a="1"/>
  <c r="J2445" i="17" s="1"/>
  <c r="J627" i="17" a="1"/>
  <c r="J627" i="17" s="1"/>
  <c r="J3659" i="17" a="1"/>
  <c r="J3659" i="17" s="1"/>
  <c r="J2749" i="17" a="1"/>
  <c r="J2749" i="17" s="1"/>
  <c r="J325" i="17" a="1"/>
  <c r="J325" i="17" s="1"/>
  <c r="J1841" i="17" a="1"/>
  <c r="J1841" i="17" s="1"/>
  <c r="J23" i="17" a="1"/>
  <c r="J23" i="17" s="1"/>
  <c r="J1235" i="17" a="1"/>
  <c r="J1235" i="17" s="1"/>
  <c r="J931" i="17" a="1"/>
  <c r="J931" i="17" s="1"/>
  <c r="J1533" i="18" a="1"/>
  <c r="J1533" i="18" s="1"/>
  <c r="J319" i="18" a="1"/>
  <c r="J319" i="18" s="1"/>
  <c r="J925" i="18" a="1"/>
  <c r="J925" i="18" s="1"/>
  <c r="J17" i="18" a="1"/>
  <c r="J17" i="18" s="1"/>
  <c r="J621" i="18" a="1"/>
  <c r="J621" i="18" s="1"/>
  <c r="J5169" i="17" a="1"/>
  <c r="J5169" i="17" s="1"/>
  <c r="J1229" i="18" a="1"/>
  <c r="J1229" i="18" s="1"/>
  <c r="J4865" i="17" a="1"/>
  <c r="J4865" i="17" s="1"/>
  <c r="J4561" i="17" a="1"/>
  <c r="J4561" i="17" s="1"/>
  <c r="J4257" i="17" a="1"/>
  <c r="J4257" i="17" s="1"/>
  <c r="J3047" i="17" a="1"/>
  <c r="J3047" i="17" s="1"/>
  <c r="J2743" i="17" a="1"/>
  <c r="J2743" i="17" s="1"/>
  <c r="J3955" i="17" a="1"/>
  <c r="J3955" i="17" s="1"/>
  <c r="J3351" i="17" a="1"/>
  <c r="J3351" i="17" s="1"/>
  <c r="J1229" i="17" a="1"/>
  <c r="J1229" i="17" s="1"/>
  <c r="J2137" i="17" a="1"/>
  <c r="J2137" i="17" s="1"/>
  <c r="J17" i="17" a="1"/>
  <c r="J17" i="17" s="1"/>
  <c r="J925" i="17" a="1"/>
  <c r="J925" i="17" s="1"/>
  <c r="J319" i="17" a="1"/>
  <c r="J319" i="17" s="1"/>
  <c r="J3653" i="17" a="1"/>
  <c r="J3653" i="17" s="1"/>
  <c r="J1835" i="17" a="1"/>
  <c r="J1835" i="17" s="1"/>
  <c r="J1533" i="17" a="1"/>
  <c r="J1533" i="17" s="1"/>
  <c r="J621" i="17" a="1"/>
  <c r="J621" i="17" s="1"/>
  <c r="J2439" i="17" a="1"/>
  <c r="J2439" i="17" s="1"/>
  <c r="J2152" i="17" a="1"/>
  <c r="J2152" i="17" s="1"/>
  <c r="J32" i="18" a="1"/>
  <c r="J32" i="18" s="1"/>
  <c r="J1548" i="18" a="1"/>
  <c r="J1548" i="18" s="1"/>
  <c r="J3644" i="17" a="1"/>
  <c r="J3644" i="17" s="1"/>
  <c r="J1524" i="17" a="1"/>
  <c r="J1524" i="17" s="1"/>
  <c r="J916" i="18" a="1"/>
  <c r="J916" i="18" s="1"/>
  <c r="J20" i="17" a="1"/>
  <c r="J20" i="17" s="1"/>
  <c r="J3050" i="17" a="1"/>
  <c r="J3050" i="17" s="1"/>
  <c r="J624" i="18" a="1"/>
  <c r="J624" i="18" s="1"/>
  <c r="J3650" i="17" a="1"/>
  <c r="J3650" i="17" s="1"/>
  <c r="J2740" i="17" a="1"/>
  <c r="J2740" i="17" s="1"/>
  <c r="J1530" i="18" a="1"/>
  <c r="J1530" i="18" s="1"/>
  <c r="J4570" i="17" a="1"/>
  <c r="J4570" i="17" s="1"/>
  <c r="J4874" i="17" a="1"/>
  <c r="J4874" i="17" s="1"/>
  <c r="J1542" i="18" a="1"/>
  <c r="J1542" i="18" s="1"/>
  <c r="J3336" i="17" a="1"/>
  <c r="J3336" i="17" s="1"/>
  <c r="J3940" i="17" a="1"/>
  <c r="J3940" i="17" s="1"/>
  <c r="J1518" i="18" a="1"/>
  <c r="J1518" i="18" s="1"/>
  <c r="J1179" i="18" a="1"/>
  <c r="J1179" i="18" s="1"/>
  <c r="J1483" i="18" a="1"/>
  <c r="J1483" i="18" s="1"/>
  <c r="J1785" i="18" a="1"/>
  <c r="J1785" i="18" s="1"/>
  <c r="J571" i="18" a="1"/>
  <c r="J571" i="18" s="1"/>
  <c r="J269" i="18" a="1"/>
  <c r="J269" i="18" s="1"/>
  <c r="J5421" i="17" a="1"/>
  <c r="J5421" i="17" s="1"/>
  <c r="J5119" i="17" a="1"/>
  <c r="J5119" i="17" s="1"/>
  <c r="J875" i="18" a="1"/>
  <c r="J875" i="18" s="1"/>
  <c r="J3603" i="17" a="1"/>
  <c r="J3603" i="17" s="1"/>
  <c r="J4511" i="17" a="1"/>
  <c r="J4511" i="17" s="1"/>
  <c r="J4815" i="17" a="1"/>
  <c r="J4815" i="17" s="1"/>
  <c r="J2693" i="17" a="1"/>
  <c r="J2693" i="17" s="1"/>
  <c r="J2389" i="17" a="1"/>
  <c r="J2389" i="17" s="1"/>
  <c r="J4207" i="17" a="1"/>
  <c r="J4207" i="17" s="1"/>
  <c r="J1785" i="17" a="1"/>
  <c r="J1785" i="17" s="1"/>
  <c r="J2997" i="17" a="1"/>
  <c r="J2997" i="17" s="1"/>
  <c r="J1483" i="17" a="1"/>
  <c r="J1483" i="17" s="1"/>
  <c r="J2087" i="17" a="1"/>
  <c r="J2087" i="17" s="1"/>
  <c r="J3905" i="17" a="1"/>
  <c r="J3905" i="17" s="1"/>
  <c r="J269" i="17" a="1"/>
  <c r="J269" i="17" s="1"/>
  <c r="J571" i="17" a="1"/>
  <c r="J571" i="17" s="1"/>
  <c r="J1179" i="17" a="1"/>
  <c r="J1179" i="17" s="1"/>
  <c r="J875" i="17" a="1"/>
  <c r="J875" i="17" s="1"/>
  <c r="J3301" i="17" a="1"/>
  <c r="J3301" i="17" s="1"/>
  <c r="J337" i="18" a="1"/>
  <c r="J337" i="18" s="1"/>
  <c r="J943" i="18" a="1"/>
  <c r="J943" i="18" s="1"/>
  <c r="J1551" i="18" a="1"/>
  <c r="J1551" i="18" s="1"/>
  <c r="J1247" i="18" a="1"/>
  <c r="J1247" i="18" s="1"/>
  <c r="J639" i="18" a="1"/>
  <c r="J639" i="18" s="1"/>
  <c r="J4883" i="17" a="1"/>
  <c r="J4883" i="17" s="1"/>
  <c r="J35" i="18" a="1"/>
  <c r="J35" i="18" s="1"/>
  <c r="J5187" i="17" a="1"/>
  <c r="J5187" i="17" s="1"/>
  <c r="J2457" i="17" a="1"/>
  <c r="J2457" i="17" s="1"/>
  <c r="J4579" i="17" a="1"/>
  <c r="J4579" i="17" s="1"/>
  <c r="J4275" i="17" a="1"/>
  <c r="J4275" i="17" s="1"/>
  <c r="J3369" i="17" a="1"/>
  <c r="J3369" i="17" s="1"/>
  <c r="J3973" i="17" a="1"/>
  <c r="J3973" i="17" s="1"/>
  <c r="J2761" i="17" a="1"/>
  <c r="J2761" i="17" s="1"/>
  <c r="J1247" i="17" a="1"/>
  <c r="J1247" i="17" s="1"/>
  <c r="J2155" i="17" a="1"/>
  <c r="J2155" i="17" s="1"/>
  <c r="J3065" i="17" a="1"/>
  <c r="J3065" i="17" s="1"/>
  <c r="J1551" i="17" a="1"/>
  <c r="J1551" i="17" s="1"/>
  <c r="J337" i="17" a="1"/>
  <c r="J337" i="17" s="1"/>
  <c r="J639" i="17" a="1"/>
  <c r="J639" i="17" s="1"/>
  <c r="J3671" i="17" a="1"/>
  <c r="J3671" i="17" s="1"/>
  <c r="J35" i="17" a="1"/>
  <c r="J35" i="17" s="1"/>
  <c r="J943" i="17" a="1"/>
  <c r="J943" i="17" s="1"/>
  <c r="J1853" i="17" a="1"/>
  <c r="J1853" i="17" s="1"/>
  <c r="J924" i="18"/>
  <c r="J1532" i="18"/>
  <c r="J620" i="18"/>
  <c r="J318" i="18"/>
  <c r="J16" i="18"/>
  <c r="J1228" i="18"/>
  <c r="J4864" i="17"/>
  <c r="J4560" i="17"/>
  <c r="J4256" i="17"/>
  <c r="J5168" i="17"/>
  <c r="J2438" i="17"/>
  <c r="J2742" i="17"/>
  <c r="J924" i="17"/>
  <c r="J3350" i="17"/>
  <c r="J3046" i="17"/>
  <c r="J1228" i="17"/>
  <c r="J2136" i="17"/>
  <c r="J3954" i="17"/>
  <c r="J620" i="17"/>
  <c r="J16" i="17"/>
  <c r="J1834" i="17"/>
  <c r="J318" i="17"/>
  <c r="J3652" i="17"/>
  <c r="J1532" i="17"/>
  <c r="J3062" i="17" a="1"/>
  <c r="J3062" i="17" s="1"/>
  <c r="J4272" i="17" a="1"/>
  <c r="J4272" i="17" s="1"/>
  <c r="J940" i="18" a="1"/>
  <c r="J940" i="18" s="1"/>
  <c r="J3342" i="17" a="1"/>
  <c r="J3342" i="17" s="1"/>
  <c r="J2430" i="17" a="1"/>
  <c r="J2430" i="17" s="1"/>
  <c r="J310" i="18" a="1"/>
  <c r="J310" i="18" s="1"/>
  <c r="J3656" i="17" a="1"/>
  <c r="J3656" i="17" s="1"/>
  <c r="J3354" i="17" a="1"/>
  <c r="J3354" i="17" s="1"/>
  <c r="J928" i="18" a="1"/>
  <c r="J928" i="18" s="1"/>
  <c r="J3952" i="17" a="1"/>
  <c r="J3952" i="17" s="1"/>
  <c r="J2436" i="17" a="1"/>
  <c r="J2436" i="17" s="1"/>
  <c r="J5166" i="17" a="1"/>
  <c r="J5166" i="17" s="1"/>
  <c r="J630" i="17" a="1"/>
  <c r="J630" i="17" s="1"/>
  <c r="J3360" i="17" a="1"/>
  <c r="J3360" i="17" s="1"/>
  <c r="J630" i="18" a="1"/>
  <c r="J630" i="18" s="1"/>
  <c r="J1518" i="17" a="1"/>
  <c r="J1518" i="17" s="1"/>
  <c r="J5154" i="17" a="1"/>
  <c r="J5154" i="17" s="1"/>
  <c r="J304" i="18" a="1"/>
  <c r="J304" i="18" s="1"/>
  <c r="I2" i="10" a="1"/>
  <c r="I2" i="10" s="1"/>
  <c r="I304" i="10" a="1"/>
  <c r="I304" i="10" s="1"/>
  <c r="I8" i="13" a="1"/>
  <c r="I8" i="13" s="1"/>
  <c r="I612" i="10" a="1"/>
  <c r="I612" i="10" s="1"/>
  <c r="I2" i="13" a="1"/>
  <c r="I2" i="13" s="1"/>
  <c r="I26" i="10" a="1"/>
  <c r="I26" i="10" s="1"/>
  <c r="I32" i="13" a="1"/>
  <c r="I32" i="13" s="1"/>
  <c r="I546" i="10" a="1"/>
  <c r="I546" i="10" s="1"/>
  <c r="I848" i="10" a="1"/>
  <c r="I848" i="10" s="1"/>
  <c r="I244" i="10" a="1"/>
  <c r="I244" i="10" s="1"/>
  <c r="I244" i="13" a="1"/>
  <c r="I244" i="13" s="1"/>
  <c r="I313" i="10" a="1"/>
  <c r="I313" i="10" s="1"/>
  <c r="I615" i="10" a="1"/>
  <c r="I615" i="10" s="1"/>
  <c r="I11" i="10" a="1"/>
  <c r="I11" i="10" s="1"/>
  <c r="I11" i="13" a="1"/>
  <c r="I11" i="13" s="1"/>
  <c r="I328" i="10" a="1"/>
  <c r="I328" i="10" s="1"/>
  <c r="I32" i="10" a="1"/>
  <c r="I32" i="10" s="1"/>
  <c r="I618" i="10" a="1"/>
  <c r="I618" i="10" s="1"/>
  <c r="I14" i="10" a="1"/>
  <c r="I14" i="10" s="1"/>
  <c r="I254" i="10" a="1"/>
  <c r="I254" i="10" s="1"/>
  <c r="I858" i="10" a="1"/>
  <c r="I858" i="10" s="1"/>
  <c r="I254" i="13" a="1"/>
  <c r="I254" i="13" s="1"/>
  <c r="I556" i="10" a="1"/>
  <c r="I556" i="10" s="1"/>
  <c r="I28" i="10"/>
  <c r="I28" i="13"/>
  <c r="I632" i="10"/>
  <c r="I330" i="10"/>
  <c r="I336" i="10"/>
  <c r="I638" i="10"/>
  <c r="I34" i="13"/>
  <c r="I34" i="10"/>
  <c r="I331" i="10" a="1"/>
  <c r="I331" i="10" s="1"/>
  <c r="I29" i="10" a="1"/>
  <c r="I29" i="10" s="1"/>
  <c r="I633" i="10" a="1"/>
  <c r="I633" i="10" s="1"/>
  <c r="I29" i="13" a="1"/>
  <c r="I29" i="13" s="1"/>
  <c r="I35" i="10" a="1"/>
  <c r="I35" i="10" s="1"/>
  <c r="I337" i="10" a="1"/>
  <c r="I337" i="10" s="1"/>
  <c r="I35" i="13" a="1"/>
  <c r="I35" i="13" s="1"/>
  <c r="I639" i="10" a="1"/>
  <c r="I639" i="10" s="1"/>
  <c r="I10" i="13"/>
  <c r="I312" i="10"/>
  <c r="I614" i="10"/>
  <c r="I10" i="10"/>
  <c r="I264" i="13" a="1"/>
  <c r="I264" i="13" s="1"/>
  <c r="I566" i="10" a="1"/>
  <c r="I566" i="10" s="1"/>
  <c r="I264" i="10" a="1"/>
  <c r="I264" i="10" s="1"/>
  <c r="I868" i="10" a="1"/>
  <c r="I868" i="10" s="1"/>
  <c r="I5" i="10" a="1"/>
  <c r="I5" i="10" s="1"/>
  <c r="I5" i="13" a="1"/>
  <c r="I5" i="13" s="1"/>
  <c r="I307" i="10" a="1"/>
  <c r="I307" i="10" s="1"/>
  <c r="I609" i="10" a="1"/>
  <c r="I609" i="10" s="1"/>
  <c r="I316" i="10" a="1"/>
  <c r="I316" i="10" s="1"/>
  <c r="I269" i="13" a="1"/>
  <c r="I269" i="13" s="1"/>
  <c r="I571" i="10" a="1"/>
  <c r="I571" i="10" s="1"/>
  <c r="I269" i="10" a="1"/>
  <c r="I269" i="10" s="1"/>
  <c r="I873" i="10" a="1"/>
  <c r="I873" i="10" s="1"/>
  <c r="I322" i="10" a="1"/>
  <c r="I322" i="10" s="1"/>
  <c r="I20" i="10" a="1"/>
  <c r="I20" i="10" s="1"/>
  <c r="I325" i="10" a="1"/>
  <c r="I325" i="10" s="1"/>
  <c r="I23" i="13" a="1"/>
  <c r="I23" i="13" s="1"/>
  <c r="I23" i="10" a="1"/>
  <c r="I23" i="10" s="1"/>
  <c r="I627" i="10" a="1"/>
  <c r="I627" i="10" s="1"/>
  <c r="I17" i="13" a="1"/>
  <c r="I17" i="13" s="1"/>
  <c r="I319" i="10" a="1"/>
  <c r="I319" i="10" s="1"/>
  <c r="I621" i="10" a="1"/>
  <c r="I621" i="10" s="1"/>
  <c r="I17" i="10" a="1"/>
  <c r="I17" i="10" s="1"/>
  <c r="I22" i="13"/>
  <c r="I324" i="10"/>
  <c r="I22" i="10"/>
  <c r="I626" i="10"/>
  <c r="I853" i="10" a="1"/>
  <c r="I853" i="10" s="1"/>
  <c r="I249" i="10" a="1"/>
  <c r="I249" i="10" s="1"/>
  <c r="I551" i="10" a="1"/>
  <c r="I551" i="10" s="1"/>
  <c r="I249" i="13" a="1"/>
  <c r="I249" i="13" s="1"/>
  <c r="I8" i="10" a="1"/>
  <c r="I8" i="10" s="1"/>
  <c r="I630" i="10" a="1"/>
  <c r="I630" i="10" s="1"/>
  <c r="I608" i="10"/>
  <c r="I4" i="10"/>
  <c r="I4" i="13"/>
  <c r="I306" i="10"/>
  <c r="I636" i="10" a="1"/>
  <c r="I636" i="10" s="1"/>
  <c r="I863" i="10" a="1"/>
  <c r="I863" i="10" s="1"/>
  <c r="I259" i="10" a="1"/>
  <c r="I259" i="10" s="1"/>
  <c r="I259" i="13" a="1"/>
  <c r="I259" i="13" s="1"/>
  <c r="I561" i="10" a="1"/>
  <c r="I561" i="10" s="1"/>
  <c r="I20" i="13" a="1"/>
  <c r="I20" i="13" s="1"/>
  <c r="I16" i="13"/>
  <c r="I318" i="10"/>
  <c r="I620" i="10"/>
  <c r="I16" i="10"/>
  <c r="Y146" i="7" l="1"/>
  <c r="Y109" i="7"/>
  <c r="Y135" i="7"/>
  <c r="Y111" i="7"/>
  <c r="Y145" i="7"/>
  <c r="J93" i="16"/>
  <c r="Y133" i="7"/>
  <c r="Y97" i="7"/>
  <c r="Y86" i="7"/>
  <c r="J94" i="16"/>
  <c r="Y99" i="7"/>
  <c r="J92" i="16"/>
  <c r="Y98" i="7"/>
  <c r="Y121" i="7"/>
  <c r="Y87" i="7"/>
  <c r="Y110" i="7"/>
  <c r="Y147" i="7"/>
  <c r="Y85" i="7"/>
  <c r="Y122" i="7"/>
  <c r="Y134" i="7"/>
  <c r="Y123" i="7"/>
  <c r="J1615" i="17" l="1" a="1"/>
  <c r="J1615" i="17" s="1"/>
  <c r="J5251" i="17" a="1"/>
  <c r="J5251" i="17" s="1"/>
  <c r="J3433" i="17" a="1"/>
  <c r="J3433" i="17" s="1"/>
  <c r="J1615" i="18" a="1"/>
  <c r="J1615" i="18" s="1"/>
  <c r="E22" i="7" l="1" a="1"/>
  <c r="CF24" i="7" s="1"/>
  <c r="E22" i="7" l="1"/>
  <c r="G150" i="7"/>
  <c r="CF25" i="7"/>
  <c r="CF27" i="7"/>
  <c r="CF23" i="7"/>
  <c r="CF26" i="7"/>
  <c r="CF28" i="7"/>
  <c r="CF29" i="7"/>
  <c r="F150" i="7"/>
  <c r="CF30" i="7"/>
  <c r="W4" i="7" a="1"/>
  <c r="W4" i="7" s="1"/>
  <c r="CF22" i="7"/>
  <c r="E150" i="7"/>
  <c r="CF5" i="7" l="1"/>
  <c r="CF6" i="7"/>
  <c r="W299" i="7" a="1"/>
  <c r="W227" i="7" a="1"/>
  <c r="W155" i="7" a="1"/>
  <c r="CF4" i="7"/>
  <c r="CH4" i="7" l="1" a="1"/>
  <c r="CH4" i="7" s="1"/>
  <c r="E173" i="7" a="1"/>
  <c r="E173" i="7" s="1"/>
  <c r="W155" i="7"/>
  <c r="L6" i="9" a="1"/>
  <c r="L6" i="9" s="1"/>
  <c r="Q7" i="9" a="1"/>
  <c r="Q7" i="9" s="1"/>
  <c r="Q28" i="9"/>
  <c r="N86" i="9" a="1"/>
  <c r="N79" i="9" a="1"/>
  <c r="L73" i="9" a="1"/>
  <c r="L80" i="9" a="1"/>
  <c r="L80" i="9" s="1"/>
  <c r="N96" i="9" a="1"/>
  <c r="N35" i="9" a="1"/>
  <c r="W227" i="7"/>
  <c r="L103" i="9" a="1"/>
  <c r="L103" i="9" s="1"/>
  <c r="L46" i="9" a="1"/>
  <c r="L46" i="9" s="1"/>
  <c r="L39" i="9" a="1"/>
  <c r="N28" i="9" a="1"/>
  <c r="L35" i="9" a="1"/>
  <c r="L35" i="9" s="1"/>
  <c r="L69" i="9" a="1"/>
  <c r="L69" i="9" s="1"/>
  <c r="L110" i="9" a="1"/>
  <c r="L76" i="9" a="1"/>
  <c r="L56" i="9" a="1"/>
  <c r="L120" i="9" a="1"/>
  <c r="L120" i="9" s="1"/>
  <c r="L25" i="9" a="1"/>
  <c r="L42" i="9" a="1"/>
  <c r="N52" i="9" a="1"/>
  <c r="Q96" i="9"/>
  <c r="Q62" i="9"/>
  <c r="N62" i="9" a="1"/>
  <c r="Q113" i="9"/>
  <c r="Q79" i="9"/>
  <c r="L59" i="9" a="1"/>
  <c r="L114" i="9" a="1"/>
  <c r="L114" i="9" s="1"/>
  <c r="L63" i="9" a="1"/>
  <c r="L63" i="9" s="1"/>
  <c r="L93" i="9" a="1"/>
  <c r="L107" i="9" a="1"/>
  <c r="L29" i="9" a="1"/>
  <c r="L29" i="9" s="1"/>
  <c r="N120" i="9" a="1"/>
  <c r="N69" i="9" a="1"/>
  <c r="L97" i="9" a="1"/>
  <c r="L97" i="9" s="1"/>
  <c r="L52" i="9" a="1"/>
  <c r="L52" i="9" s="1"/>
  <c r="N113" i="9" a="1"/>
  <c r="N45" i="9" a="1"/>
  <c r="L90" i="9" a="1"/>
  <c r="L22" i="9" a="1"/>
  <c r="L86" i="9" a="1"/>
  <c r="L86" i="9" s="1"/>
  <c r="N103" i="9" a="1"/>
  <c r="Q45" i="9"/>
  <c r="L121" i="9" a="1"/>
  <c r="L121" i="9" s="1"/>
  <c r="W299" i="7"/>
  <c r="Q121" i="9"/>
  <c r="P121" i="9"/>
  <c r="N121" i="9" a="1"/>
  <c r="N121" i="9" s="1"/>
  <c r="J838" i="17" l="1"/>
  <c r="J1446" i="18"/>
  <c r="J4778" i="17"/>
  <c r="J1142" i="18"/>
  <c r="J5386" i="17"/>
  <c r="J5082" i="17"/>
  <c r="I234" i="13"/>
  <c r="J1446" i="17"/>
  <c r="N113" i="9"/>
  <c r="I838" i="10"/>
  <c r="J838" i="18"/>
  <c r="J1750" i="17"/>
  <c r="J1750" i="18"/>
  <c r="J1142" i="17"/>
  <c r="I234" i="10"/>
  <c r="I536" i="10"/>
  <c r="J4474" i="17"/>
  <c r="I529" i="10"/>
  <c r="I227" i="10"/>
  <c r="J5379" i="17"/>
  <c r="J1743" i="17"/>
  <c r="N52" i="9"/>
  <c r="J1743" i="18"/>
  <c r="J4771" i="17"/>
  <c r="J1135" i="18"/>
  <c r="J1135" i="17"/>
  <c r="J831" i="17"/>
  <c r="I831" i="10"/>
  <c r="J1439" i="17"/>
  <c r="I227" i="13"/>
  <c r="J831" i="18"/>
  <c r="J4467" i="17"/>
  <c r="J1439" i="18"/>
  <c r="J5075" i="17"/>
  <c r="J1740" i="18"/>
  <c r="I224" i="13"/>
  <c r="J1436" i="18"/>
  <c r="J1740" i="17"/>
  <c r="N28" i="9"/>
  <c r="J1132" i="18"/>
  <c r="J1436" i="17"/>
  <c r="J5376" i="17"/>
  <c r="J4768" i="17"/>
  <c r="J1132" i="17"/>
  <c r="J828" i="18"/>
  <c r="J4464" i="17"/>
  <c r="J5072" i="17"/>
  <c r="I828" i="10"/>
  <c r="J828" i="17"/>
  <c r="I526" i="10"/>
  <c r="I224" i="10"/>
  <c r="J707" i="18" a="1"/>
  <c r="J707" i="18" s="1"/>
  <c r="J163" i="17" a="1"/>
  <c r="J163" i="17" s="1"/>
  <c r="J4647" i="17" a="1"/>
  <c r="J4647" i="17" s="1"/>
  <c r="J2829" i="17" a="1"/>
  <c r="J2829" i="17" s="1"/>
  <c r="I767" i="10" a="1"/>
  <c r="I767" i="10" s="1"/>
  <c r="J1375" i="17" a="1"/>
  <c r="J1375" i="17" s="1"/>
  <c r="J2889" i="17" a="1"/>
  <c r="J2889" i="17" s="1"/>
  <c r="I163" i="13" a="1"/>
  <c r="I163" i="13" s="1"/>
  <c r="J2223" i="17" a="1"/>
  <c r="J2223" i="17" s="1"/>
  <c r="J405" i="18" a="1"/>
  <c r="J405" i="18" s="1"/>
  <c r="J465" i="17" a="1"/>
  <c r="J465" i="17" s="1"/>
  <c r="J3497" i="17" a="1"/>
  <c r="J3497" i="17" s="1"/>
  <c r="J163" i="18" a="1"/>
  <c r="J163" i="18" s="1"/>
  <c r="J103" i="17" a="1"/>
  <c r="J103" i="17" s="1"/>
  <c r="J5255" i="17" a="1"/>
  <c r="J5255" i="17" s="1"/>
  <c r="J1011" i="17" a="1"/>
  <c r="J1011" i="17" s="1"/>
  <c r="J1679" i="17" a="1"/>
  <c r="J1679" i="17" s="1"/>
  <c r="J1375" i="18" a="1"/>
  <c r="J1375" i="18" s="1"/>
  <c r="J1315" i="17" a="1"/>
  <c r="J1315" i="17" s="1"/>
  <c r="J465" i="18" a="1"/>
  <c r="J465" i="18" s="1"/>
  <c r="J4041" i="17" a="1"/>
  <c r="J4041" i="17" s="1"/>
  <c r="J1011" i="18" a="1"/>
  <c r="J1011" i="18" s="1"/>
  <c r="J767" i="18" a="1"/>
  <c r="J767" i="18" s="1"/>
  <c r="J2585" i="17" a="1"/>
  <c r="J2585" i="17" s="1"/>
  <c r="I465" i="10" a="1"/>
  <c r="I465" i="10" s="1"/>
  <c r="J405" i="17" a="1"/>
  <c r="J405" i="17" s="1"/>
  <c r="J5011" i="17" a="1"/>
  <c r="J5011" i="17" s="1"/>
  <c r="J4101" i="17" a="1"/>
  <c r="J4101" i="17" s="1"/>
  <c r="L42" i="9"/>
  <c r="J1071" i="17" a="1"/>
  <c r="J1071" i="17" s="1"/>
  <c r="I103" i="10" a="1"/>
  <c r="I103" i="10" s="1"/>
  <c r="I707" i="10" a="1"/>
  <c r="I707" i="10" s="1"/>
  <c r="I163" i="10" a="1"/>
  <c r="I163" i="10" s="1"/>
  <c r="I405" i="10" a="1"/>
  <c r="I405" i="10" s="1"/>
  <c r="J3799" i="17" a="1"/>
  <c r="J3799" i="17" s="1"/>
  <c r="J1071" i="18" a="1"/>
  <c r="J1071" i="18" s="1"/>
  <c r="J1981" i="17" a="1"/>
  <c r="J1981" i="17" s="1"/>
  <c r="J3739" i="17" a="1"/>
  <c r="J3739" i="17" s="1"/>
  <c r="J4707" i="17" a="1"/>
  <c r="J4707" i="17" s="1"/>
  <c r="J707" i="17" a="1"/>
  <c r="J707" i="17" s="1"/>
  <c r="J1315" i="18" a="1"/>
  <c r="J1315" i="18" s="1"/>
  <c r="J2525" i="17" a="1"/>
  <c r="J2525" i="17" s="1"/>
  <c r="J1619" i="18" a="1"/>
  <c r="J1619" i="18" s="1"/>
  <c r="J2283" i="17" a="1"/>
  <c r="J2283" i="17" s="1"/>
  <c r="J1619" i="17" a="1"/>
  <c r="J1619" i="17" s="1"/>
  <c r="J3133" i="17" a="1"/>
  <c r="J3133" i="17" s="1"/>
  <c r="J767" i="17" a="1"/>
  <c r="J767" i="17" s="1"/>
  <c r="J103" i="18" a="1"/>
  <c r="J103" i="18" s="1"/>
  <c r="I103" i="13" a="1"/>
  <c r="I103" i="13" s="1"/>
  <c r="J4951" i="17" a="1"/>
  <c r="J4951" i="17" s="1"/>
  <c r="J4343" i="17" a="1"/>
  <c r="J4343" i="17" s="1"/>
  <c r="J1921" i="17" a="1"/>
  <c r="J1921" i="17" s="1"/>
  <c r="J3437" i="17" a="1"/>
  <c r="J3437" i="17" s="1"/>
  <c r="J4403" i="17" a="1"/>
  <c r="J4403" i="17" s="1"/>
  <c r="J3193" i="17" a="1"/>
  <c r="J3193" i="17" s="1"/>
  <c r="J1679" i="18" a="1"/>
  <c r="J1679" i="18" s="1"/>
  <c r="J5315" i="17" a="1"/>
  <c r="J5315" i="17" s="1"/>
  <c r="J5334" i="17"/>
  <c r="J2604" i="17"/>
  <c r="J786" i="17"/>
  <c r="J1394" i="17"/>
  <c r="I484" i="10"/>
  <c r="J3818" i="17"/>
  <c r="J1090" i="17"/>
  <c r="J1090" i="18"/>
  <c r="J1698" i="18"/>
  <c r="L73" i="9"/>
  <c r="J2302" i="17"/>
  <c r="J182" i="17"/>
  <c r="J484" i="17"/>
  <c r="J3516" i="17"/>
  <c r="J1394" i="18"/>
  <c r="I786" i="10"/>
  <c r="J786" i="18"/>
  <c r="J4120" i="17"/>
  <c r="J1698" i="17"/>
  <c r="J4726" i="17"/>
  <c r="J3212" i="17"/>
  <c r="I182" i="13"/>
  <c r="J182" i="18"/>
  <c r="J4422" i="17"/>
  <c r="I182" i="10"/>
  <c r="J2000" i="17"/>
  <c r="J2908" i="17"/>
  <c r="J484" i="18"/>
  <c r="J5030" i="17"/>
  <c r="J1447" i="18"/>
  <c r="J839" i="18"/>
  <c r="I537" i="10"/>
  <c r="J839" i="17"/>
  <c r="J1751" i="18"/>
  <c r="N120" i="9"/>
  <c r="J1143" i="17"/>
  <c r="J4779" i="17"/>
  <c r="I839" i="10"/>
  <c r="J1447" i="17"/>
  <c r="J1751" i="17"/>
  <c r="J5083" i="17"/>
  <c r="I235" i="13"/>
  <c r="J4475" i="17"/>
  <c r="J1143" i="18"/>
  <c r="J5387" i="17"/>
  <c r="I235" i="10"/>
  <c r="J1149" i="17"/>
  <c r="J1757" i="18"/>
  <c r="J1757" i="17"/>
  <c r="I241" i="13"/>
  <c r="J3877" i="17"/>
  <c r="J2059" i="17"/>
  <c r="J5393" i="17"/>
  <c r="I241" i="10"/>
  <c r="J3271" i="17"/>
  <c r="J4179" i="17"/>
  <c r="J1453" i="18"/>
  <c r="J241" i="18"/>
  <c r="J1453" i="17"/>
  <c r="J543" i="17"/>
  <c r="J2361" i="17"/>
  <c r="J241" i="17"/>
  <c r="J1149" i="18"/>
  <c r="J4785" i="17"/>
  <c r="J5089" i="17"/>
  <c r="I845" i="10"/>
  <c r="J2967" i="17"/>
  <c r="I543" i="10"/>
  <c r="J3575" i="17"/>
  <c r="J543" i="18"/>
  <c r="J1324" i="17"/>
  <c r="J172" i="18"/>
  <c r="J4412" i="17"/>
  <c r="J776" i="17"/>
  <c r="J3506" i="17"/>
  <c r="J1628" i="17"/>
  <c r="I112" i="10"/>
  <c r="J4050" i="17"/>
  <c r="J5020" i="17"/>
  <c r="J414" i="17"/>
  <c r="J1080" i="18"/>
  <c r="J2898" i="17"/>
  <c r="J1688" i="18"/>
  <c r="J474" i="17"/>
  <c r="J1628" i="18"/>
  <c r="J1384" i="17"/>
  <c r="J3808" i="17"/>
  <c r="J1080" i="17"/>
  <c r="J4656" i="17"/>
  <c r="J1990" i="17"/>
  <c r="L56" i="9"/>
  <c r="J4716" i="17"/>
  <c r="J4110" i="17"/>
  <c r="J3748" i="17"/>
  <c r="J716" i="18"/>
  <c r="J776" i="18"/>
  <c r="J716" i="17"/>
  <c r="I474" i="10"/>
  <c r="J2232" i="17"/>
  <c r="J1930" i="17"/>
  <c r="J112" i="18"/>
  <c r="J4960" i="17"/>
  <c r="J3142" i="17"/>
  <c r="I172" i="10"/>
  <c r="I776" i="10"/>
  <c r="J2292" i="17"/>
  <c r="J474" i="18"/>
  <c r="J2838" i="17"/>
  <c r="J2594" i="17"/>
  <c r="J112" i="17"/>
  <c r="J4352" i="17"/>
  <c r="J3446" i="17"/>
  <c r="J172" i="17"/>
  <c r="J5264" i="17"/>
  <c r="I414" i="10"/>
  <c r="J1020" i="17"/>
  <c r="I112" i="13"/>
  <c r="J1688" i="17"/>
  <c r="J1020" i="18"/>
  <c r="J5324" i="17"/>
  <c r="J414" i="18"/>
  <c r="I716" i="10"/>
  <c r="I172" i="13"/>
  <c r="J1324" i="18"/>
  <c r="J1384" i="18"/>
  <c r="J2534" i="17"/>
  <c r="J3202" i="17"/>
  <c r="J2356" i="17"/>
  <c r="I236" i="10"/>
  <c r="J3570" i="17"/>
  <c r="J2962" i="17"/>
  <c r="J1448" i="18"/>
  <c r="J5084" i="17"/>
  <c r="I538" i="10"/>
  <c r="J538" i="18"/>
  <c r="J1144" i="17"/>
  <c r="J5388" i="17"/>
  <c r="J236" i="17"/>
  <c r="I840" i="10"/>
  <c r="J3266" i="17"/>
  <c r="J236" i="18"/>
  <c r="J4780" i="17"/>
  <c r="J1448" i="17"/>
  <c r="J1752" i="18"/>
  <c r="J3872" i="17"/>
  <c r="J1144" i="18"/>
  <c r="J538" i="17"/>
  <c r="I236" i="13"/>
  <c r="J1752" i="17"/>
  <c r="J4174" i="17"/>
  <c r="J2054" i="17"/>
  <c r="J237" i="18"/>
  <c r="J1753" i="17"/>
  <c r="J5389" i="17"/>
  <c r="J3267" i="17"/>
  <c r="J4781" i="17"/>
  <c r="J237" i="17"/>
  <c r="J2055" i="17"/>
  <c r="J539" i="18"/>
  <c r="I539" i="10"/>
  <c r="J5085" i="17"/>
  <c r="J1753" i="18"/>
  <c r="I841" i="10"/>
  <c r="J1145" i="18"/>
  <c r="J3873" i="17"/>
  <c r="I237" i="10"/>
  <c r="J2963" i="17"/>
  <c r="J3571" i="17"/>
  <c r="J1145" i="17"/>
  <c r="J4175" i="17"/>
  <c r="J1449" i="18"/>
  <c r="J539" i="17"/>
  <c r="I237" i="13"/>
  <c r="J1449" i="17"/>
  <c r="J2357" i="17"/>
  <c r="J1021" i="17" a="1"/>
  <c r="J1021" i="17" s="1"/>
  <c r="J5325" i="17" a="1"/>
  <c r="J5325" i="17" s="1"/>
  <c r="J777" i="17" a="1"/>
  <c r="J777" i="17" s="1"/>
  <c r="J415" i="18" a="1"/>
  <c r="J415" i="18" s="1"/>
  <c r="J3507" i="17" a="1"/>
  <c r="J3507" i="17" s="1"/>
  <c r="J2293" i="17" a="1"/>
  <c r="J2293" i="17" s="1"/>
  <c r="J4657" i="17" a="1"/>
  <c r="J4657" i="17" s="1"/>
  <c r="J2535" i="17" a="1"/>
  <c r="J2535" i="17" s="1"/>
  <c r="J1689" i="18" a="1"/>
  <c r="J1689" i="18" s="1"/>
  <c r="J3143" i="17" a="1"/>
  <c r="J3143" i="17" s="1"/>
  <c r="J1629" i="18" a="1"/>
  <c r="J1629" i="18" s="1"/>
  <c r="J1629" i="17" a="1"/>
  <c r="J1629" i="17" s="1"/>
  <c r="J173" i="17" a="1"/>
  <c r="J173" i="17" s="1"/>
  <c r="J2899" i="17" a="1"/>
  <c r="J2899" i="17" s="1"/>
  <c r="J3447" i="17" a="1"/>
  <c r="J3447" i="17" s="1"/>
  <c r="J1081" i="17" a="1"/>
  <c r="J1081" i="17" s="1"/>
  <c r="J5265" i="17" a="1"/>
  <c r="J5265" i="17" s="1"/>
  <c r="J113" i="17" a="1"/>
  <c r="J113" i="17" s="1"/>
  <c r="J2595" i="17" a="1"/>
  <c r="J2595" i="17" s="1"/>
  <c r="I717" i="10" a="1"/>
  <c r="I717" i="10" s="1"/>
  <c r="J415" i="17" a="1"/>
  <c r="J415" i="17" s="1"/>
  <c r="I475" i="10" a="1"/>
  <c r="I475" i="10" s="1"/>
  <c r="J5021" i="17" a="1"/>
  <c r="J5021" i="17" s="1"/>
  <c r="J3809" i="17" a="1"/>
  <c r="J3809" i="17" s="1"/>
  <c r="J4051" i="17" a="1"/>
  <c r="J4051" i="17" s="1"/>
  <c r="J4413" i="17" a="1"/>
  <c r="J4413" i="17" s="1"/>
  <c r="I173" i="10" a="1"/>
  <c r="I173" i="10" s="1"/>
  <c r="I777" i="10" a="1"/>
  <c r="I777" i="10" s="1"/>
  <c r="J1385" i="18" a="1"/>
  <c r="J1385" i="18" s="1"/>
  <c r="J1385" i="17" a="1"/>
  <c r="J1385" i="17" s="1"/>
  <c r="J4961" i="17" a="1"/>
  <c r="J4961" i="17" s="1"/>
  <c r="I113" i="13" a="1"/>
  <c r="I113" i="13" s="1"/>
  <c r="I173" i="13" a="1"/>
  <c r="I173" i="13" s="1"/>
  <c r="J717" i="18" a="1"/>
  <c r="J717" i="18" s="1"/>
  <c r="J777" i="18" a="1"/>
  <c r="J777" i="18" s="1"/>
  <c r="J4111" i="17" a="1"/>
  <c r="J4111" i="17" s="1"/>
  <c r="J1325" i="17" a="1"/>
  <c r="J1325" i="17" s="1"/>
  <c r="J4717" i="17" a="1"/>
  <c r="J4717" i="17" s="1"/>
  <c r="J2839" i="17" a="1"/>
  <c r="J2839" i="17" s="1"/>
  <c r="J113" i="18" a="1"/>
  <c r="J113" i="18" s="1"/>
  <c r="J1021" i="18" a="1"/>
  <c r="J1021" i="18" s="1"/>
  <c r="J3203" i="17" a="1"/>
  <c r="J3203" i="17" s="1"/>
  <c r="J1931" i="17" a="1"/>
  <c r="J1931" i="17" s="1"/>
  <c r="L59" i="9"/>
  <c r="I113" i="10" a="1"/>
  <c r="I113" i="10" s="1"/>
  <c r="J475" i="18" a="1"/>
  <c r="J475" i="18" s="1"/>
  <c r="J1689" i="17" a="1"/>
  <c r="J1689" i="17" s="1"/>
  <c r="J475" i="17" a="1"/>
  <c r="J475" i="17" s="1"/>
  <c r="J3749" i="17" a="1"/>
  <c r="J3749" i="17" s="1"/>
  <c r="J1081" i="18" a="1"/>
  <c r="J1081" i="18" s="1"/>
  <c r="J1325" i="18" a="1"/>
  <c r="J1325" i="18" s="1"/>
  <c r="J717" i="17" a="1"/>
  <c r="J717" i="17" s="1"/>
  <c r="J1991" i="17" a="1"/>
  <c r="J1991" i="17" s="1"/>
  <c r="I415" i="10" a="1"/>
  <c r="I415" i="10" s="1"/>
  <c r="J2233" i="17" a="1"/>
  <c r="J2233" i="17" s="1"/>
  <c r="J4353" i="17" a="1"/>
  <c r="J4353" i="17" s="1"/>
  <c r="J173" i="18" a="1"/>
  <c r="J173" i="18" s="1"/>
  <c r="J1374" i="18"/>
  <c r="J464" i="18"/>
  <c r="J3798" i="17"/>
  <c r="J5010" i="17"/>
  <c r="J766" i="18"/>
  <c r="J1678" i="18"/>
  <c r="J4100" i="17"/>
  <c r="J3496" i="17"/>
  <c r="J2888" i="17"/>
  <c r="J1678" i="17"/>
  <c r="J2282" i="17"/>
  <c r="I162" i="10"/>
  <c r="J4706" i="17"/>
  <c r="J464" i="17"/>
  <c r="J766" i="17"/>
  <c r="J3192" i="17"/>
  <c r="J1070" i="17"/>
  <c r="J162" i="17"/>
  <c r="L39" i="9"/>
  <c r="J1980" i="17"/>
  <c r="J162" i="18"/>
  <c r="J4402" i="17"/>
  <c r="J1374" i="17"/>
  <c r="J1070" i="18"/>
  <c r="I162" i="13"/>
  <c r="I766" i="10"/>
  <c r="I464" i="10"/>
  <c r="J2584" i="17"/>
  <c r="J5314" i="17"/>
  <c r="J4777" i="17"/>
  <c r="I233" i="13"/>
  <c r="J1749" i="18"/>
  <c r="I535" i="10"/>
  <c r="J837" i="17"/>
  <c r="J5385" i="17"/>
  <c r="N103" i="9"/>
  <c r="J5081" i="17"/>
  <c r="I837" i="10"/>
  <c r="J1445" i="17"/>
  <c r="J4473" i="17"/>
  <c r="J1445" i="18"/>
  <c r="J1749" i="17"/>
  <c r="J837" i="18"/>
  <c r="J1141" i="17"/>
  <c r="J1141" i="18"/>
  <c r="I233" i="10"/>
  <c r="J1136" i="18"/>
  <c r="J1440" i="17"/>
  <c r="J5076" i="17"/>
  <c r="I228" i="10"/>
  <c r="J832" i="18"/>
  <c r="J832" i="17"/>
  <c r="J1744" i="17"/>
  <c r="J1440" i="18"/>
  <c r="J4772" i="17"/>
  <c r="I530" i="10"/>
  <c r="N62" i="9"/>
  <c r="J1136" i="17"/>
  <c r="J4468" i="17"/>
  <c r="I832" i="10"/>
  <c r="J5380" i="17"/>
  <c r="J1744" i="18"/>
  <c r="I228" i="13"/>
  <c r="J485" i="18" a="1"/>
  <c r="J485" i="18" s="1"/>
  <c r="J3213" i="17" a="1"/>
  <c r="J3213" i="17" s="1"/>
  <c r="J4727" i="17" a="1"/>
  <c r="J4727" i="17" s="1"/>
  <c r="J3819" i="17" a="1"/>
  <c r="J3819" i="17" s="1"/>
  <c r="J1639" i="18" a="1"/>
  <c r="J1639" i="18" s="1"/>
  <c r="I727" i="10" a="1"/>
  <c r="I727" i="10" s="1"/>
  <c r="J3759" i="17" a="1"/>
  <c r="J3759" i="17" s="1"/>
  <c r="J1091" i="17" a="1"/>
  <c r="J1091" i="17" s="1"/>
  <c r="J2545" i="17" a="1"/>
  <c r="J2545" i="17" s="1"/>
  <c r="J787" i="18" a="1"/>
  <c r="J787" i="18" s="1"/>
  <c r="J2849" i="17" a="1"/>
  <c r="J2849" i="17" s="1"/>
  <c r="J1395" i="18" a="1"/>
  <c r="J1395" i="18" s="1"/>
  <c r="J5335" i="17" a="1"/>
  <c r="J5335" i="17" s="1"/>
  <c r="J1699" i="17" a="1"/>
  <c r="J1699" i="17" s="1"/>
  <c r="J1031" i="17" a="1"/>
  <c r="J1031" i="17" s="1"/>
  <c r="J3153" i="17" a="1"/>
  <c r="J3153" i="17" s="1"/>
  <c r="J2303" i="17" a="1"/>
  <c r="J2303" i="17" s="1"/>
  <c r="J1941" i="17" a="1"/>
  <c r="J1941" i="17" s="1"/>
  <c r="J4667" i="17" a="1"/>
  <c r="J4667" i="17" s="1"/>
  <c r="J4971" i="17" a="1"/>
  <c r="J4971" i="17" s="1"/>
  <c r="J183" i="18" a="1"/>
  <c r="J183" i="18" s="1"/>
  <c r="I123" i="10" a="1"/>
  <c r="I123" i="10" s="1"/>
  <c r="J4363" i="17" a="1"/>
  <c r="J4363" i="17" s="1"/>
  <c r="J2243" i="17" a="1"/>
  <c r="J2243" i="17" s="1"/>
  <c r="J425" i="18" a="1"/>
  <c r="J425" i="18" s="1"/>
  <c r="J4061" i="17" a="1"/>
  <c r="J4061" i="17" s="1"/>
  <c r="J1639" i="17" a="1"/>
  <c r="J1639" i="17" s="1"/>
  <c r="J1031" i="18" a="1"/>
  <c r="J1031" i="18" s="1"/>
  <c r="J4423" i="17" a="1"/>
  <c r="J4423" i="17" s="1"/>
  <c r="J425" i="17" a="1"/>
  <c r="J425" i="17" s="1"/>
  <c r="J1699" i="18" a="1"/>
  <c r="J1699" i="18" s="1"/>
  <c r="J2909" i="17" a="1"/>
  <c r="J2909" i="17" s="1"/>
  <c r="J787" i="17" a="1"/>
  <c r="J787" i="17" s="1"/>
  <c r="J123" i="17" a="1"/>
  <c r="J123" i="17" s="1"/>
  <c r="J3457" i="17" a="1"/>
  <c r="J3457" i="17" s="1"/>
  <c r="J1335" i="17" a="1"/>
  <c r="J1335" i="17" s="1"/>
  <c r="I425" i="10" a="1"/>
  <c r="I425" i="10" s="1"/>
  <c r="J1395" i="17" a="1"/>
  <c r="J1395" i="17" s="1"/>
  <c r="J5031" i="17" a="1"/>
  <c r="J5031" i="17" s="1"/>
  <c r="J1335" i="18" a="1"/>
  <c r="J1335" i="18" s="1"/>
  <c r="J2001" i="17" a="1"/>
  <c r="J2001" i="17" s="1"/>
  <c r="J485" i="17" a="1"/>
  <c r="J485" i="17" s="1"/>
  <c r="I183" i="10" a="1"/>
  <c r="I183" i="10" s="1"/>
  <c r="J183" i="17" a="1"/>
  <c r="J183" i="17" s="1"/>
  <c r="J3517" i="17" a="1"/>
  <c r="J3517" i="17" s="1"/>
  <c r="J1091" i="18" a="1"/>
  <c r="J1091" i="18" s="1"/>
  <c r="J4121" i="17" a="1"/>
  <c r="J4121" i="17" s="1"/>
  <c r="L76" i="9"/>
  <c r="J123" i="18" a="1"/>
  <c r="J123" i="18" s="1"/>
  <c r="J727" i="18" a="1"/>
  <c r="J727" i="18" s="1"/>
  <c r="I183" i="13" a="1"/>
  <c r="I183" i="13" s="1"/>
  <c r="I123" i="13" a="1"/>
  <c r="I123" i="13" s="1"/>
  <c r="J2605" i="17" a="1"/>
  <c r="J2605" i="17" s="1"/>
  <c r="I787" i="10" a="1"/>
  <c r="I787" i="10" s="1"/>
  <c r="I485" i="10" a="1"/>
  <c r="I485" i="10" s="1"/>
  <c r="J727" i="17" a="1"/>
  <c r="J727" i="17" s="1"/>
  <c r="J5275" i="17" a="1"/>
  <c r="J5275" i="17" s="1"/>
  <c r="J2574" i="17"/>
  <c r="J5000" i="17"/>
  <c r="J3788" i="17"/>
  <c r="I152" i="13"/>
  <c r="J1668" i="18"/>
  <c r="J4392" i="17"/>
  <c r="J4090" i="17"/>
  <c r="J2878" i="17"/>
  <c r="J756" i="17"/>
  <c r="J3182" i="17"/>
  <c r="J152" i="18"/>
  <c r="J5304" i="17"/>
  <c r="J1970" i="17"/>
  <c r="L22" i="9"/>
  <c r="J1364" i="18"/>
  <c r="J152" i="17"/>
  <c r="J1364" i="17"/>
  <c r="J2272" i="17"/>
  <c r="J1668" i="17"/>
  <c r="J4696" i="17"/>
  <c r="J454" i="17"/>
  <c r="J756" i="18"/>
  <c r="I152" i="10"/>
  <c r="J454" i="18"/>
  <c r="J1060" i="17"/>
  <c r="J3486" i="17"/>
  <c r="I756" i="10"/>
  <c r="I454" i="10"/>
  <c r="J1060" i="18"/>
  <c r="J2614" i="17"/>
  <c r="J5344" i="17"/>
  <c r="J1404" i="17"/>
  <c r="L90" i="9"/>
  <c r="J192" i="18"/>
  <c r="J1708" i="17"/>
  <c r="J4736" i="17"/>
  <c r="J2010" i="17"/>
  <c r="J1404" i="18"/>
  <c r="J3222" i="17"/>
  <c r="J3526" i="17"/>
  <c r="J1100" i="18"/>
  <c r="J3828" i="17"/>
  <c r="J2312" i="17"/>
  <c r="J192" i="17"/>
  <c r="J494" i="17"/>
  <c r="J796" i="18"/>
  <c r="J5040" i="17"/>
  <c r="J4432" i="17"/>
  <c r="J1708" i="18"/>
  <c r="J1100" i="17"/>
  <c r="J796" i="17"/>
  <c r="I192" i="13"/>
  <c r="I494" i="10"/>
  <c r="I796" i="10"/>
  <c r="J494" i="18"/>
  <c r="J4130" i="17"/>
  <c r="I192" i="10"/>
  <c r="J2918" i="17"/>
  <c r="L107" i="9"/>
  <c r="I504" i="10"/>
  <c r="J1414" i="18"/>
  <c r="J202" i="18"/>
  <c r="J2020" i="17"/>
  <c r="J2928" i="17"/>
  <c r="J504" i="17"/>
  <c r="J1718" i="17"/>
  <c r="J1110" i="18"/>
  <c r="J5354" i="17"/>
  <c r="J4746" i="17"/>
  <c r="J504" i="18"/>
  <c r="J1414" i="17"/>
  <c r="J1110" i="17"/>
  <c r="I202" i="13"/>
  <c r="I202" i="10"/>
  <c r="I806" i="10"/>
  <c r="J2322" i="17"/>
  <c r="J2624" i="17"/>
  <c r="J1718" i="18"/>
  <c r="J202" i="17"/>
  <c r="J806" i="17"/>
  <c r="J5050" i="17"/>
  <c r="J3838" i="17"/>
  <c r="J4442" i="17"/>
  <c r="J3232" i="17"/>
  <c r="J3536" i="17"/>
  <c r="J4140" i="17"/>
  <c r="J806" i="18"/>
  <c r="J3572" i="17"/>
  <c r="J238" i="18"/>
  <c r="J3268" i="17"/>
  <c r="J4176" i="17"/>
  <c r="J540" i="18"/>
  <c r="J1754" i="18"/>
  <c r="J4782" i="17"/>
  <c r="J5390" i="17"/>
  <c r="J540" i="17"/>
  <c r="I842" i="10"/>
  <c r="I540" i="10"/>
  <c r="J1450" i="17"/>
  <c r="J5086" i="17"/>
  <c r="J2358" i="17"/>
  <c r="I238" i="13"/>
  <c r="J3874" i="17"/>
  <c r="J1146" i="18"/>
  <c r="J2056" i="17"/>
  <c r="J2964" i="17"/>
  <c r="J1146" i="17"/>
  <c r="J1754" i="17"/>
  <c r="I238" i="10"/>
  <c r="J1450" i="18"/>
  <c r="J238" i="17"/>
  <c r="J5073" i="17"/>
  <c r="I225" i="13"/>
  <c r="J1133" i="17"/>
  <c r="J829" i="17"/>
  <c r="J1133" i="18"/>
  <c r="J5377" i="17"/>
  <c r="J4465" i="17"/>
  <c r="J1437" i="17"/>
  <c r="J4769" i="17"/>
  <c r="I829" i="10"/>
  <c r="J1437" i="18"/>
  <c r="N35" i="9"/>
  <c r="J1741" i="17"/>
  <c r="I225" i="10"/>
  <c r="I527" i="10"/>
  <c r="J1741" i="18"/>
  <c r="J829" i="18"/>
  <c r="J455" i="18" a="1"/>
  <c r="J455" i="18" s="1"/>
  <c r="J757" i="17" a="1"/>
  <c r="J757" i="17" s="1"/>
  <c r="J395" i="18" a="1"/>
  <c r="J395" i="18" s="1"/>
  <c r="J1669" i="17" a="1"/>
  <c r="J1669" i="17" s="1"/>
  <c r="J1061" i="17" a="1"/>
  <c r="J1061" i="17" s="1"/>
  <c r="J4697" i="17" a="1"/>
  <c r="J4697" i="17" s="1"/>
  <c r="J395" i="17" a="1"/>
  <c r="J395" i="17" s="1"/>
  <c r="J2575" i="17" a="1"/>
  <c r="J2575" i="17" s="1"/>
  <c r="J1365" i="17" a="1"/>
  <c r="J1365" i="17" s="1"/>
  <c r="J4031" i="17" a="1"/>
  <c r="J4031" i="17" s="1"/>
  <c r="J2515" i="17" a="1"/>
  <c r="J2515" i="17" s="1"/>
  <c r="I455" i="10" a="1"/>
  <c r="I455" i="10" s="1"/>
  <c r="J1305" i="17" a="1"/>
  <c r="J1305" i="17" s="1"/>
  <c r="J3789" i="17" a="1"/>
  <c r="J3789" i="17" s="1"/>
  <c r="J3123" i="17" a="1"/>
  <c r="J3123" i="17" s="1"/>
  <c r="J697" i="18" a="1"/>
  <c r="J697" i="18" s="1"/>
  <c r="I153" i="13" a="1"/>
  <c r="I153" i="13" s="1"/>
  <c r="L25" i="9"/>
  <c r="I93" i="13" a="1"/>
  <c r="I93" i="13" s="1"/>
  <c r="J1305" i="18" a="1"/>
  <c r="J1305" i="18" s="1"/>
  <c r="J3487" i="17" a="1"/>
  <c r="J3487" i="17" s="1"/>
  <c r="J1609" i="18" a="1"/>
  <c r="J1609" i="18" s="1"/>
  <c r="J5245" i="17" a="1"/>
  <c r="J5245" i="17" s="1"/>
  <c r="I757" i="10" a="1"/>
  <c r="I757" i="10" s="1"/>
  <c r="J93" i="18" a="1"/>
  <c r="J93" i="18" s="1"/>
  <c r="J5001" i="17" a="1"/>
  <c r="J5001" i="17" s="1"/>
  <c r="J3729" i="17" a="1"/>
  <c r="J3729" i="17" s="1"/>
  <c r="J2879" i="17" a="1"/>
  <c r="J2879" i="17" s="1"/>
  <c r="I153" i="10" a="1"/>
  <c r="I153" i="10" s="1"/>
  <c r="I93" i="10" a="1"/>
  <c r="I93" i="10" s="1"/>
  <c r="J4091" i="17" a="1"/>
  <c r="J4091" i="17" s="1"/>
  <c r="J4637" i="17" a="1"/>
  <c r="J4637" i="17" s="1"/>
  <c r="J3183" i="17" a="1"/>
  <c r="J3183" i="17" s="1"/>
  <c r="J1365" i="18" a="1"/>
  <c r="J1365" i="18" s="1"/>
  <c r="J455" i="17" a="1"/>
  <c r="J455" i="17" s="1"/>
  <c r="J2273" i="17" a="1"/>
  <c r="J2273" i="17" s="1"/>
  <c r="J1669" i="18" a="1"/>
  <c r="J1669" i="18" s="1"/>
  <c r="J2213" i="17" a="1"/>
  <c r="J2213" i="17" s="1"/>
  <c r="J1971" i="17" a="1"/>
  <c r="J1971" i="17" s="1"/>
  <c r="J1911" i="17" a="1"/>
  <c r="J1911" i="17" s="1"/>
  <c r="J153" i="18" a="1"/>
  <c r="J153" i="18" s="1"/>
  <c r="J153" i="17" a="1"/>
  <c r="J153" i="17" s="1"/>
  <c r="J1001" i="18" a="1"/>
  <c r="J1001" i="18" s="1"/>
  <c r="J1061" i="18" a="1"/>
  <c r="J1061" i="18" s="1"/>
  <c r="I395" i="10" a="1"/>
  <c r="I395" i="10" s="1"/>
  <c r="J757" i="18" a="1"/>
  <c r="J757" i="18" s="1"/>
  <c r="J3427" i="17" a="1"/>
  <c r="J3427" i="17" s="1"/>
  <c r="J1609" i="17" a="1"/>
  <c r="J1609" i="17" s="1"/>
  <c r="J697" i="17" a="1"/>
  <c r="J697" i="17" s="1"/>
  <c r="J4393" i="17" a="1"/>
  <c r="J4393" i="17" s="1"/>
  <c r="J4333" i="17" a="1"/>
  <c r="J4333" i="17" s="1"/>
  <c r="J1001" i="17" a="1"/>
  <c r="J1001" i="17" s="1"/>
  <c r="J5305" i="17" a="1"/>
  <c r="J5305" i="17" s="1"/>
  <c r="J4941" i="17" a="1"/>
  <c r="J4941" i="17" s="1"/>
  <c r="J2819" i="17" a="1"/>
  <c r="J2819" i="17" s="1"/>
  <c r="J93" i="17" a="1"/>
  <c r="J93" i="17" s="1"/>
  <c r="I697" i="10" a="1"/>
  <c r="I697" i="10" s="1"/>
  <c r="J834" i="18"/>
  <c r="I230" i="13"/>
  <c r="J1746" i="18"/>
  <c r="J1442" i="17"/>
  <c r="J1138" i="18"/>
  <c r="J5382" i="17"/>
  <c r="J4470" i="17"/>
  <c r="J1442" i="18"/>
  <c r="I532" i="10"/>
  <c r="J1138" i="17"/>
  <c r="J834" i="17"/>
  <c r="N79" i="9"/>
  <c r="I230" i="10"/>
  <c r="J4774" i="17"/>
  <c r="J1746" i="17"/>
  <c r="I834" i="10"/>
  <c r="J5078" i="17"/>
  <c r="J1745" i="18"/>
  <c r="I229" i="13"/>
  <c r="J4773" i="17"/>
  <c r="J833" i="18"/>
  <c r="J1137" i="18"/>
  <c r="I229" i="10"/>
  <c r="J1745" i="17"/>
  <c r="J1137" i="17"/>
  <c r="J833" i="17"/>
  <c r="I531" i="10"/>
  <c r="J1441" i="18"/>
  <c r="J5381" i="17"/>
  <c r="J4469" i="17"/>
  <c r="I833" i="10"/>
  <c r="J5077" i="17"/>
  <c r="J1441" i="17"/>
  <c r="N69" i="9"/>
  <c r="J541" i="17"/>
  <c r="J3269" i="17"/>
  <c r="I239" i="10"/>
  <c r="J5391" i="17"/>
  <c r="I239" i="13"/>
  <c r="J1451" i="17"/>
  <c r="J2965" i="17"/>
  <c r="I541" i="10"/>
  <c r="J4783" i="17"/>
  <c r="J1147" i="17"/>
  <c r="J541" i="18"/>
  <c r="J239" i="17"/>
  <c r="J2359" i="17"/>
  <c r="J1755" i="18"/>
  <c r="I843" i="10"/>
  <c r="J5087" i="17"/>
  <c r="J2057" i="17"/>
  <c r="J4177" i="17"/>
  <c r="J239" i="18"/>
  <c r="J1147" i="18"/>
  <c r="J3875" i="17"/>
  <c r="J1755" i="17"/>
  <c r="J3573" i="17"/>
  <c r="J1451" i="18"/>
  <c r="J835" i="18"/>
  <c r="I533" i="10"/>
  <c r="J1139" i="18"/>
  <c r="I231" i="10"/>
  <c r="J4775" i="17"/>
  <c r="J1747" i="17"/>
  <c r="J5383" i="17"/>
  <c r="J835" i="17"/>
  <c r="N86" i="9"/>
  <c r="J1747" i="18"/>
  <c r="I231" i="13"/>
  <c r="J4471" i="17"/>
  <c r="J1443" i="17"/>
  <c r="J5079" i="17"/>
  <c r="J1139" i="17"/>
  <c r="I835" i="10"/>
  <c r="J1443" i="18"/>
  <c r="I143" i="10" a="1"/>
  <c r="I143" i="10" s="1"/>
  <c r="J5051" i="17" a="1"/>
  <c r="J5051" i="17" s="1"/>
  <c r="J4081" i="17" a="1"/>
  <c r="J4081" i="17" s="1"/>
  <c r="I445" i="10" a="1"/>
  <c r="I445" i="10" s="1"/>
  <c r="J203" i="18" a="1"/>
  <c r="J203" i="18" s="1"/>
  <c r="J1111" i="17" a="1"/>
  <c r="J1111" i="17" s="1"/>
  <c r="J203" i="17" a="1"/>
  <c r="J203" i="17" s="1"/>
  <c r="J1719" i="17" a="1"/>
  <c r="J1719" i="17" s="1"/>
  <c r="J2323" i="17" a="1"/>
  <c r="J2323" i="17" s="1"/>
  <c r="I203" i="10" a="1"/>
  <c r="I203" i="10" s="1"/>
  <c r="J143" i="18" a="1"/>
  <c r="J143" i="18" s="1"/>
  <c r="J445" i="18" a="1"/>
  <c r="J445" i="18" s="1"/>
  <c r="I807" i="10" a="1"/>
  <c r="I807" i="10" s="1"/>
  <c r="J2263" i="17" a="1"/>
  <c r="J2263" i="17" s="1"/>
  <c r="J1355" i="17" a="1"/>
  <c r="J1355" i="17" s="1"/>
  <c r="J4687" i="17" a="1"/>
  <c r="J4687" i="17" s="1"/>
  <c r="J3839" i="17" a="1"/>
  <c r="J3839" i="17" s="1"/>
  <c r="J1051" i="18" a="1"/>
  <c r="J1051" i="18" s="1"/>
  <c r="J2021" i="17" a="1"/>
  <c r="J2021" i="17" s="1"/>
  <c r="J143" i="17" a="1"/>
  <c r="J143" i="17" s="1"/>
  <c r="J2869" i="17" a="1"/>
  <c r="J2869" i="17" s="1"/>
  <c r="I203" i="13" a="1"/>
  <c r="I203" i="13" s="1"/>
  <c r="J2625" i="17" a="1"/>
  <c r="J2625" i="17" s="1"/>
  <c r="J1415" i="18" a="1"/>
  <c r="J1415" i="18" s="1"/>
  <c r="L110" i="9"/>
  <c r="J1719" i="18" a="1"/>
  <c r="J1719" i="18" s="1"/>
  <c r="J1659" i="18" a="1"/>
  <c r="J1659" i="18" s="1"/>
  <c r="J3173" i="17" a="1"/>
  <c r="J3173" i="17" s="1"/>
  <c r="J4443" i="17" a="1"/>
  <c r="J4443" i="17" s="1"/>
  <c r="J3233" i="17" a="1"/>
  <c r="J3233" i="17" s="1"/>
  <c r="J4991" i="17" a="1"/>
  <c r="J4991" i="17" s="1"/>
  <c r="J1111" i="18" a="1"/>
  <c r="J1111" i="18" s="1"/>
  <c r="J3779" i="17" a="1"/>
  <c r="J3779" i="17" s="1"/>
  <c r="J807" i="17" a="1"/>
  <c r="J807" i="17" s="1"/>
  <c r="J445" i="17" a="1"/>
  <c r="J445" i="17" s="1"/>
  <c r="J1051" i="17" a="1"/>
  <c r="J1051" i="17" s="1"/>
  <c r="J2565" i="17" a="1"/>
  <c r="J2565" i="17" s="1"/>
  <c r="J1415" i="17" a="1"/>
  <c r="J1415" i="17" s="1"/>
  <c r="J2929" i="17" a="1"/>
  <c r="J2929" i="17" s="1"/>
  <c r="I505" i="10" a="1"/>
  <c r="I505" i="10" s="1"/>
  <c r="J3537" i="17" a="1"/>
  <c r="J3537" i="17" s="1"/>
  <c r="J1659" i="17" a="1"/>
  <c r="J1659" i="17" s="1"/>
  <c r="J1355" i="18" a="1"/>
  <c r="J1355" i="18" s="1"/>
  <c r="J3477" i="17" a="1"/>
  <c r="J3477" i="17" s="1"/>
  <c r="J807" i="18" a="1"/>
  <c r="J807" i="18" s="1"/>
  <c r="I747" i="10" a="1"/>
  <c r="I747" i="10" s="1"/>
  <c r="J4747" i="17" a="1"/>
  <c r="J4747" i="17" s="1"/>
  <c r="J505" i="17" a="1"/>
  <c r="J505" i="17" s="1"/>
  <c r="J505" i="18" a="1"/>
  <c r="J505" i="18" s="1"/>
  <c r="J747" i="18" a="1"/>
  <c r="J747" i="18" s="1"/>
  <c r="J4141" i="17" a="1"/>
  <c r="J4141" i="17" s="1"/>
  <c r="J747" i="17" a="1"/>
  <c r="J747" i="17" s="1"/>
  <c r="J1961" i="17" a="1"/>
  <c r="J1961" i="17" s="1"/>
  <c r="J5295" i="17" a="1"/>
  <c r="J5295" i="17" s="1"/>
  <c r="J4383" i="17" a="1"/>
  <c r="J4383" i="17" s="1"/>
  <c r="J5355" i="17" a="1"/>
  <c r="J5355" i="17" s="1"/>
  <c r="I143" i="13" a="1"/>
  <c r="I143" i="13" s="1"/>
  <c r="I528" i="10"/>
  <c r="I226" i="13"/>
  <c r="J5378" i="17"/>
  <c r="J1134" i="18"/>
  <c r="I830" i="10"/>
  <c r="J1742" i="17"/>
  <c r="J1742" i="18"/>
  <c r="J1438" i="17"/>
  <c r="J830" i="17"/>
  <c r="J4466" i="17"/>
  <c r="N45" i="9"/>
  <c r="J1134" i="17"/>
  <c r="J830" i="18"/>
  <c r="I226" i="10"/>
  <c r="J4770" i="17"/>
  <c r="J1438" i="18"/>
  <c r="J5074" i="17"/>
  <c r="I193" i="10" a="1"/>
  <c r="I193" i="10" s="1"/>
  <c r="J4071" i="17" a="1"/>
  <c r="J4071" i="17" s="1"/>
  <c r="J1101" i="18" a="1"/>
  <c r="J1101" i="18" s="1"/>
  <c r="J1101" i="17" a="1"/>
  <c r="J1101" i="17" s="1"/>
  <c r="J435" i="18" a="1"/>
  <c r="J435" i="18" s="1"/>
  <c r="J2253" i="17" a="1"/>
  <c r="J2253" i="17" s="1"/>
  <c r="J797" i="18" a="1"/>
  <c r="J797" i="18" s="1"/>
  <c r="J4373" i="17" a="1"/>
  <c r="J4373" i="17" s="1"/>
  <c r="J3829" i="17" a="1"/>
  <c r="J3829" i="17" s="1"/>
  <c r="J2615" i="17" a="1"/>
  <c r="J2615" i="17" s="1"/>
  <c r="J3527" i="17" a="1"/>
  <c r="J3527" i="17" s="1"/>
  <c r="J4433" i="17" a="1"/>
  <c r="J4433" i="17" s="1"/>
  <c r="J4677" i="17" a="1"/>
  <c r="J4677" i="17" s="1"/>
  <c r="J5285" i="17" a="1"/>
  <c r="J5285" i="17" s="1"/>
  <c r="J4981" i="17" a="1"/>
  <c r="J4981" i="17" s="1"/>
  <c r="J3769" i="17" a="1"/>
  <c r="J3769" i="17" s="1"/>
  <c r="J3467" i="17" a="1"/>
  <c r="J3467" i="17" s="1"/>
  <c r="J3223" i="17" a="1"/>
  <c r="J3223" i="17" s="1"/>
  <c r="J5345" i="17" a="1"/>
  <c r="J5345" i="17" s="1"/>
  <c r="I435" i="10" a="1"/>
  <c r="I435" i="10" s="1"/>
  <c r="J2313" i="17" a="1"/>
  <c r="J2313" i="17" s="1"/>
  <c r="J1649" i="17" a="1"/>
  <c r="J1649" i="17" s="1"/>
  <c r="J2859" i="17" a="1"/>
  <c r="J2859" i="17" s="1"/>
  <c r="J737" i="18" a="1"/>
  <c r="J737" i="18" s="1"/>
  <c r="J1345" i="17" a="1"/>
  <c r="J1345" i="17" s="1"/>
  <c r="J1649" i="18" a="1"/>
  <c r="J1649" i="18" s="1"/>
  <c r="I133" i="10" a="1"/>
  <c r="I133" i="10" s="1"/>
  <c r="I737" i="10" a="1"/>
  <c r="I737" i="10" s="1"/>
  <c r="J1709" i="18" a="1"/>
  <c r="J1709" i="18" s="1"/>
  <c r="J1951" i="17" a="1"/>
  <c r="J1951" i="17" s="1"/>
  <c r="J5041" i="17" a="1"/>
  <c r="J5041" i="17" s="1"/>
  <c r="J3163" i="17" a="1"/>
  <c r="J3163" i="17" s="1"/>
  <c r="I797" i="10" a="1"/>
  <c r="I797" i="10" s="1"/>
  <c r="J797" i="17" a="1"/>
  <c r="J797" i="17" s="1"/>
  <c r="J1041" i="18" a="1"/>
  <c r="J1041" i="18" s="1"/>
  <c r="I193" i="13" a="1"/>
  <c r="I193" i="13" s="1"/>
  <c r="J495" i="18" a="1"/>
  <c r="J495" i="18" s="1"/>
  <c r="J435" i="17" a="1"/>
  <c r="J435" i="17" s="1"/>
  <c r="I495" i="10" a="1"/>
  <c r="I495" i="10" s="1"/>
  <c r="L93" i="9"/>
  <c r="J1345" i="18" a="1"/>
  <c r="J1345" i="18" s="1"/>
  <c r="J1709" i="17" a="1"/>
  <c r="J1709" i="17" s="1"/>
  <c r="J1405" i="18" a="1"/>
  <c r="J1405" i="18" s="1"/>
  <c r="J2919" i="17" a="1"/>
  <c r="J2919" i="17" s="1"/>
  <c r="J737" i="17" a="1"/>
  <c r="J737" i="17" s="1"/>
  <c r="I133" i="13" a="1"/>
  <c r="I133" i="13" s="1"/>
  <c r="J495" i="17" a="1"/>
  <c r="J495" i="17" s="1"/>
  <c r="J4737" i="17" a="1"/>
  <c r="J4737" i="17" s="1"/>
  <c r="J193" i="17" a="1"/>
  <c r="J193" i="17" s="1"/>
  <c r="J2555" i="17" a="1"/>
  <c r="J2555" i="17" s="1"/>
  <c r="J2011" i="17" a="1"/>
  <c r="J2011" i="17" s="1"/>
  <c r="J1405" i="17" a="1"/>
  <c r="J1405" i="17" s="1"/>
  <c r="J193" i="18" a="1"/>
  <c r="J193" i="18" s="1"/>
  <c r="J1041" i="17" a="1"/>
  <c r="J1041" i="17" s="1"/>
  <c r="J4131" i="17" a="1"/>
  <c r="J4131" i="17" s="1"/>
  <c r="J133" i="17" a="1"/>
  <c r="J133" i="17" s="1"/>
  <c r="J133" i="18" a="1"/>
  <c r="J133" i="18" s="1"/>
  <c r="J3270" i="17"/>
  <c r="J1756" i="17"/>
  <c r="J5088" i="17"/>
  <c r="J2966" i="17"/>
  <c r="J2058" i="17"/>
  <c r="J5392" i="17"/>
  <c r="I542" i="10"/>
  <c r="J2360" i="17"/>
  <c r="J542" i="17"/>
  <c r="J240" i="18"/>
  <c r="I844" i="10"/>
  <c r="I240" i="10"/>
  <c r="J1452" i="17"/>
  <c r="J1756" i="18"/>
  <c r="J240" i="17"/>
  <c r="J1452" i="18"/>
  <c r="J542" i="18"/>
  <c r="J3876" i="17"/>
  <c r="J4784" i="17"/>
  <c r="J4178" i="17"/>
  <c r="I240" i="13"/>
  <c r="J1148" i="17"/>
  <c r="J1148" i="18"/>
  <c r="J3574" i="17"/>
  <c r="J4776" i="17"/>
  <c r="J1748" i="17"/>
  <c r="J1444" i="18"/>
  <c r="I232" i="10"/>
  <c r="J5080" i="17"/>
  <c r="J836" i="17"/>
  <c r="J4472" i="17"/>
  <c r="J1140" i="18"/>
  <c r="I534" i="10"/>
  <c r="J1140" i="17"/>
  <c r="J5384" i="17"/>
  <c r="N96" i="9"/>
  <c r="J836" i="18"/>
  <c r="J1444" i="17"/>
  <c r="I836" i="10"/>
  <c r="J1748" i="18"/>
  <c r="I232" i="13"/>
  <c r="I217" i="10" l="1"/>
  <c r="J1125" i="18"/>
  <c r="J1429" i="17"/>
  <c r="I519" i="10"/>
  <c r="I217" i="13"/>
  <c r="J821" i="18"/>
  <c r="I821" i="10"/>
  <c r="J1429" i="18"/>
  <c r="J5369" i="17"/>
  <c r="J4761" i="17"/>
  <c r="J4457" i="17"/>
  <c r="J1733" i="17"/>
  <c r="J5065" i="17"/>
  <c r="J1125" i="17"/>
  <c r="J821" i="17"/>
  <c r="J1733" i="18"/>
  <c r="J1425" i="18"/>
  <c r="J4453" i="17"/>
  <c r="J5365" i="17"/>
  <c r="J4757" i="17"/>
  <c r="J1121" i="17"/>
  <c r="J1425" i="17"/>
  <c r="J817" i="17"/>
  <c r="J1121" i="18"/>
  <c r="J1729" i="17"/>
  <c r="J1729" i="18"/>
  <c r="I515" i="10"/>
  <c r="I213" i="10"/>
  <c r="I817" i="10"/>
  <c r="I213" i="13"/>
  <c r="J817" i="18"/>
  <c r="J5061" i="17"/>
  <c r="J142" i="18"/>
  <c r="J5294" i="17"/>
  <c r="J444" i="17"/>
  <c r="J746" i="17"/>
  <c r="J2262" i="17"/>
  <c r="J1354" i="18"/>
  <c r="J1658" i="17"/>
  <c r="J4382" i="17"/>
  <c r="J1354" i="17"/>
  <c r="I746" i="10"/>
  <c r="J3778" i="17"/>
  <c r="J3172" i="17"/>
  <c r="J142" i="17"/>
  <c r="J4080" i="17"/>
  <c r="J2868" i="17"/>
  <c r="J2564" i="17"/>
  <c r="J1050" i="18"/>
  <c r="I444" i="10"/>
  <c r="J444" i="18"/>
  <c r="J1050" i="17"/>
  <c r="I142" i="10"/>
  <c r="J4990" i="17"/>
  <c r="J4686" i="17"/>
  <c r="J1960" i="17"/>
  <c r="J1658" i="18"/>
  <c r="J746" i="18"/>
  <c r="J3476" i="17"/>
  <c r="I142" i="13"/>
  <c r="J706" i="17"/>
  <c r="J1618" i="17"/>
  <c r="J4342" i="17"/>
  <c r="J102" i="18"/>
  <c r="J4950" i="17"/>
  <c r="J5254" i="17"/>
  <c r="J3132" i="17"/>
  <c r="I102" i="10"/>
  <c r="J1314" i="17"/>
  <c r="I706" i="10"/>
  <c r="J2524" i="17"/>
  <c r="J1010" i="17"/>
  <c r="J2222" i="17"/>
  <c r="J1010" i="18"/>
  <c r="J404" i="17"/>
  <c r="J4040" i="17"/>
  <c r="J1314" i="18"/>
  <c r="J3738" i="17"/>
  <c r="J102" i="17"/>
  <c r="J404" i="18"/>
  <c r="J706" i="18"/>
  <c r="J3436" i="17"/>
  <c r="I102" i="13"/>
  <c r="I404" i="10"/>
  <c r="J1920" i="17"/>
  <c r="J2828" i="17"/>
  <c r="J1618" i="18"/>
  <c r="J4646" i="17"/>
  <c r="J1435" i="17"/>
  <c r="J1131" i="18"/>
  <c r="J827" i="18"/>
  <c r="J5071" i="17"/>
  <c r="J4463" i="17"/>
  <c r="J827" i="17"/>
  <c r="I827" i="10"/>
  <c r="I525" i="10"/>
  <c r="J1131" i="17"/>
  <c r="J5375" i="17"/>
  <c r="J1739" i="18"/>
  <c r="J1435" i="18"/>
  <c r="J4767" i="17"/>
  <c r="J1739" i="17"/>
  <c r="I223" i="13"/>
  <c r="I223" i="10"/>
  <c r="I816" i="10"/>
  <c r="J1120" i="17"/>
  <c r="I212" i="10"/>
  <c r="J4452" i="17"/>
  <c r="I212" i="13"/>
  <c r="J1120" i="18"/>
  <c r="J4756" i="17"/>
  <c r="J1728" i="17"/>
  <c r="J816" i="18"/>
  <c r="J1424" i="18"/>
  <c r="J1424" i="17"/>
  <c r="J1728" i="18"/>
  <c r="J816" i="17"/>
  <c r="J5364" i="17"/>
  <c r="J5060" i="17"/>
  <c r="I514" i="10"/>
  <c r="J1129" i="18"/>
  <c r="J1433" i="17"/>
  <c r="I825" i="10"/>
  <c r="J1737" i="17"/>
  <c r="J4765" i="17"/>
  <c r="I221" i="10"/>
  <c r="I221" i="13"/>
  <c r="J1433" i="18"/>
  <c r="I523" i="10"/>
  <c r="J1129" i="17"/>
  <c r="J5373" i="17"/>
  <c r="J1737" i="18"/>
  <c r="J4461" i="17"/>
  <c r="J5069" i="17"/>
  <c r="J825" i="18"/>
  <c r="J825" i="17"/>
  <c r="J1334" i="17"/>
  <c r="J4060" i="17"/>
  <c r="J1030" i="17"/>
  <c r="J122" i="18"/>
  <c r="J5274" i="17"/>
  <c r="J122" i="17"/>
  <c r="J2544" i="17"/>
  <c r="I726" i="10"/>
  <c r="J726" i="18"/>
  <c r="J2848" i="17"/>
  <c r="J3456" i="17"/>
  <c r="J4666" i="17"/>
  <c r="J4362" i="17"/>
  <c r="J1638" i="18"/>
  <c r="J1334" i="18"/>
  <c r="I424" i="10"/>
  <c r="J3758" i="17"/>
  <c r="J726" i="17"/>
  <c r="J424" i="18"/>
  <c r="J4970" i="17"/>
  <c r="I122" i="10"/>
  <c r="J1940" i="17"/>
  <c r="J2242" i="17"/>
  <c r="J424" i="17"/>
  <c r="I122" i="13"/>
  <c r="J1638" i="17"/>
  <c r="J1030" i="18"/>
  <c r="J3152" i="17"/>
  <c r="J5367" i="17"/>
  <c r="J1731" i="18"/>
  <c r="J1123" i="17"/>
  <c r="I215" i="10"/>
  <c r="I819" i="10"/>
  <c r="J1731" i="17"/>
  <c r="J4759" i="17"/>
  <c r="J4455" i="17"/>
  <c r="J1123" i="18"/>
  <c r="J1427" i="18"/>
  <c r="J819" i="18"/>
  <c r="I215" i="13"/>
  <c r="J1427" i="17"/>
  <c r="J5063" i="17"/>
  <c r="J819" i="17"/>
  <c r="I517" i="10"/>
  <c r="J434" i="18"/>
  <c r="J3466" i="17"/>
  <c r="J1344" i="18"/>
  <c r="J132" i="18"/>
  <c r="I736" i="10"/>
  <c r="J4676" i="17"/>
  <c r="J434" i="17"/>
  <c r="J4070" i="17"/>
  <c r="J3768" i="17"/>
  <c r="I434" i="10"/>
  <c r="J1344" i="17"/>
  <c r="J736" i="17"/>
  <c r="J4980" i="17"/>
  <c r="J4372" i="17"/>
  <c r="J1040" i="18"/>
  <c r="J5284" i="17"/>
  <c r="J2858" i="17"/>
  <c r="J736" i="18"/>
  <c r="J3162" i="17"/>
  <c r="J132" i="17"/>
  <c r="J1648" i="17"/>
  <c r="J2554" i="17"/>
  <c r="J2252" i="17"/>
  <c r="I132" i="13"/>
  <c r="I132" i="10"/>
  <c r="J1040" i="17"/>
  <c r="J1648" i="18"/>
  <c r="J1950" i="17"/>
  <c r="J5368" i="17"/>
  <c r="J1124" i="18"/>
  <c r="I518" i="10"/>
  <c r="I216" i="10"/>
  <c r="J1428" i="17"/>
  <c r="I820" i="10"/>
  <c r="J4760" i="17"/>
  <c r="J1732" i="17"/>
  <c r="I216" i="13"/>
  <c r="J5064" i="17"/>
  <c r="J1732" i="18"/>
  <c r="J820" i="18"/>
  <c r="J1124" i="17"/>
  <c r="J1428" i="18"/>
  <c r="J820" i="17"/>
  <c r="J4456" i="17"/>
  <c r="J824" i="18"/>
  <c r="J824" i="17"/>
  <c r="I824" i="10"/>
  <c r="J1432" i="17"/>
  <c r="J5372" i="17"/>
  <c r="I220" i="10"/>
  <c r="J1128" i="17"/>
  <c r="J1432" i="18"/>
  <c r="J5068" i="17"/>
  <c r="J4460" i="17"/>
  <c r="J4764" i="17"/>
  <c r="I220" i="13"/>
  <c r="J1736" i="18"/>
  <c r="I522" i="10"/>
  <c r="J1128" i="18"/>
  <c r="J1736" i="17"/>
  <c r="J1426" i="18"/>
  <c r="J1730" i="18"/>
  <c r="J1730" i="17"/>
  <c r="J1122" i="17"/>
  <c r="J1426" i="17"/>
  <c r="J818" i="17"/>
  <c r="I516" i="10"/>
  <c r="I214" i="13"/>
  <c r="I818" i="10"/>
  <c r="J1122" i="18"/>
  <c r="I214" i="10"/>
  <c r="J5366" i="17"/>
  <c r="J5062" i="17"/>
  <c r="J4454" i="17"/>
  <c r="J4758" i="17"/>
  <c r="J818" i="18"/>
  <c r="J4763" i="17"/>
  <c r="I823" i="10"/>
  <c r="J5067" i="17"/>
  <c r="I521" i="10"/>
  <c r="J1431" i="18"/>
  <c r="J4459" i="17"/>
  <c r="J823" i="17"/>
  <c r="J1735" i="17"/>
  <c r="J823" i="18"/>
  <c r="J1127" i="17"/>
  <c r="I219" i="10"/>
  <c r="J1127" i="18"/>
  <c r="I219" i="13"/>
  <c r="J1431" i="17"/>
  <c r="J5371" i="17"/>
  <c r="J1735" i="18"/>
  <c r="J4636" i="17"/>
  <c r="J4940" i="17"/>
  <c r="J1608" i="18"/>
  <c r="J2212" i="17"/>
  <c r="J4030" i="17"/>
  <c r="J696" i="18"/>
  <c r="J1304" i="18"/>
  <c r="J92" i="17"/>
  <c r="J1000" i="18"/>
  <c r="J696" i="17"/>
  <c r="J394" i="18"/>
  <c r="J394" i="17"/>
  <c r="J4332" i="17"/>
  <c r="J1910" i="17"/>
  <c r="J5244" i="17"/>
  <c r="J1000" i="17"/>
  <c r="J1608" i="17"/>
  <c r="I92" i="13"/>
  <c r="I394" i="10"/>
  <c r="J3728" i="17"/>
  <c r="I696" i="10"/>
  <c r="J3122" i="17"/>
  <c r="J3426" i="17"/>
  <c r="J2514" i="17"/>
  <c r="J1304" i="17"/>
  <c r="J92" i="18"/>
  <c r="I92" i="10"/>
  <c r="J2818" i="17"/>
  <c r="I218" i="13"/>
  <c r="J1126" i="18"/>
  <c r="J5370" i="17"/>
  <c r="J1734" i="17"/>
  <c r="J5066" i="17"/>
  <c r="J822" i="18"/>
  <c r="J1430" i="18"/>
  <c r="J1734" i="18"/>
  <c r="I218" i="10"/>
  <c r="J1430" i="17"/>
  <c r="J822" i="17"/>
  <c r="J1126" i="17"/>
  <c r="J4458" i="17"/>
  <c r="I822" i="10"/>
  <c r="J4762" i="17"/>
  <c r="I520" i="10"/>
  <c r="J4766" i="17"/>
  <c r="J1434" i="17"/>
  <c r="I222" i="13"/>
  <c r="J826" i="18"/>
  <c r="J1738" i="18"/>
  <c r="J5374" i="17"/>
  <c r="J5070" i="17"/>
  <c r="J1434" i="18"/>
  <c r="J826" i="17"/>
  <c r="I826" i="10"/>
  <c r="I524" i="10"/>
  <c r="J1130" i="17"/>
  <c r="J1130" i="18"/>
  <c r="I222" i="10"/>
  <c r="J4462" i="17"/>
  <c r="J1738" i="17"/>
  <c r="J2938" i="17" l="1" a="1"/>
  <c r="J2938" i="17" s="1"/>
  <c r="J3242" i="17" a="1"/>
  <c r="J3242" i="17" s="1"/>
  <c r="J2634" i="17" a="1"/>
  <c r="J2634" i="17" s="1"/>
  <c r="J3546" i="17" a="1"/>
  <c r="J3546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tc={06005A11-09F6-4779-8641-56C8C74162B7}</author>
    <author>tc={4E4F5299-B500-4C3F-AFCB-C5BD32BD28F4}</author>
  </authors>
  <commentList>
    <comment ref="B6" authorId="0" shapeId="0" xr:uid="{06005A11-09F6-4779-8641-56C8C74162B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https://www.estep.eu/assets/Uploads/Decarbonisation-Pathways-1.pdf</t>
      </text>
    </comment>
    <comment ref="B15" authorId="1" shapeId="0" xr:uid="{4E4F5299-B500-4C3F-AFCB-C5BD32BD28F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https://joint-research-centre.ec.europa.eu/jrc-news-and-updates/eu-climate-targets-how-decarbonise-steel-industry-2022-06-15_en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tc={C56F9280-A2D0-4D97-BE2C-D2575E257DDD}</author>
    <author>tc={60664898-BAA7-441B-8721-D1CC454D9EE5}</author>
    <author>tc={DE3ACA8A-CBFF-4707-B22C-BA63E901280D}</author>
    <author>tc={61E6B9D8-70BE-4B21-9099-08B57CF32A37}</author>
    <author>tc={95E49380-A44E-4622-8C48-8D661AA57A03}</author>
    <author>tc={DAAD0BE0-BD16-491C-86A0-EA785812C813}</author>
    <author>tc={84462083-AB07-4FC8-B6F7-C2DE5E7031BC}</author>
    <author>tc={128D2232-42DD-4D72-94D3-E6896C3E133F}</author>
    <author>tc={8AB58F60-7FFA-4682-A5B4-218586D33ACD}</author>
    <author>tc={D95A9B27-30C4-4659-A6C4-07854C652539}</author>
    <author>tc={04FCABB5-2EFE-48C6-9F5A-A03080783870}</author>
    <author>tc={FF8A473A-E281-44B7-9A0D-EACA62E50CB7}</author>
    <author>tc={9792F718-79FB-4B6F-A40B-09C2C5504154}</author>
  </authors>
  <commentList>
    <comment ref="D5" authorId="0" shapeId="0" xr:uid="{C56F9280-A2D0-4D97-BE2C-D2575E257DDD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https://cembureau.eu/media/lfqjyve5/key-facts-figures-2021.pdf </t>
      </text>
    </comment>
    <comment ref="K5" authorId="1" shapeId="0" xr:uid="{60664898-BAA7-441B-8721-D1CC454D9EE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CIS (not disaggregated)</t>
      </text>
    </comment>
    <comment ref="D6" authorId="2" shapeId="0" xr:uid="{DE3ACA8A-CBFF-4707-B22C-BA63E901280D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Iron and Steel Technology Roadmap – Analysis - IEA </t>
      </text>
    </comment>
    <comment ref="D9" authorId="3" shapeId="0" xr:uid="{61E6B9D8-70BE-4B21-9099-08B57CF32A37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Coal production (ourworldindata.org) </t>
      </text>
    </comment>
    <comment ref="D10" authorId="4" shapeId="0" xr:uid="{95E49380-A44E-4622-8C48-8D661AA57A03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https://worldsteel.org/wp-content/uploads/World-Steel-in-Figures-2023-4.pdf </t>
      </text>
    </comment>
    <comment ref="K10" authorId="5" shapeId="0" xr:uid="{DAAD0BE0-BD16-491C-86A0-EA785812C813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+ Ukraine and others CIS (not disaggregated) </t>
      </text>
    </comment>
    <comment ref="D11" authorId="6" shapeId="0" xr:uid="{84462083-AB07-4FC8-B6F7-C2DE5E7031BC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https://worldsteel.org/wp-content/uploads/World-Steel-in-Figures-2023-4.pdf </t>
      </text>
    </comment>
    <comment ref="D12" authorId="7" shapeId="0" xr:uid="{128D2232-42DD-4D72-94D3-E6896C3E133F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https://wits.worldbank.org/trade/comtrade/en/country/All/year/2022/tradeflow/Imports/partner/CAN/product/252100   </t>
      </text>
    </comment>
    <comment ref="D13" authorId="8" shapeId="0" xr:uid="{8AB58F60-7FFA-4682-A5B4-218586D33ACD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Oil production (ourworldindata.org) </t>
      </text>
    </comment>
    <comment ref="D16" authorId="9" shapeId="0" xr:uid="{D95A9B27-30C4-4659-A6C4-07854C652539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Electricity production by source, European Union (27) (ourworldindata.org) </t>
      </text>
    </comment>
    <comment ref="D17" authorId="10" shapeId="0" xr:uid="{04FCABB5-2EFE-48C6-9F5A-A03080783870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Renewables 2022 – Analysis - IEA </t>
      </text>
    </comment>
    <comment ref="E31" authorId="11" shapeId="0" xr:uid="{FF8A473A-E281-44B7-9A0D-EACA62E50CB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https://ec.europa.eu/commission/presscorner/detail/en/ip_22_1511</t>
      </text>
    </comment>
    <comment ref="K39" authorId="12" shapeId="0" xr:uid="{9792F718-79FB-4B6F-A40B-09C2C5504154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In 2019 Russia represented 4% of the world steel production. In IEA data this country is integrated in "Rest of the World". In order to disaggregate it, a constant production of 4% has been considered for 2030 and 2050.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tc={BF15A418-CA38-4ECA-94B8-0B282C29AA87}</author>
    <author>tc={02DA9E0D-4F00-4529-8955-1CCFC882E605}</author>
    <author>tc={824B7C89-0799-43D7-9A43-7DE244AF0D5F}</author>
    <author>tc={2B356BE0-1107-4596-80EA-63E3D555E748}</author>
    <author>tc={73C4D4C0-DBA1-4A24-8A09-865882D1F14A}</author>
    <author>tc={B1969C01-9B28-408B-999E-0AEBE575A0FE}</author>
    <author>tc={D05F6A61-39B2-4577-B760-9AE22E6A2EE7}</author>
    <author>tc={1E230F98-D752-46A7-8CA1-F874153A4AED}</author>
    <author>tc={B3BBD5BF-A01E-4874-95B6-7E4A9BC01DFC}</author>
    <author>tc={4474B5EA-37B2-4DEF-85B9-A1D77CE0B625}</author>
  </authors>
  <commentList>
    <comment ref="D5" authorId="0" shapeId="0" xr:uid="{BF15A418-CA38-4ECA-94B8-0B282C29AA87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https://worldsteel.org/wp-content/uploads/World-Steel-in-Figures-2023-4.pdf   </t>
      </text>
    </comment>
    <comment ref="K5" authorId="1" shapeId="0" xr:uid="{02DA9E0D-4F00-4529-8955-1CCFC882E605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+ Ukraine and others CIS (not disaggregated) </t>
      </text>
    </comment>
    <comment ref="D6" authorId="2" shapeId="0" xr:uid="{824B7C89-0799-43D7-9A43-7DE244AF0D5F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https://worldsteel.org/wp-content/uploads/World-Steel-in-Figures-2023-4.pdf   </t>
      </text>
    </comment>
    <comment ref="D7" authorId="3" shapeId="0" xr:uid="{2B356BE0-1107-4596-80EA-63E3D555E74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https://oec.world/en/profile/hs/carbon-and-graphite-furnace-electrodes#trade</t>
      </text>
    </comment>
    <comment ref="D8" authorId="4" shapeId="0" xr:uid="{73C4D4C0-DBA1-4A24-8A09-865882D1F14A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https://wits.worldbank.org/trade/comtrade/en/country/All/year/2022/tradeflow/Imports/partner/CAN/product/252100   </t>
      </text>
    </comment>
    <comment ref="D9" authorId="5" shapeId="0" xr:uid="{B1969C01-9B28-408B-999E-0AEBE575A0FE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Coal production (ourworldindata.org) </t>
      </text>
    </comment>
    <comment ref="D10" authorId="6" shapeId="0" xr:uid="{D05F6A61-39B2-4577-B760-9AE22E6A2EE7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Refractory Cements (HS: Refractory) Product Trade, Exporters and Importers | The Observatory of Economic Complexity (oec.world) </t>
      </text>
    </comment>
    <comment ref="D12" authorId="7" shapeId="0" xr:uid="{1E230F98-D752-46A7-8CA1-F874153A4AE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https://wits.worldbank.org/trade/comtrade/en/country/ALL/year/2022/tradeflow/Imports/partner/WLD/product/280440</t>
      </text>
    </comment>
    <comment ref="D14" authorId="8" shapeId="0" xr:uid="{B3BBD5BF-A01E-4874-95B6-7E4A9BC01DFC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Electricity production by source, European Union (27) (ourworldindata.org) </t>
      </text>
    </comment>
    <comment ref="D15" authorId="9" shapeId="0" xr:uid="{4474B5EA-37B2-4DEF-85B9-A1D77CE0B625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Renewables 2022 – Analysis - IEA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<sst xmlns="http://schemas.openxmlformats.org/spreadsheetml/2006/main" count="79528" uniqueCount="373">
  <si>
    <t>Primary steel over tot</t>
  </si>
  <si>
    <t xml:space="preserve">   2015 data assumed as constant by Green Steel</t>
  </si>
  <si>
    <t>Secondary steel over tot</t>
  </si>
  <si>
    <t>Green Steel 2030 pathway</t>
  </si>
  <si>
    <t>Primary steel production</t>
  </si>
  <si>
    <t>Secondary steel production</t>
  </si>
  <si>
    <t>Technologies</t>
  </si>
  <si>
    <t>NG DRI-EAF</t>
  </si>
  <si>
    <t>H2 DRI-EAF</t>
  </si>
  <si>
    <t>BF-BOF with charcoal</t>
  </si>
  <si>
    <t>BF-BOF with charcoal and CCUS</t>
  </si>
  <si>
    <t>BF-BOF with CCUS</t>
  </si>
  <si>
    <t>BF-BOF with H2 injection</t>
  </si>
  <si>
    <t>Mixed implementation</t>
  </si>
  <si>
    <t>Delayed implementation</t>
  </si>
  <si>
    <t>Increased H2 availability</t>
  </si>
  <si>
    <t xml:space="preserve">With REPowerEU measures: </t>
  </si>
  <si>
    <t>REPowerEU 2030 pathway</t>
  </si>
  <si>
    <t>REPowerEU</t>
  </si>
  <si>
    <r>
      <rPr>
        <i/>
        <u/>
        <sz val="10"/>
        <color theme="1"/>
        <rFont val="Calibri"/>
        <family val="2"/>
        <scheme val="minor"/>
      </rPr>
      <t>Assumption</t>
    </r>
    <r>
      <rPr>
        <i/>
        <sz val="10"/>
        <color theme="1"/>
        <rFont val="Calibri"/>
        <family val="2"/>
        <scheme val="minor"/>
      </rPr>
      <t xml:space="preserve">: the EU target for 2030 is to achieve 30% of steel decarbonized through 100% H2 DRI-EAF. The shares of all other technologies are kept constant, except for the one with the highest CO2 footprint, hence BF-BOF with H2 injection. </t>
    </r>
  </si>
  <si>
    <t xml:space="preserve">                        This scenario is derived from the scenario "Increased H2 availability" by Green Steel.</t>
  </si>
  <si>
    <t>Footprint variation with respect to "baseline"</t>
  </si>
  <si>
    <t>Scenario</t>
  </si>
  <si>
    <t>[ton_CO2/ton_st]</t>
  </si>
  <si>
    <t>∆%</t>
  </si>
  <si>
    <t>baseline</t>
  </si>
  <si>
    <t>CO2 emissions variation with respect to "baseline"</t>
  </si>
  <si>
    <t>[ton_CO2]</t>
  </si>
  <si>
    <t>∆ [Mton_CO2]</t>
  </si>
  <si>
    <t xml:space="preserve">Footprint and variation with respect to "no sensitivity" </t>
  </si>
  <si>
    <t>no sensitivity</t>
  </si>
  <si>
    <t>char inj min</t>
  </si>
  <si>
    <r>
      <t>∆</t>
    </r>
    <r>
      <rPr>
        <sz val="7.7"/>
        <color theme="1"/>
        <rFont val="Calibri"/>
        <family val="2"/>
      </rPr>
      <t>%</t>
    </r>
  </si>
  <si>
    <t>char inj max</t>
  </si>
  <si>
    <r>
      <rPr>
        <sz val="11"/>
        <color theme="1"/>
        <rFont val="Calibri"/>
        <family val="2"/>
      </rPr>
      <t>∆</t>
    </r>
    <r>
      <rPr>
        <sz val="7.7"/>
        <color theme="1"/>
        <rFont val="Calibri"/>
        <family val="2"/>
      </rPr>
      <t>%</t>
    </r>
  </si>
  <si>
    <t>H2 inj min</t>
  </si>
  <si>
    <r>
      <t>∆</t>
    </r>
    <r>
      <rPr>
        <b/>
        <sz val="7.7"/>
        <color rgb="FFC00000"/>
        <rFont val="Calibri"/>
        <family val="2"/>
      </rPr>
      <t>%</t>
    </r>
  </si>
  <si>
    <t>100% SR H2 inj</t>
  </si>
  <si>
    <t>100% ELE H2 inj</t>
  </si>
  <si>
    <t>less RES</t>
  </si>
  <si>
    <r>
      <t>∆</t>
    </r>
    <r>
      <rPr>
        <b/>
        <sz val="7.7"/>
        <color theme="9"/>
        <rFont val="Calibri"/>
        <family val="2"/>
      </rPr>
      <t>%</t>
    </r>
  </si>
  <si>
    <t>CCUS min</t>
  </si>
  <si>
    <t>CCUS max</t>
  </si>
  <si>
    <t>min ∆%</t>
  </si>
  <si>
    <t>max ∆%</t>
  </si>
  <si>
    <t>Price variation with respect to "baseline"</t>
  </si>
  <si>
    <t>Cost per unit of avoided CO2</t>
  </si>
  <si>
    <t>[€/ton_st]</t>
  </si>
  <si>
    <t>∆ [€/ton_st]</t>
  </si>
  <si>
    <t>∆ [€/ton_CO2]</t>
  </si>
  <si>
    <t>baseline*</t>
  </si>
  <si>
    <t xml:space="preserve">* reference price steel for 2022: 485 €/ton_st </t>
  </si>
  <si>
    <t xml:space="preserve">https://tradingeconomics.com/commodity/steel </t>
  </si>
  <si>
    <t>Sensitivity analysis</t>
  </si>
  <si>
    <t>sensitivity</t>
  </si>
  <si>
    <t xml:space="preserve">CCUS </t>
  </si>
  <si>
    <t>char inj</t>
  </si>
  <si>
    <t>H2 inj</t>
  </si>
  <si>
    <t>100% SR H2 inj/100% ELE H2 inj</t>
  </si>
  <si>
    <t xml:space="preserve">lower value </t>
  </si>
  <si>
    <t>base value</t>
  </si>
  <si>
    <t xml:space="preserve">upper value </t>
  </si>
  <si>
    <t>-</t>
  </si>
  <si>
    <t>matrix</t>
  </si>
  <si>
    <t>row sector</t>
  </si>
  <si>
    <t>column region</t>
  </si>
  <si>
    <t>column level</t>
  </si>
  <si>
    <t>column sector</t>
  </si>
  <si>
    <t>type</t>
  </si>
  <si>
    <t>value</t>
  </si>
  <si>
    <r>
      <t>CCUS/</t>
    </r>
    <r>
      <rPr>
        <b/>
        <sz val="11"/>
        <color theme="1"/>
        <rFont val="Calibri"/>
        <family val="2"/>
      </rPr>
      <t>∆</t>
    </r>
    <r>
      <rPr>
        <b/>
        <sz val="7.5"/>
        <color theme="1"/>
        <rFont val="Calibri"/>
        <family val="2"/>
      </rPr>
      <t>CO2</t>
    </r>
  </si>
  <si>
    <t>e</t>
  </si>
  <si>
    <t>CO2</t>
  </si>
  <si>
    <t>EU27</t>
  </si>
  <si>
    <t>Activity</t>
  </si>
  <si>
    <t>Steel production with charcoal inj in BF + CCUS</t>
  </si>
  <si>
    <t>Percentage</t>
  </si>
  <si>
    <t>Steel production with BF-BOF + CCUS</t>
  </si>
  <si>
    <t>row region</t>
  </si>
  <si>
    <t>row level</t>
  </si>
  <si>
    <t>z</t>
  </si>
  <si>
    <t>Commodity</t>
  </si>
  <si>
    <t>Coke Oven Coke</t>
  </si>
  <si>
    <t>Steel production with charcoal inj in BF</t>
  </si>
  <si>
    <t>Update</t>
  </si>
  <si>
    <t>tot inj max</t>
  </si>
  <si>
    <t>Charcoal</t>
  </si>
  <si>
    <t>charcoal</t>
  </si>
  <si>
    <t>China</t>
  </si>
  <si>
    <t>coke</t>
  </si>
  <si>
    <t>USA</t>
  </si>
  <si>
    <t>India</t>
  </si>
  <si>
    <t>Russia</t>
  </si>
  <si>
    <t>RoW</t>
  </si>
  <si>
    <t>tot inj min</t>
  </si>
  <si>
    <t>H2 inj max</t>
  </si>
  <si>
    <t>Steam reforming hydrogen</t>
  </si>
  <si>
    <t>Steel production with H2 injection in BF</t>
  </si>
  <si>
    <t>coke max</t>
  </si>
  <si>
    <t>Electrolysis hydrogen</t>
  </si>
  <si>
    <t>coke min</t>
  </si>
  <si>
    <t>Electricity from fossil fuels</t>
  </si>
  <si>
    <t>Manufacturing of steam reformer</t>
  </si>
  <si>
    <t>el mix 2022</t>
  </si>
  <si>
    <t>Electricity from nuclear</t>
  </si>
  <si>
    <t>fossil fuels</t>
  </si>
  <si>
    <t>Electricity from renewables</t>
  </si>
  <si>
    <t>nuclear</t>
  </si>
  <si>
    <t>Manufacturing of electrolyser</t>
  </si>
  <si>
    <t>res</t>
  </si>
  <si>
    <t>Steel production through NG-DR route</t>
  </si>
  <si>
    <t>Steel production through 100%H2-DR route</t>
  </si>
  <si>
    <t>Hydrogen production with steam reforming</t>
  </si>
  <si>
    <t>Hydrogen production with electrolysis</t>
  </si>
  <si>
    <t>scenario</t>
  </si>
  <si>
    <t>Basic iron and steel and of ferro-alloys and first products thereof</t>
  </si>
  <si>
    <t>Aluminium and aluminium products</t>
  </si>
  <si>
    <t>Cement; lime and plaster</t>
  </si>
  <si>
    <t>Coking Coal</t>
  </si>
  <si>
    <t>Iron ores</t>
  </si>
  <si>
    <t>Crude petroleum and services related to crude oil extraction; excluding surveying</t>
  </si>
  <si>
    <t>Secondary steel for treatment; Re-processing of secondary steel into new steel</t>
  </si>
  <si>
    <t>Natural gas and services related to natural gas extraction; excluding surveying</t>
  </si>
  <si>
    <t>Steel production through NG-DR</t>
  </si>
  <si>
    <t>Electrical machinery and apparatus n.e.c. (31)</t>
  </si>
  <si>
    <t>Ceramic goods</t>
  </si>
  <si>
    <t>Chemicals nec</t>
  </si>
  <si>
    <t>Steel production through 100%H2-DR</t>
  </si>
  <si>
    <t>Steel production with charcoal inj to BF</t>
  </si>
  <si>
    <t>Steel production with charcoal inj to BF + CCUS</t>
  </si>
  <si>
    <t>Steel production with H2 inj to BF</t>
  </si>
  <si>
    <t>Steam and hot water supply services</t>
  </si>
  <si>
    <t>Re-processing of secondary steel into new steel</t>
  </si>
  <si>
    <t>Manufacture of basic iron and steel and of ferro-alloys and first products thereof</t>
  </si>
  <si>
    <r>
      <t>Time span: 1 year_</t>
    </r>
    <r>
      <rPr>
        <b/>
        <i/>
        <sz val="11"/>
        <color theme="1"/>
        <rFont val="Calibri"/>
        <family val="2"/>
        <scheme val="minor"/>
      </rPr>
      <t xml:space="preserve">Mixed implementation </t>
    </r>
  </si>
  <si>
    <t>c/a code</t>
  </si>
  <si>
    <t>region</t>
  </si>
  <si>
    <t>commodity/activity</t>
  </si>
  <si>
    <t>unit</t>
  </si>
  <si>
    <t>steam reformer</t>
  </si>
  <si>
    <t>no.</t>
  </si>
  <si>
    <t>SR</t>
  </si>
  <si>
    <t>electrolyser</t>
  </si>
  <si>
    <t>ELE</t>
  </si>
  <si>
    <t>basic iron and steel and of ferro-alloys</t>
  </si>
  <si>
    <t>ton</t>
  </si>
  <si>
    <t>ST</t>
  </si>
  <si>
    <t>steam reforming hydrogen</t>
  </si>
  <si>
    <t>kgH2</t>
  </si>
  <si>
    <t>SR_H2</t>
  </si>
  <si>
    <t>electrolysis hydrogen</t>
  </si>
  <si>
    <t>ELE_H2</t>
  </si>
  <si>
    <t>manufacturing of steam reformer</t>
  </si>
  <si>
    <t>M_SR</t>
  </si>
  <si>
    <t>manufacturing of electrolyser</t>
  </si>
  <si>
    <t>M_ELE</t>
  </si>
  <si>
    <t>steel production through NG-DR route</t>
  </si>
  <si>
    <t>NG_ST</t>
  </si>
  <si>
    <t>steel production through 100%H2-DR route</t>
  </si>
  <si>
    <t>H2_ST</t>
  </si>
  <si>
    <t>steel production with charcoal inj in BF</t>
  </si>
  <si>
    <t>CH_ST</t>
  </si>
  <si>
    <t>steel production with charcoal inj in BF + CCUS</t>
  </si>
  <si>
    <t>CH_CC_ST</t>
  </si>
  <si>
    <t>steel production with BF-BOF + CCUS</t>
  </si>
  <si>
    <t>CC_ST</t>
  </si>
  <si>
    <t>steel production with H2 injection in BF</t>
  </si>
  <si>
    <t>H2BF_ST</t>
  </si>
  <si>
    <t>hydrogen production with steam reforming</t>
  </si>
  <si>
    <t>SR_H2_P</t>
  </si>
  <si>
    <t>hydrogen production with electrolysis</t>
  </si>
  <si>
    <t>ELE_H2_P</t>
  </si>
  <si>
    <t>aluminium and aluminium products</t>
  </si>
  <si>
    <t>AL</t>
  </si>
  <si>
    <t>coking coal</t>
  </si>
  <si>
    <t>C</t>
  </si>
  <si>
    <t>iron ores</t>
  </si>
  <si>
    <t>I</t>
  </si>
  <si>
    <t>crude petroleum and services related</t>
  </si>
  <si>
    <t>CP</t>
  </si>
  <si>
    <t>steam and hot water supply services</t>
  </si>
  <si>
    <t>TJ</t>
  </si>
  <si>
    <t>W</t>
  </si>
  <si>
    <t xml:space="preserve">secondary steel for treatment </t>
  </si>
  <si>
    <t>S_ST</t>
  </si>
  <si>
    <t>electrical machinery and apparatus n.e.c.</t>
  </si>
  <si>
    <t>EM</t>
  </si>
  <si>
    <t>cement, lime and plaster</t>
  </si>
  <si>
    <t>CLP</t>
  </si>
  <si>
    <t>coke oven coke</t>
  </si>
  <si>
    <t>COC</t>
  </si>
  <si>
    <t>ceramic goods</t>
  </si>
  <si>
    <t>CG</t>
  </si>
  <si>
    <t>natural gas and services related</t>
  </si>
  <si>
    <t>NG</t>
  </si>
  <si>
    <t>chemicals nec</t>
  </si>
  <si>
    <t>CH</t>
  </si>
  <si>
    <t>electricity from fossil fuels</t>
  </si>
  <si>
    <t>El-FF</t>
  </si>
  <si>
    <t>electricity from nuclear</t>
  </si>
  <si>
    <t>El-NU</t>
  </si>
  <si>
    <t>electricity from renewables</t>
  </si>
  <si>
    <t>El-RES</t>
  </si>
  <si>
    <t>CH4</t>
  </si>
  <si>
    <t>N2O</t>
  </si>
  <si>
    <t>2030 scenarios</t>
  </si>
  <si>
    <t>Region</t>
  </si>
  <si>
    <t>item</t>
  </si>
  <si>
    <t>source</t>
  </si>
  <si>
    <t>tot</t>
  </si>
  <si>
    <t>concrete</t>
  </si>
  <si>
    <t>CEMBUREAU 2021 (assumed constant)</t>
  </si>
  <si>
    <t>production (cement)</t>
  </si>
  <si>
    <t>%</t>
  </si>
  <si>
    <t>◌</t>
  </si>
  <si>
    <t>steel</t>
  </si>
  <si>
    <t>Iron and Steel Roadmap IEA STEPS</t>
  </si>
  <si>
    <t>production (crude steel)</t>
  </si>
  <si>
    <t>⌂</t>
  </si>
  <si>
    <t>aluminium</t>
  </si>
  <si>
    <t>assumption based on GDP increase in 2030</t>
  </si>
  <si>
    <t>production (primary aluminium)</t>
  </si>
  <si>
    <t>iron</t>
  </si>
  <si>
    <t>assumption (equal to steel)</t>
  </si>
  <si>
    <t>*</t>
  </si>
  <si>
    <t xml:space="preserve">coal (in ground) </t>
  </si>
  <si>
    <t>Our World In Data 2022 (assumed constant)</t>
  </si>
  <si>
    <t>production (coal)</t>
  </si>
  <si>
    <t xml:space="preserve">iron (Fe, ore) </t>
  </si>
  <si>
    <t>World Steel Association 2021 (assumed constant)</t>
  </si>
  <si>
    <t>production (iron ore)</t>
  </si>
  <si>
    <t>∆</t>
  </si>
  <si>
    <t xml:space="preserve">iron scrap </t>
  </si>
  <si>
    <t>World Steel Association 2022 (assumed constant)</t>
  </si>
  <si>
    <t>assumption based on net exports</t>
  </si>
  <si>
    <t xml:space="preserve">limestone (in ground) </t>
  </si>
  <si>
    <t>World Integrated Trade Solution 2018 (assumed constant)</t>
  </si>
  <si>
    <t>imports (limestone flux)</t>
  </si>
  <si>
    <t>**</t>
  </si>
  <si>
    <t xml:space="preserve">oil (in ground) </t>
  </si>
  <si>
    <t>production (oil)</t>
  </si>
  <si>
    <t>water</t>
  </si>
  <si>
    <t>assumption</t>
  </si>
  <si>
    <t>◊</t>
  </si>
  <si>
    <t>production (electricity)</t>
  </si>
  <si>
    <t>assumption (same nuke capacity as in 2022)</t>
  </si>
  <si>
    <t>REPowerEU targets</t>
  </si>
  <si>
    <t>***</t>
  </si>
  <si>
    <t xml:space="preserve">natural gas (in ground) </t>
  </si>
  <si>
    <t>assumption based on European Commission reports</t>
  </si>
  <si>
    <t>production and imports (gas)</t>
  </si>
  <si>
    <t>Breakdown natural gas</t>
  </si>
  <si>
    <t>Quarterly Report on European Gas Markets</t>
  </si>
  <si>
    <t>prod</t>
  </si>
  <si>
    <t>imp</t>
  </si>
  <si>
    <t>bmc</t>
  </si>
  <si>
    <t>from</t>
  </si>
  <si>
    <t>imp Q1</t>
  </si>
  <si>
    <t>bcm</t>
  </si>
  <si>
    <t>imp Q2</t>
  </si>
  <si>
    <t>total imp</t>
  </si>
  <si>
    <t>EU target: zero natural gas imports from Russia</t>
  </si>
  <si>
    <t>↓</t>
  </si>
  <si>
    <t>Hp: European production remains constant. The imports from Russia are substituted by an increase of imports</t>
  </si>
  <si>
    <t xml:space="preserve"> from US (1/4 of Russian imports) and from RoW (3/4 of Russian imports)</t>
  </si>
  <si>
    <t>Breakdown steel</t>
  </si>
  <si>
    <t>STEPS 2030</t>
  </si>
  <si>
    <t>Gt</t>
  </si>
  <si>
    <t>SDS 2030</t>
  </si>
  <si>
    <t>Breakdown electricity</t>
  </si>
  <si>
    <t xml:space="preserve">total electricity by source </t>
  </si>
  <si>
    <r>
      <rPr>
        <sz val="11"/>
        <color theme="1"/>
        <rFont val="Calibri"/>
        <family val="2"/>
      </rPr>
      <t xml:space="preserve">  of which </t>
    </r>
    <r>
      <rPr>
        <sz val="11"/>
        <color theme="1"/>
        <rFont val="Calibri"/>
        <family val="2"/>
        <scheme val="minor"/>
      </rPr>
      <t>fossil fuels</t>
    </r>
  </si>
  <si>
    <t>Our World In Data 2022</t>
  </si>
  <si>
    <t>electricity prod by source</t>
  </si>
  <si>
    <t>TWh</t>
  </si>
  <si>
    <t xml:space="preserve">  of which nuclear</t>
  </si>
  <si>
    <t xml:space="preserve">  of which renewables</t>
  </si>
  <si>
    <t>total electricity by source</t>
  </si>
  <si>
    <t>Electricity production by source, European Union (27) (ourworldindata.org)</t>
  </si>
  <si>
    <t>EU total electricity demand</t>
  </si>
  <si>
    <t>World Energy Outlook 2023</t>
  </si>
  <si>
    <t>of which fossil fuels</t>
  </si>
  <si>
    <t>of which nuclear</t>
  </si>
  <si>
    <t>of which renewables</t>
  </si>
  <si>
    <t>Renewables 2022 IEA (p. 118)</t>
  </si>
  <si>
    <t>assumption (nuclear generation remains constant)</t>
  </si>
  <si>
    <t>Breakdown aluminium</t>
  </si>
  <si>
    <t>[ton]</t>
  </si>
  <si>
    <t>Azerbaijan</t>
  </si>
  <si>
    <t>Kazakhstan</t>
  </si>
  <si>
    <t>Tajikistan</t>
  </si>
  <si>
    <t>Total CIS</t>
  </si>
  <si>
    <t>Slovakia</t>
  </si>
  <si>
    <t>Slovenia</t>
  </si>
  <si>
    <t>Spain</t>
  </si>
  <si>
    <t>Sweden</t>
  </si>
  <si>
    <t>France</t>
  </si>
  <si>
    <t>Germany</t>
  </si>
  <si>
    <t>Greece</t>
  </si>
  <si>
    <t>Netherlands</t>
  </si>
  <si>
    <t>Romania</t>
  </si>
  <si>
    <t>Total EU27</t>
  </si>
  <si>
    <t>World</t>
  </si>
  <si>
    <t>GDP 2021 [M$]</t>
  </si>
  <si>
    <t>GDP 2021</t>
  </si>
  <si>
    <t>M$</t>
  </si>
  <si>
    <t>OECD data</t>
  </si>
  <si>
    <t>GDP 2030</t>
  </si>
  <si>
    <t>Italy</t>
  </si>
  <si>
    <t>Poland</t>
  </si>
  <si>
    <t>Al production 2021</t>
  </si>
  <si>
    <t>Hungary</t>
  </si>
  <si>
    <t>Croatia</t>
  </si>
  <si>
    <t>Al production estimation 2030</t>
  </si>
  <si>
    <t>Belgium</t>
  </si>
  <si>
    <t>Austria</t>
  </si>
  <si>
    <t>Czechia</t>
  </si>
  <si>
    <t>Al production adjustments 2030</t>
  </si>
  <si>
    <t>Denmark</t>
  </si>
  <si>
    <t>Bulgaria</t>
  </si>
  <si>
    <t>Ireland</t>
  </si>
  <si>
    <t>Aluminium demand is rising – here's how to make it ...</t>
  </si>
  <si>
    <t>Finland</t>
  </si>
  <si>
    <t>Lithuania</t>
  </si>
  <si>
    <t>Estonia</t>
  </si>
  <si>
    <t>Latvia</t>
  </si>
  <si>
    <t>Luxembourg</t>
  </si>
  <si>
    <t>Slovak Republic</t>
  </si>
  <si>
    <t>Portugal</t>
  </si>
  <si>
    <t>IMF data</t>
  </si>
  <si>
    <t>Cyprus</t>
  </si>
  <si>
    <t>Malta</t>
  </si>
  <si>
    <t>Our World in Data</t>
  </si>
  <si>
    <t>GDP 2030 [M$]</t>
  </si>
  <si>
    <t>GDP annual growth rate in Cyprus</t>
  </si>
  <si>
    <t>GDP growth (annual %) - Cyprus</t>
  </si>
  <si>
    <t>mean value</t>
  </si>
  <si>
    <t>GDP annual growth rate in Malta</t>
  </si>
  <si>
    <t>GDP growth (annual %) - Malta</t>
  </si>
  <si>
    <t>GDP annual growth rate in Russian Federation</t>
  </si>
  <si>
    <t>GDP growth (annual %) - Russian Federation</t>
  </si>
  <si>
    <t>GDP annual growth rate in the World</t>
  </si>
  <si>
    <t>GDP growth (annual %)</t>
  </si>
  <si>
    <t>source and year</t>
  </si>
  <si>
    <t>#</t>
  </si>
  <si>
    <t>electrode</t>
  </si>
  <si>
    <t>Observatory for Economic Complexity 2021 (assumed constant)</t>
  </si>
  <si>
    <t>imports (furnace electrodes)</t>
  </si>
  <si>
    <t>World Integrated Trade Solution 2022 (assumed constant)</t>
  </si>
  <si>
    <t>coke/charcoal</t>
  </si>
  <si>
    <t>refractory</t>
  </si>
  <si>
    <t>imports (refractory cements)</t>
  </si>
  <si>
    <t>oxygen</t>
  </si>
  <si>
    <t>Breakdown electrode</t>
  </si>
  <si>
    <t>Iceland</t>
  </si>
  <si>
    <t>Imports</t>
  </si>
  <si>
    <t>Tot EU27</t>
  </si>
  <si>
    <t>Breakdown refractory</t>
  </si>
  <si>
    <t>Time span: 1 year</t>
  </si>
  <si>
    <t>Final demand</t>
  </si>
  <si>
    <t>check</t>
  </si>
  <si>
    <t>S</t>
  </si>
  <si>
    <t>SS</t>
  </si>
  <si>
    <t>I&amp;S</t>
  </si>
  <si>
    <t xml:space="preserve">electricity from nuclear </t>
  </si>
  <si>
    <t>CO2 - combustion</t>
  </si>
  <si>
    <t>CO</t>
  </si>
  <si>
    <t>NOx</t>
  </si>
  <si>
    <t>manufacture of basic iron and steel</t>
  </si>
  <si>
    <t>M_ST</t>
  </si>
  <si>
    <t>hydrogen porduction with steam reforming</t>
  </si>
  <si>
    <t>Decarbonization pathways 2030</t>
  </si>
  <si>
    <t>2030 footprint, CO2 emissions and price of steel (from Exiobase/MARIO)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</si>
</sst>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%"/>
    <numFmt numFmtId="165" formatCode="0;\-;\-;@"/>
    <numFmt numFmtId="166" formatCode="0.00.E+00"/>
    <numFmt numFmtId="167" formatCode="0.00;\-;\-;@"/>
    <numFmt numFmtId="168" formatCode="0.0000;\-;\-;@"/>
    <numFmt numFmtId="169" formatCode="#,##0_ ;\-#,##0\ "/>
    <numFmt numFmtId="170" formatCode="0.0000_ ;\-0.0000\ "/>
    <numFmt numFmtId="171" formatCode="0.000;\-;\-;@"/>
    <numFmt numFmtId="172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rgb="FFC00000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7D7D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7.5"/>
      <color theme="1"/>
      <name val="Calibri"/>
      <family val="2"/>
    </font>
    <font>
      <sz val="7.7"/>
      <color theme="1"/>
      <name val="Calibri"/>
      <family val="2"/>
    </font>
    <font>
      <b/>
      <sz val="11"/>
      <color rgb="FFC00000"/>
      <name val="Calibri"/>
      <family val="2"/>
    </font>
    <font>
      <b/>
      <sz val="7.7"/>
      <color rgb="FFC00000"/>
      <name val="Calibri"/>
      <family val="2"/>
    </font>
    <font>
      <b/>
      <sz val="11"/>
      <color theme="9"/>
      <name val="Calibri"/>
      <family val="2"/>
    </font>
    <font>
      <b/>
      <sz val="7.7"/>
      <color theme="9"/>
      <name val="Calibri"/>
      <family val="2"/>
    </font>
    <font>
      <sz val="9"/>
      <color indexed="81"/>
      <name val="Tahoma"/>
      <family val="2"/>
    </font>
  </fonts>
  <fills count="32">
    <fill>
      <patternFill patternType="none"/>
    </fill>
    <fill>
      <patternFill patternType="gray125"/>
    </fill>
    <fill>
      <patternFill patternType="solid">
        <fgColor rgb="FFFF7D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CACD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79D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7B7C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9F5"/>
        <bgColor indexed="64"/>
      </patternFill>
    </fill>
    <fill>
      <patternFill patternType="solid">
        <fgColor rgb="FFB6B6CE"/>
        <bgColor indexed="64"/>
      </patternFill>
    </fill>
    <fill>
      <patternFill patternType="solid">
        <fgColor rgb="FFC1FFC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3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9" fontId="0" fillId="0" borderId="2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3" xfId="0" applyBorder="1"/>
    <xf numFmtId="165" fontId="0" fillId="5" borderId="0" xfId="0" applyNumberFormat="1" applyFill="1" applyAlignment="1">
      <alignment horizontal="center"/>
    </xf>
    <xf numFmtId="165" fontId="0" fillId="5" borderId="3" xfId="0" applyNumberFormat="1" applyFill="1" applyBorder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65" fontId="0" fillId="5" borderId="1" xfId="0" applyNumberFormat="1" applyFill="1" applyBorder="1" applyAlignment="1">
      <alignment horizontal="center"/>
    </xf>
    <xf numFmtId="165" fontId="0" fillId="5" borderId="6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7" borderId="0" xfId="0" applyNumberFormat="1" applyFill="1" applyAlignment="1">
      <alignment horizontal="center"/>
    </xf>
    <xf numFmtId="165" fontId="0" fillId="7" borderId="3" xfId="0" applyNumberFormat="1" applyFill="1" applyBorder="1" applyAlignment="1">
      <alignment horizontal="center"/>
    </xf>
    <xf numFmtId="11" fontId="0" fillId="7" borderId="0" xfId="0" applyNumberFormat="1" applyFill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65" fontId="0" fillId="7" borderId="6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3" xfId="0" applyNumberFormat="1" applyBorder="1" applyAlignment="1">
      <alignment horizontal="center"/>
    </xf>
    <xf numFmtId="11" fontId="0" fillId="8" borderId="0" xfId="0" applyNumberFormat="1" applyFill="1" applyAlignment="1">
      <alignment horizontal="center"/>
    </xf>
    <xf numFmtId="165" fontId="0" fillId="8" borderId="0" xfId="0" applyNumberFormat="1" applyFill="1" applyAlignment="1">
      <alignment horizontal="center"/>
    </xf>
    <xf numFmtId="165" fontId="0" fillId="8" borderId="8" xfId="0" applyNumberFormat="1" applyFill="1" applyBorder="1" applyAlignment="1">
      <alignment horizontal="center"/>
    </xf>
    <xf numFmtId="165" fontId="0" fillId="8" borderId="9" xfId="0" applyNumberFormat="1" applyFill="1" applyBorder="1" applyAlignment="1">
      <alignment horizontal="center"/>
    </xf>
    <xf numFmtId="165" fontId="0" fillId="8" borderId="10" xfId="0" applyNumberFormat="1" applyFill="1" applyBorder="1" applyAlignment="1">
      <alignment horizontal="center"/>
    </xf>
    <xf numFmtId="11" fontId="0" fillId="8" borderId="10" xfId="0" applyNumberFormat="1" applyFill="1" applyBorder="1" applyAlignment="1">
      <alignment horizontal="center"/>
    </xf>
    <xf numFmtId="165" fontId="0" fillId="8" borderId="11" xfId="0" applyNumberFormat="1" applyFill="1" applyBorder="1" applyAlignment="1">
      <alignment horizontal="center"/>
    </xf>
    <xf numFmtId="165" fontId="0" fillId="9" borderId="0" xfId="0" applyNumberFormat="1" applyFill="1" applyAlignment="1">
      <alignment horizontal="center"/>
    </xf>
    <xf numFmtId="11" fontId="0" fillId="9" borderId="0" xfId="0" applyNumberFormat="1" applyFill="1" applyAlignment="1">
      <alignment horizontal="center"/>
    </xf>
    <xf numFmtId="165" fontId="0" fillId="9" borderId="9" xfId="0" applyNumberFormat="1" applyFill="1" applyBorder="1" applyAlignment="1">
      <alignment horizontal="center"/>
    </xf>
    <xf numFmtId="165" fontId="0" fillId="0" borderId="0" xfId="0" applyNumberFormat="1"/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1" fontId="0" fillId="0" borderId="13" xfId="0" applyNumberFormat="1" applyBorder="1" applyAlignment="1">
      <alignment horizontal="center"/>
    </xf>
    <xf numFmtId="165" fontId="0" fillId="10" borderId="0" xfId="0" applyNumberFormat="1" applyFill="1" applyAlignment="1">
      <alignment horizontal="center"/>
    </xf>
    <xf numFmtId="11" fontId="0" fillId="10" borderId="0" xfId="0" applyNumberFormat="1" applyFill="1" applyAlignment="1">
      <alignment horizontal="center"/>
    </xf>
    <xf numFmtId="165" fontId="0" fillId="10" borderId="3" xfId="0" applyNumberFormat="1" applyFill="1" applyBorder="1" applyAlignment="1">
      <alignment horizontal="center"/>
    </xf>
    <xf numFmtId="11" fontId="0" fillId="10" borderId="3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165" fontId="0" fillId="10" borderId="6" xfId="0" applyNumberFormat="1" applyFill="1" applyBorder="1" applyAlignment="1">
      <alignment horizontal="center"/>
    </xf>
    <xf numFmtId="165" fontId="0" fillId="0" borderId="1" xfId="0" applyNumberFormat="1" applyBorder="1"/>
    <xf numFmtId="165" fontId="0" fillId="11" borderId="0" xfId="0" applyNumberFormat="1" applyFill="1" applyAlignment="1">
      <alignment horizontal="center"/>
    </xf>
    <xf numFmtId="165" fontId="0" fillId="11" borderId="3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11" borderId="6" xfId="0" applyNumberFormat="1" applyFill="1" applyBorder="1" applyAlignment="1">
      <alignment horizontal="center"/>
    </xf>
    <xf numFmtId="11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1" fontId="0" fillId="3" borderId="10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1" fontId="0" fillId="0" borderId="0" xfId="0" applyNumberFormat="1"/>
    <xf numFmtId="165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165" fontId="0" fillId="12" borderId="9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left"/>
    </xf>
    <xf numFmtId="0" fontId="0" fillId="13" borderId="3" xfId="0" applyFill="1" applyBorder="1" applyAlignment="1">
      <alignment horizontal="center"/>
    </xf>
    <xf numFmtId="9" fontId="0" fillId="13" borderId="0" xfId="0" applyNumberFormat="1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left"/>
    </xf>
    <xf numFmtId="0" fontId="0" fillId="12" borderId="3" xfId="0" applyFill="1" applyBorder="1" applyAlignment="1">
      <alignment horizontal="center"/>
    </xf>
    <xf numFmtId="9" fontId="0" fillId="12" borderId="0" xfId="1" applyFont="1" applyFill="1" applyBorder="1" applyAlignment="1">
      <alignment horizontal="center"/>
    </xf>
    <xf numFmtId="9" fontId="0" fillId="12" borderId="0" xfId="0" applyNumberFormat="1" applyFill="1" applyAlignment="1">
      <alignment horizontal="center"/>
    </xf>
    <xf numFmtId="0" fontId="8" fillId="14" borderId="0" xfId="0" applyFont="1" applyFill="1" applyAlignment="1">
      <alignment horizontal="right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left" wrapText="1"/>
    </xf>
    <xf numFmtId="0" fontId="0" fillId="14" borderId="3" xfId="0" applyFill="1" applyBorder="1" applyAlignment="1">
      <alignment horizontal="center" vertical="center"/>
    </xf>
    <xf numFmtId="9" fontId="0" fillId="14" borderId="0" xfId="1" applyFont="1" applyFill="1" applyAlignment="1">
      <alignment horizontal="center" vertical="center"/>
    </xf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left"/>
    </xf>
    <xf numFmtId="0" fontId="0" fillId="15" borderId="3" xfId="0" applyFill="1" applyBorder="1" applyAlignment="1">
      <alignment horizontal="center"/>
    </xf>
    <xf numFmtId="9" fontId="0" fillId="15" borderId="0" xfId="0" applyNumberFormat="1" applyFill="1" applyAlignment="1">
      <alignment horizontal="center"/>
    </xf>
    <xf numFmtId="9" fontId="0" fillId="15" borderId="0" xfId="1" applyFont="1" applyFill="1" applyBorder="1" applyAlignment="1">
      <alignment horizontal="center"/>
    </xf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/>
    </xf>
    <xf numFmtId="0" fontId="0" fillId="11" borderId="3" xfId="0" applyFill="1" applyBorder="1" applyAlignment="1">
      <alignment horizontal="center"/>
    </xf>
    <xf numFmtId="9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9" fontId="0" fillId="11" borderId="0" xfId="1" applyFont="1" applyFill="1" applyBorder="1" applyAlignment="1">
      <alignment horizontal="center"/>
    </xf>
    <xf numFmtId="9" fontId="0" fillId="11" borderId="3" xfId="1" applyFont="1" applyFill="1" applyBorder="1" applyAlignment="1">
      <alignment horizontal="center"/>
    </xf>
    <xf numFmtId="0" fontId="0" fillId="11" borderId="0" xfId="0" applyFill="1"/>
    <xf numFmtId="0" fontId="0" fillId="16" borderId="0" xfId="0" applyFill="1"/>
    <xf numFmtId="0" fontId="0" fillId="16" borderId="0" xfId="0" applyFill="1" applyAlignment="1">
      <alignment horizontal="left"/>
    </xf>
    <xf numFmtId="0" fontId="0" fillId="16" borderId="3" xfId="0" applyFill="1" applyBorder="1" applyAlignment="1">
      <alignment horizontal="center"/>
    </xf>
    <xf numFmtId="9" fontId="0" fillId="16" borderId="0" xfId="0" applyNumberFormat="1" applyFill="1" applyAlignment="1">
      <alignment horizontal="center"/>
    </xf>
    <xf numFmtId="9" fontId="0" fillId="16" borderId="0" xfId="1" applyFont="1" applyFill="1" applyBorder="1" applyAlignment="1">
      <alignment horizontal="center"/>
    </xf>
    <xf numFmtId="0" fontId="8" fillId="7" borderId="0" xfId="0" applyFont="1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3" xfId="0" applyFill="1" applyBorder="1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0" fontId="0" fillId="17" borderId="3" xfId="0" applyFill="1" applyBorder="1" applyAlignment="1">
      <alignment horizontal="center"/>
    </xf>
    <xf numFmtId="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9" fontId="0" fillId="17" borderId="0" xfId="1" applyFont="1" applyFill="1" applyBorder="1" applyAlignment="1">
      <alignment horizontal="center"/>
    </xf>
    <xf numFmtId="9" fontId="0" fillId="17" borderId="3" xfId="1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center"/>
    </xf>
    <xf numFmtId="9" fontId="0" fillId="3" borderId="0" xfId="1" applyFont="1" applyFill="1" applyAlignment="1">
      <alignment horizontal="center"/>
    </xf>
    <xf numFmtId="9" fontId="0" fillId="3" borderId="3" xfId="1" applyFont="1" applyFill="1" applyBorder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left"/>
    </xf>
    <xf numFmtId="0" fontId="0" fillId="18" borderId="3" xfId="0" applyFill="1" applyBorder="1" applyAlignment="1">
      <alignment horizontal="center"/>
    </xf>
    <xf numFmtId="9" fontId="0" fillId="18" borderId="0" xfId="1" applyFont="1" applyFill="1" applyAlignment="1">
      <alignment horizontal="center"/>
    </xf>
    <xf numFmtId="9" fontId="0" fillId="18" borderId="3" xfId="1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8" fillId="10" borderId="0" xfId="0" applyFont="1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3" xfId="0" applyFill="1" applyBorder="1" applyAlignment="1">
      <alignment horizontal="center"/>
    </xf>
    <xf numFmtId="9" fontId="0" fillId="10" borderId="0" xfId="1" applyFont="1" applyFill="1" applyBorder="1" applyAlignment="1">
      <alignment horizontal="center"/>
    </xf>
    <xf numFmtId="9" fontId="0" fillId="10" borderId="3" xfId="1" applyFont="1" applyFill="1" applyBorder="1" applyAlignment="1">
      <alignment horizontal="center"/>
    </xf>
    <xf numFmtId="10" fontId="0" fillId="10" borderId="0" xfId="0" applyNumberForma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9" fontId="0" fillId="6" borderId="6" xfId="1" applyFont="1" applyFill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horizontal="right"/>
    </xf>
    <xf numFmtId="0" fontId="5" fillId="0" borderId="0" xfId="3"/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0" xfId="1" applyFont="1" applyAlignment="1">
      <alignment horizontal="center"/>
    </xf>
    <xf numFmtId="1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right"/>
    </xf>
    <xf numFmtId="2" fontId="0" fillId="0" borderId="3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0" fontId="8" fillId="0" borderId="0" xfId="0" applyFont="1"/>
    <xf numFmtId="164" fontId="0" fillId="0" borderId="0" xfId="1" applyNumberFormat="1" applyFont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3" fontId="2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3" fontId="2" fillId="0" borderId="15" xfId="0" applyNumberFormat="1" applyFont="1" applyBorder="1" applyAlignment="1">
      <alignment horizontal="left"/>
    </xf>
    <xf numFmtId="164" fontId="0" fillId="0" borderId="0" xfId="0" applyNumberFormat="1" applyAlignment="1">
      <alignment horizontal="center"/>
    </xf>
    <xf numFmtId="165" fontId="0" fillId="5" borderId="9" xfId="0" applyNumberFormat="1" applyFill="1" applyBorder="1" applyAlignment="1">
      <alignment horizontal="center"/>
    </xf>
    <xf numFmtId="165" fontId="0" fillId="6" borderId="9" xfId="0" applyNumberFormat="1" applyFill="1" applyBorder="1" applyAlignment="1">
      <alignment horizontal="center"/>
    </xf>
    <xf numFmtId="165" fontId="0" fillId="6" borderId="16" xfId="0" applyNumberFormat="1" applyFill="1" applyBorder="1" applyAlignment="1">
      <alignment horizontal="center"/>
    </xf>
    <xf numFmtId="11" fontId="0" fillId="6" borderId="9" xfId="0" applyNumberFormat="1" applyFill="1" applyBorder="1" applyAlignment="1">
      <alignment horizontal="center"/>
    </xf>
    <xf numFmtId="165" fontId="0" fillId="5" borderId="10" xfId="0" applyNumberFormat="1" applyFill="1" applyBorder="1" applyAlignment="1">
      <alignment horizontal="center"/>
    </xf>
    <xf numFmtId="165" fontId="0" fillId="5" borderId="11" xfId="0" applyNumberFormat="1" applyFill="1" applyBorder="1" applyAlignment="1">
      <alignment horizontal="center"/>
    </xf>
    <xf numFmtId="165" fontId="0" fillId="5" borderId="17" xfId="0" applyNumberFormat="1" applyFill="1" applyBorder="1" applyAlignment="1">
      <alignment horizontal="center"/>
    </xf>
    <xf numFmtId="165" fontId="0" fillId="5" borderId="18" xfId="0" applyNumberFormat="1" applyFill="1" applyBorder="1" applyAlignment="1">
      <alignment horizontal="center"/>
    </xf>
    <xf numFmtId="165" fontId="0" fillId="6" borderId="11" xfId="0" applyNumberFormat="1" applyFill="1" applyBorder="1" applyAlignment="1">
      <alignment horizontal="center"/>
    </xf>
    <xf numFmtId="165" fontId="0" fillId="6" borderId="19" xfId="0" applyNumberFormat="1" applyFill="1" applyBorder="1" applyAlignment="1">
      <alignment horizontal="center"/>
    </xf>
    <xf numFmtId="165" fontId="0" fillId="6" borderId="10" xfId="0" applyNumberFormat="1" applyFill="1" applyBorder="1" applyAlignment="1">
      <alignment horizontal="center"/>
    </xf>
    <xf numFmtId="165" fontId="2" fillId="0" borderId="0" xfId="0" applyNumberFormat="1" applyFont="1" applyAlignment="1">
      <alignment horizontal="left"/>
    </xf>
    <xf numFmtId="166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5" borderId="20" xfId="0" applyNumberFormat="1" applyFill="1" applyBorder="1" applyAlignment="1">
      <alignment horizontal="center"/>
    </xf>
    <xf numFmtId="165" fontId="0" fillId="6" borderId="20" xfId="0" applyNumberFormat="1" applyFill="1" applyBorder="1" applyAlignment="1">
      <alignment horizontal="center"/>
    </xf>
    <xf numFmtId="165" fontId="0" fillId="6" borderId="21" xfId="0" applyNumberFormat="1" applyFill="1" applyBorder="1" applyAlignment="1">
      <alignment horizontal="center"/>
    </xf>
    <xf numFmtId="165" fontId="0" fillId="7" borderId="14" xfId="0" applyNumberFormat="1" applyFill="1" applyBorder="1" applyAlignment="1">
      <alignment horizontal="center"/>
    </xf>
    <xf numFmtId="165" fontId="0" fillId="7" borderId="9" xfId="0" applyNumberFormat="1" applyFill="1" applyBorder="1" applyAlignment="1">
      <alignment horizontal="center"/>
    </xf>
    <xf numFmtId="165" fontId="0" fillId="7" borderId="22" xfId="0" applyNumberFormat="1" applyFill="1" applyBorder="1" applyAlignment="1">
      <alignment horizontal="center"/>
    </xf>
    <xf numFmtId="165" fontId="0" fillId="7" borderId="10" xfId="0" applyNumberFormat="1" applyFill="1" applyBorder="1" applyAlignment="1">
      <alignment horizontal="center"/>
    </xf>
    <xf numFmtId="165" fontId="0" fillId="7" borderId="11" xfId="0" applyNumberFormat="1" applyFill="1" applyBorder="1" applyAlignment="1">
      <alignment horizontal="center"/>
    </xf>
    <xf numFmtId="165" fontId="0" fillId="7" borderId="17" xfId="0" applyNumberFormat="1" applyFill="1" applyBorder="1" applyAlignment="1">
      <alignment horizontal="center"/>
    </xf>
    <xf numFmtId="165" fontId="0" fillId="7" borderId="18" xfId="0" applyNumberFormat="1" applyFill="1" applyBorder="1" applyAlignment="1">
      <alignment horizontal="center"/>
    </xf>
    <xf numFmtId="165" fontId="0" fillId="7" borderId="20" xfId="0" applyNumberFormat="1" applyFill="1" applyBorder="1" applyAlignment="1">
      <alignment horizontal="center"/>
    </xf>
    <xf numFmtId="165" fontId="0" fillId="8" borderId="23" xfId="0" applyNumberFormat="1" applyFill="1" applyBorder="1" applyAlignment="1">
      <alignment horizontal="center"/>
    </xf>
    <xf numFmtId="165" fontId="0" fillId="8" borderId="3" xfId="0" applyNumberFormat="1" applyFill="1" applyBorder="1" applyAlignment="1">
      <alignment horizontal="center"/>
    </xf>
    <xf numFmtId="11" fontId="0" fillId="8" borderId="0" xfId="0" applyNumberFormat="1" applyFill="1"/>
    <xf numFmtId="11" fontId="0" fillId="8" borderId="9" xfId="0" applyNumberFormat="1" applyFill="1" applyBorder="1"/>
    <xf numFmtId="165" fontId="0" fillId="8" borderId="18" xfId="0" applyNumberFormat="1" applyFill="1" applyBorder="1" applyAlignment="1">
      <alignment horizontal="center"/>
    </xf>
    <xf numFmtId="11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165" fontId="0" fillId="9" borderId="3" xfId="0" applyNumberFormat="1" applyFill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left"/>
    </xf>
    <xf numFmtId="165" fontId="0" fillId="10" borderId="9" xfId="0" applyNumberFormat="1" applyFill="1" applyBorder="1" applyAlignment="1">
      <alignment horizontal="center"/>
    </xf>
    <xf numFmtId="11" fontId="0" fillId="10" borderId="9" xfId="0" applyNumberFormat="1" applyFill="1" applyBorder="1" applyAlignment="1">
      <alignment horizontal="center"/>
    </xf>
    <xf numFmtId="165" fontId="0" fillId="10" borderId="10" xfId="0" applyNumberFormat="1" applyFill="1" applyBorder="1" applyAlignment="1">
      <alignment horizontal="center"/>
    </xf>
    <xf numFmtId="165" fontId="0" fillId="10" borderId="11" xfId="0" applyNumberFormat="1" applyFill="1" applyBorder="1" applyAlignment="1">
      <alignment horizontal="center"/>
    </xf>
    <xf numFmtId="165" fontId="0" fillId="10" borderId="18" xfId="0" applyNumberFormat="1" applyFill="1" applyBorder="1" applyAlignment="1">
      <alignment horizontal="center"/>
    </xf>
    <xf numFmtId="167" fontId="0" fillId="0" borderId="0" xfId="0" applyNumberFormat="1"/>
    <xf numFmtId="170" fontId="0" fillId="0" borderId="0" xfId="0" applyNumberFormat="1"/>
    <xf numFmtId="17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5" fontId="0" fillId="10" borderId="20" xfId="0" applyNumberFormat="1" applyFill="1" applyBorder="1" applyAlignment="1">
      <alignment horizontal="center"/>
    </xf>
    <xf numFmtId="165" fontId="0" fillId="11" borderId="8" xfId="0" applyNumberFormat="1" applyFill="1" applyBorder="1" applyAlignment="1">
      <alignment horizontal="center"/>
    </xf>
    <xf numFmtId="165" fontId="0" fillId="11" borderId="9" xfId="0" applyNumberFormat="1" applyFill="1" applyBorder="1" applyAlignment="1">
      <alignment horizontal="center"/>
    </xf>
    <xf numFmtId="165" fontId="0" fillId="11" borderId="10" xfId="0" applyNumberFormat="1" applyFill="1" applyBorder="1" applyAlignment="1">
      <alignment horizontal="center"/>
    </xf>
    <xf numFmtId="165" fontId="0" fillId="11" borderId="11" xfId="0" applyNumberFormat="1" applyFill="1" applyBorder="1" applyAlignment="1">
      <alignment horizontal="center"/>
    </xf>
    <xf numFmtId="171" fontId="0" fillId="11" borderId="0" xfId="0" applyNumberFormat="1" applyFill="1" applyAlignment="1">
      <alignment horizontal="center"/>
    </xf>
    <xf numFmtId="171" fontId="0" fillId="11" borderId="8" xfId="0" applyNumberFormat="1" applyFill="1" applyBorder="1" applyAlignment="1">
      <alignment horizontal="center"/>
    </xf>
    <xf numFmtId="171" fontId="0" fillId="11" borderId="3" xfId="0" applyNumberFormat="1" applyFill="1" applyBorder="1" applyAlignment="1">
      <alignment horizontal="center"/>
    </xf>
    <xf numFmtId="171" fontId="0" fillId="11" borderId="9" xfId="0" applyNumberFormat="1" applyFill="1" applyBorder="1" applyAlignment="1">
      <alignment horizontal="center"/>
    </xf>
    <xf numFmtId="165" fontId="0" fillId="11" borderId="10" xfId="0" applyNumberFormat="1" applyFill="1" applyBorder="1"/>
    <xf numFmtId="165" fontId="0" fillId="11" borderId="11" xfId="0" applyNumberFormat="1" applyFill="1" applyBorder="1"/>
    <xf numFmtId="165" fontId="0" fillId="11" borderId="18" xfId="0" applyNumberFormat="1" applyFill="1" applyBorder="1"/>
    <xf numFmtId="171" fontId="0" fillId="11" borderId="10" xfId="0" applyNumberFormat="1" applyFill="1" applyBorder="1" applyAlignment="1">
      <alignment horizontal="center"/>
    </xf>
    <xf numFmtId="171" fontId="0" fillId="11" borderId="11" xfId="0" applyNumberFormat="1" applyFill="1" applyBorder="1" applyAlignment="1">
      <alignment horizontal="center"/>
    </xf>
    <xf numFmtId="171" fontId="0" fillId="11" borderId="18" xfId="0" applyNumberFormat="1" applyFill="1" applyBorder="1" applyAlignment="1">
      <alignment horizontal="center"/>
    </xf>
    <xf numFmtId="171" fontId="0" fillId="11" borderId="1" xfId="0" applyNumberFormat="1" applyFill="1" applyBorder="1" applyAlignment="1">
      <alignment horizontal="center"/>
    </xf>
    <xf numFmtId="171" fontId="0" fillId="11" borderId="20" xfId="0" applyNumberFormat="1" applyFill="1" applyBorder="1" applyAlignment="1">
      <alignment horizontal="center"/>
    </xf>
    <xf numFmtId="171" fontId="0" fillId="11" borderId="6" xfId="0" applyNumberFormat="1" applyFill="1" applyBorder="1" applyAlignment="1">
      <alignment horizontal="center"/>
    </xf>
    <xf numFmtId="165" fontId="0" fillId="3" borderId="23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1" fontId="0" fillId="3" borderId="0" xfId="0" applyNumberFormat="1" applyFill="1"/>
    <xf numFmtId="11" fontId="0" fillId="3" borderId="9" xfId="0" applyNumberFormat="1" applyFill="1" applyBorder="1"/>
    <xf numFmtId="165" fontId="0" fillId="3" borderId="18" xfId="0" applyNumberFormat="1" applyFill="1" applyBorder="1" applyAlignment="1">
      <alignment horizontal="center"/>
    </xf>
    <xf numFmtId="165" fontId="0" fillId="12" borderId="3" xfId="0" applyNumberFormat="1" applyFill="1" applyBorder="1" applyAlignment="1">
      <alignment horizontal="center"/>
    </xf>
    <xf numFmtId="9" fontId="0" fillId="18" borderId="0" xfId="0" applyNumberFormat="1" applyFill="1" applyAlignment="1">
      <alignment horizontal="center"/>
    </xf>
    <xf numFmtId="0" fontId="5" fillId="0" borderId="0" xfId="2" applyAlignment="1">
      <alignment vertical="center"/>
    </xf>
    <xf numFmtId="9" fontId="2" fillId="0" borderId="0" xfId="1" applyFont="1" applyBorder="1" applyAlignment="1">
      <alignment horizontal="center"/>
    </xf>
    <xf numFmtId="0" fontId="4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8" fillId="12" borderId="0" xfId="0" applyFont="1" applyFill="1" applyAlignment="1">
      <alignment horizontal="right"/>
    </xf>
    <xf numFmtId="0" fontId="0" fillId="16" borderId="2" xfId="0" applyFill="1" applyBorder="1"/>
    <xf numFmtId="0" fontId="0" fillId="16" borderId="2" xfId="0" applyFill="1" applyBorder="1" applyAlignment="1">
      <alignment horizontal="left"/>
    </xf>
    <xf numFmtId="0" fontId="0" fillId="16" borderId="23" xfId="0" applyFill="1" applyBorder="1" applyAlignment="1">
      <alignment horizontal="center"/>
    </xf>
    <xf numFmtId="9" fontId="0" fillId="16" borderId="2" xfId="1" applyFont="1" applyFill="1" applyBorder="1" applyAlignment="1">
      <alignment horizontal="center"/>
    </xf>
    <xf numFmtId="9" fontId="0" fillId="16" borderId="23" xfId="0" applyNumberFormat="1" applyFill="1" applyBorder="1" applyAlignment="1">
      <alignment horizontal="center"/>
    </xf>
    <xf numFmtId="9" fontId="0" fillId="16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9" fontId="0" fillId="7" borderId="3" xfId="0" applyNumberFormat="1" applyFill="1" applyBorder="1" applyAlignment="1">
      <alignment horizontal="center"/>
    </xf>
    <xf numFmtId="0" fontId="8" fillId="18" borderId="0" xfId="0" applyFont="1" applyFill="1" applyAlignment="1">
      <alignment horizontal="right"/>
    </xf>
    <xf numFmtId="9" fontId="0" fillId="18" borderId="3" xfId="0" applyNumberFormat="1" applyFill="1" applyBorder="1" applyAlignment="1">
      <alignment horizontal="center"/>
    </xf>
    <xf numFmtId="0" fontId="0" fillId="8" borderId="0" xfId="0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3" xfId="0" applyFill="1" applyBorder="1" applyAlignment="1">
      <alignment horizontal="center"/>
    </xf>
    <xf numFmtId="9" fontId="0" fillId="8" borderId="0" xfId="0" applyNumberFormat="1" applyFill="1" applyAlignment="1">
      <alignment horizontal="center"/>
    </xf>
    <xf numFmtId="9" fontId="0" fillId="8" borderId="0" xfId="1" applyFont="1" applyFill="1" applyBorder="1" applyAlignment="1">
      <alignment horizontal="center"/>
    </xf>
    <xf numFmtId="9" fontId="0" fillId="8" borderId="3" xfId="1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3" xfId="0" applyFill="1" applyBorder="1" applyAlignment="1">
      <alignment horizontal="center"/>
    </xf>
    <xf numFmtId="9" fontId="0" fillId="6" borderId="0" xfId="1" applyFont="1" applyFill="1" applyBorder="1" applyAlignment="1">
      <alignment horizontal="center"/>
    </xf>
    <xf numFmtId="9" fontId="0" fillId="6" borderId="3" xfId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19" borderId="0" xfId="0" applyFill="1" applyAlignment="1">
      <alignment horizontal="right"/>
    </xf>
    <xf numFmtId="0" fontId="0" fillId="19" borderId="0" xfId="0" applyFill="1" applyAlignment="1">
      <alignment horizontal="left"/>
    </xf>
    <xf numFmtId="0" fontId="0" fillId="19" borderId="0" xfId="0" applyFill="1" applyAlignment="1">
      <alignment horizontal="left" vertical="center"/>
    </xf>
    <xf numFmtId="0" fontId="0" fillId="19" borderId="3" xfId="0" applyFill="1" applyBorder="1" applyAlignment="1">
      <alignment horizontal="center"/>
    </xf>
    <xf numFmtId="9" fontId="0" fillId="19" borderId="0" xfId="1" applyFont="1" applyFill="1" applyBorder="1" applyAlignment="1">
      <alignment horizontal="center"/>
    </xf>
    <xf numFmtId="9" fontId="0" fillId="19" borderId="3" xfId="1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0" fillId="10" borderId="0" xfId="0" applyFill="1" applyAlignment="1">
      <alignment horizontal="right"/>
    </xf>
    <xf numFmtId="9" fontId="0" fillId="10" borderId="1" xfId="1" applyFont="1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10" borderId="1" xfId="0" applyFill="1" applyBorder="1" applyAlignment="1">
      <alignment horizontal="left"/>
    </xf>
    <xf numFmtId="0" fontId="0" fillId="10" borderId="6" xfId="0" applyFill="1" applyBorder="1" applyAlignment="1">
      <alignment horizontal="center"/>
    </xf>
    <xf numFmtId="9" fontId="0" fillId="10" borderId="6" xfId="1" applyFont="1" applyFill="1" applyBorder="1" applyAlignment="1">
      <alignment horizontal="center"/>
    </xf>
    <xf numFmtId="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1" fontId="0" fillId="0" borderId="0" xfId="1" applyNumberFormat="1" applyFont="1" applyAlignment="1">
      <alignment horizontal="center"/>
    </xf>
    <xf numFmtId="1" fontId="0" fillId="0" borderId="3" xfId="1" applyNumberFormat="1" applyFont="1" applyBorder="1" applyAlignment="1">
      <alignment horizontal="center"/>
    </xf>
    <xf numFmtId="9" fontId="2" fillId="0" borderId="3" xfId="1" applyFont="1" applyBorder="1" applyAlignment="1">
      <alignment horizontal="center"/>
    </xf>
    <xf numFmtId="9" fontId="0" fillId="0" borderId="0" xfId="1" applyFont="1" applyFill="1" applyAlignment="1">
      <alignment horizontal="center"/>
    </xf>
    <xf numFmtId="9" fontId="0" fillId="0" borderId="3" xfId="1" applyFont="1" applyFill="1" applyBorder="1" applyAlignment="1">
      <alignment horizontal="center"/>
    </xf>
    <xf numFmtId="1" fontId="0" fillId="0" borderId="0" xfId="1" applyNumberFormat="1" applyFont="1" applyFill="1" applyAlignment="1">
      <alignment horizontal="center"/>
    </xf>
    <xf numFmtId="1" fontId="0" fillId="0" borderId="3" xfId="1" applyNumberFormat="1" applyFont="1" applyFill="1" applyBorder="1" applyAlignment="1">
      <alignment horizontal="center"/>
    </xf>
    <xf numFmtId="164" fontId="0" fillId="0" borderId="3" xfId="1" applyNumberFormat="1" applyFont="1" applyFill="1" applyBorder="1" applyAlignment="1">
      <alignment horizontal="center"/>
    </xf>
    <xf numFmtId="10" fontId="0" fillId="0" borderId="3" xfId="1" applyNumberFormat="1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5" fontId="0" fillId="20" borderId="9" xfId="0" applyNumberFormat="1" applyFill="1" applyBorder="1" applyAlignment="1">
      <alignment horizontal="center"/>
    </xf>
    <xf numFmtId="165" fontId="0" fillId="20" borderId="16" xfId="0" applyNumberFormat="1" applyFill="1" applyBorder="1" applyAlignment="1">
      <alignment horizontal="center"/>
    </xf>
    <xf numFmtId="165" fontId="0" fillId="20" borderId="0" xfId="0" applyNumberFormat="1" applyFill="1" applyAlignment="1">
      <alignment horizontal="center"/>
    </xf>
    <xf numFmtId="167" fontId="0" fillId="20" borderId="9" xfId="0" applyNumberFormat="1" applyFill="1" applyBorder="1" applyAlignment="1">
      <alignment horizontal="center"/>
    </xf>
    <xf numFmtId="11" fontId="0" fillId="5" borderId="0" xfId="0" applyNumberFormat="1" applyFill="1" applyAlignment="1">
      <alignment horizontal="center"/>
    </xf>
    <xf numFmtId="167" fontId="0" fillId="5" borderId="10" xfId="0" applyNumberFormat="1" applyFill="1" applyBorder="1" applyAlignment="1">
      <alignment horizontal="center"/>
    </xf>
    <xf numFmtId="11" fontId="0" fillId="5" borderId="10" xfId="0" applyNumberFormat="1" applyFill="1" applyBorder="1" applyAlignment="1">
      <alignment horizontal="center"/>
    </xf>
    <xf numFmtId="165" fontId="0" fillId="20" borderId="11" xfId="0" applyNumberFormat="1" applyFill="1" applyBorder="1" applyAlignment="1">
      <alignment horizontal="center"/>
    </xf>
    <xf numFmtId="165" fontId="0" fillId="20" borderId="19" xfId="0" applyNumberFormat="1" applyFill="1" applyBorder="1" applyAlignment="1">
      <alignment horizontal="center"/>
    </xf>
    <xf numFmtId="165" fontId="0" fillId="20" borderId="10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7" borderId="2" xfId="0" applyNumberFormat="1" applyFill="1" applyBorder="1" applyAlignment="1">
      <alignment horizontal="center"/>
    </xf>
    <xf numFmtId="167" fontId="0" fillId="7" borderId="2" xfId="0" applyNumberFormat="1" applyFill="1" applyBorder="1" applyAlignment="1">
      <alignment horizontal="center"/>
    </xf>
    <xf numFmtId="165" fontId="0" fillId="7" borderId="8" xfId="0" applyNumberFormat="1" applyFill="1" applyBorder="1" applyAlignment="1">
      <alignment horizontal="center"/>
    </xf>
    <xf numFmtId="165" fontId="0" fillId="7" borderId="23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7" fontId="0" fillId="7" borderId="0" xfId="0" applyNumberFormat="1" applyFill="1" applyAlignment="1">
      <alignment horizontal="center"/>
    </xf>
    <xf numFmtId="167" fontId="0" fillId="7" borderId="9" xfId="0" applyNumberFormat="1" applyFill="1" applyBorder="1" applyAlignment="1">
      <alignment horizontal="center"/>
    </xf>
    <xf numFmtId="167" fontId="0" fillId="7" borderId="10" xfId="0" applyNumberFormat="1" applyFill="1" applyBorder="1" applyAlignment="1">
      <alignment horizontal="center"/>
    </xf>
    <xf numFmtId="11" fontId="0" fillId="7" borderId="11" xfId="0" applyNumberFormat="1" applyFill="1" applyBorder="1" applyAlignment="1">
      <alignment horizontal="center"/>
    </xf>
    <xf numFmtId="167" fontId="0" fillId="10" borderId="10" xfId="0" applyNumberFormat="1" applyFill="1" applyBorder="1" applyAlignment="1">
      <alignment horizontal="center"/>
    </xf>
    <xf numFmtId="11" fontId="0" fillId="10" borderId="10" xfId="0" applyNumberFormat="1" applyFill="1" applyBorder="1" applyAlignment="1">
      <alignment horizontal="center"/>
    </xf>
    <xf numFmtId="171" fontId="0" fillId="0" borderId="0" xfId="0" applyNumberFormat="1" applyAlignment="1">
      <alignment horizontal="center"/>
    </xf>
    <xf numFmtId="167" fontId="0" fillId="11" borderId="2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7" fontId="0" fillId="11" borderId="0" xfId="0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167" fontId="0" fillId="11" borderId="9" xfId="0" applyNumberFormat="1" applyFill="1" applyBorder="1" applyAlignment="1">
      <alignment horizontal="center"/>
    </xf>
    <xf numFmtId="167" fontId="0" fillId="11" borderId="10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165" fontId="0" fillId="11" borderId="23" xfId="0" applyNumberFormat="1" applyFill="1" applyBorder="1" applyAlignment="1">
      <alignment horizontal="center"/>
    </xf>
    <xf numFmtId="165" fontId="0" fillId="11" borderId="18" xfId="0" applyNumberFormat="1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0" borderId="23" xfId="0" applyBorder="1"/>
    <xf numFmtId="165" fontId="0" fillId="0" borderId="6" xfId="0" applyNumberFormat="1" applyBorder="1" applyAlignment="1">
      <alignment horizontal="center"/>
    </xf>
    <xf numFmtId="167" fontId="0" fillId="10" borderId="1" xfId="0" applyNumberFormat="1" applyFill="1" applyBorder="1" applyAlignment="1">
      <alignment horizontal="center"/>
    </xf>
    <xf numFmtId="167" fontId="0" fillId="11" borderId="3" xfId="0" applyNumberFormat="1" applyFill="1" applyBorder="1" applyAlignment="1">
      <alignment horizontal="center"/>
    </xf>
    <xf numFmtId="167" fontId="0" fillId="11" borderId="1" xfId="0" applyNumberFormat="1" applyFill="1" applyBorder="1" applyAlignment="1">
      <alignment horizontal="center"/>
    </xf>
    <xf numFmtId="1" fontId="0" fillId="11" borderId="6" xfId="0" applyNumberFormat="1" applyFill="1" applyBorder="1" applyAlignment="1">
      <alignment horizontal="center"/>
    </xf>
    <xf numFmtId="165" fontId="0" fillId="10" borderId="2" xfId="0" applyNumberFormat="1" applyFill="1" applyBorder="1" applyAlignment="1">
      <alignment horizontal="center"/>
    </xf>
    <xf numFmtId="165" fontId="0" fillId="10" borderId="23" xfId="0" applyNumberFormat="1" applyFill="1" applyBorder="1" applyAlignment="1">
      <alignment horizontal="center"/>
    </xf>
    <xf numFmtId="11" fontId="0" fillId="10" borderId="2" xfId="0" applyNumberFormat="1" applyFill="1" applyBorder="1" applyAlignment="1">
      <alignment horizontal="center"/>
    </xf>
    <xf numFmtId="167" fontId="0" fillId="10" borderId="0" xfId="0" applyNumberFormat="1" applyFill="1" applyAlignment="1">
      <alignment horizontal="center"/>
    </xf>
    <xf numFmtId="11" fontId="0" fillId="3" borderId="3" xfId="0" applyNumberFormat="1" applyFill="1" applyBorder="1" applyAlignment="1">
      <alignment horizontal="center"/>
    </xf>
    <xf numFmtId="0" fontId="10" fillId="0" borderId="0" xfId="0" applyFont="1"/>
    <xf numFmtId="9" fontId="12" fillId="0" borderId="0" xfId="1" applyFont="1" applyBorder="1" applyAlignment="1">
      <alignment horizontal="center"/>
    </xf>
    <xf numFmtId="9" fontId="0" fillId="15" borderId="3" xfId="0" applyNumberFormat="1" applyFill="1" applyBorder="1" applyAlignment="1">
      <alignment horizontal="center"/>
    </xf>
    <xf numFmtId="9" fontId="0" fillId="11" borderId="0" xfId="1" applyFont="1" applyFill="1" applyAlignment="1">
      <alignment horizontal="center"/>
    </xf>
    <xf numFmtId="9" fontId="0" fillId="16" borderId="3" xfId="0" applyNumberFormat="1" applyFill="1" applyBorder="1" applyAlignment="1">
      <alignment horizontal="center"/>
    </xf>
    <xf numFmtId="9" fontId="0" fillId="17" borderId="0" xfId="1" applyFont="1" applyFill="1" applyAlignment="1">
      <alignment horizontal="center"/>
    </xf>
    <xf numFmtId="9" fontId="0" fillId="12" borderId="3" xfId="0" applyNumberForma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6" borderId="0" xfId="0" applyFill="1" applyAlignment="1">
      <alignment horizontal="left" vertical="center"/>
    </xf>
    <xf numFmtId="0" fontId="13" fillId="0" borderId="0" xfId="0" applyFont="1"/>
    <xf numFmtId="0" fontId="2" fillId="0" borderId="0" xfId="0" applyFont="1"/>
    <xf numFmtId="0" fontId="8" fillId="0" borderId="3" xfId="0" applyFont="1" applyBorder="1" applyAlignment="1">
      <alignment horizontal="center"/>
    </xf>
    <xf numFmtId="9" fontId="0" fillId="0" borderId="14" xfId="1" applyFont="1" applyBorder="1" applyAlignment="1">
      <alignment horizontal="center"/>
    </xf>
    <xf numFmtId="9" fontId="0" fillId="14" borderId="3" xfId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right"/>
    </xf>
    <xf numFmtId="3" fontId="0" fillId="4" borderId="0" xfId="0" applyNumberFormat="1" applyFill="1" applyAlignment="1">
      <alignment horizontal="left"/>
    </xf>
    <xf numFmtId="164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4" borderId="0" xfId="0" applyFont="1" applyFill="1"/>
    <xf numFmtId="0" fontId="0" fillId="4" borderId="0" xfId="0" applyFill="1" applyAlignment="1">
      <alignment horizontal="left"/>
    </xf>
    <xf numFmtId="0" fontId="0" fillId="5" borderId="0" xfId="0" applyFill="1"/>
    <xf numFmtId="3" fontId="0" fillId="5" borderId="0" xfId="0" applyNumberFormat="1" applyFill="1" applyAlignment="1">
      <alignment horizontal="left"/>
    </xf>
    <xf numFmtId="0" fontId="2" fillId="5" borderId="0" xfId="0" applyFont="1" applyFill="1"/>
    <xf numFmtId="0" fontId="0" fillId="5" borderId="0" xfId="0" applyFill="1" applyAlignment="1">
      <alignment horizontal="left"/>
    </xf>
    <xf numFmtId="3" fontId="14" fillId="0" borderId="3" xfId="0" applyNumberFormat="1" applyFont="1" applyBorder="1" applyAlignment="1">
      <alignment horizontal="center"/>
    </xf>
    <xf numFmtId="0" fontId="0" fillId="22" borderId="0" xfId="0" applyFill="1" applyAlignment="1">
      <alignment horizontal="left"/>
    </xf>
    <xf numFmtId="3" fontId="0" fillId="22" borderId="0" xfId="0" applyNumberFormat="1" applyFill="1" applyAlignment="1">
      <alignment horizontal="left"/>
    </xf>
    <xf numFmtId="0" fontId="0" fillId="21" borderId="0" xfId="0" applyFill="1" applyAlignment="1">
      <alignment horizontal="left"/>
    </xf>
    <xf numFmtId="3" fontId="0" fillId="21" borderId="0" xfId="0" applyNumberFormat="1" applyFill="1" applyAlignment="1">
      <alignment horizontal="left"/>
    </xf>
    <xf numFmtId="0" fontId="2" fillId="22" borderId="0" xfId="0" applyFont="1" applyFill="1"/>
    <xf numFmtId="0" fontId="2" fillId="21" borderId="0" xfId="0" applyFont="1" applyFill="1"/>
    <xf numFmtId="0" fontId="15" fillId="0" borderId="0" xfId="0" applyFont="1"/>
    <xf numFmtId="9" fontId="0" fillId="13" borderId="0" xfId="1" applyFont="1" applyFill="1" applyBorder="1" applyAlignment="1">
      <alignment horizontal="center"/>
    </xf>
    <xf numFmtId="9" fontId="0" fillId="13" borderId="3" xfId="0" applyNumberFormat="1" applyFill="1" applyBorder="1" applyAlignment="1">
      <alignment horizontal="center"/>
    </xf>
    <xf numFmtId="9" fontId="17" fillId="9" borderId="0" xfId="1" applyFont="1" applyFill="1" applyAlignment="1">
      <alignment horizontal="center"/>
    </xf>
    <xf numFmtId="9" fontId="17" fillId="9" borderId="0" xfId="0" applyNumberFormat="1" applyFont="1" applyFill="1" applyAlignment="1">
      <alignment horizontal="center"/>
    </xf>
    <xf numFmtId="1" fontId="0" fillId="0" borderId="5" xfId="0" applyNumberFormat="1" applyBorder="1" applyAlignment="1">
      <alignment horizontal="center"/>
    </xf>
    <xf numFmtId="9" fontId="12" fillId="12" borderId="0" xfId="1" applyFont="1" applyFill="1" applyAlignment="1">
      <alignment horizontal="center"/>
    </xf>
    <xf numFmtId="9" fontId="12" fillId="12" borderId="0" xfId="0" applyNumberFormat="1" applyFon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" xfId="0" applyNumberFormat="1" applyFill="1" applyBorder="1" applyAlignment="1">
      <alignment horizontal="center"/>
    </xf>
    <xf numFmtId="0" fontId="2" fillId="23" borderId="25" xfId="0" applyFont="1" applyFill="1" applyBorder="1" applyAlignment="1">
      <alignment horizontal="left" vertical="center" indent="1"/>
    </xf>
    <xf numFmtId="0" fontId="2" fillId="23" borderId="25" xfId="0" applyFont="1" applyFill="1" applyBorder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18" fillId="0" borderId="0" xfId="0" applyFont="1"/>
    <xf numFmtId="0" fontId="0" fillId="20" borderId="0" xfId="0" applyFill="1" applyAlignment="1">
      <alignment horizontal="center"/>
    </xf>
    <xf numFmtId="0" fontId="0" fillId="21" borderId="1" xfId="0" applyFill="1" applyBorder="1" applyAlignment="1">
      <alignment horizontal="center"/>
    </xf>
    <xf numFmtId="9" fontId="1" fillId="21" borderId="2" xfId="1" applyFont="1" applyFill="1" applyBorder="1" applyAlignment="1">
      <alignment horizontal="center"/>
    </xf>
    <xf numFmtId="9" fontId="1" fillId="21" borderId="0" xfId="1" applyFont="1" applyFill="1" applyBorder="1" applyAlignment="1">
      <alignment horizontal="center"/>
    </xf>
    <xf numFmtId="9" fontId="1" fillId="21" borderId="1" xfId="1" applyFont="1" applyFill="1" applyBorder="1" applyAlignment="1">
      <alignment horizontal="center"/>
    </xf>
    <xf numFmtId="9" fontId="0" fillId="21" borderId="1" xfId="1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9" fontId="1" fillId="24" borderId="2" xfId="1" applyFont="1" applyFill="1" applyBorder="1" applyAlignment="1">
      <alignment horizontal="center"/>
    </xf>
    <xf numFmtId="9" fontId="1" fillId="24" borderId="0" xfId="1" applyFont="1" applyFill="1" applyBorder="1" applyAlignment="1">
      <alignment horizontal="center"/>
    </xf>
    <xf numFmtId="9" fontId="1" fillId="24" borderId="1" xfId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9" fontId="1" fillId="12" borderId="2" xfId="1" applyFont="1" applyFill="1" applyBorder="1" applyAlignment="1">
      <alignment horizontal="center"/>
    </xf>
    <xf numFmtId="9" fontId="1" fillId="12" borderId="0" xfId="1" applyFont="1" applyFill="1" applyBorder="1" applyAlignment="1">
      <alignment horizontal="center"/>
    </xf>
    <xf numFmtId="9" fontId="1" fillId="12" borderId="1" xfId="1" applyFont="1" applyFill="1" applyBorder="1" applyAlignment="1">
      <alignment horizontal="center"/>
    </xf>
    <xf numFmtId="9" fontId="6" fillId="12" borderId="1" xfId="1" applyFont="1" applyFill="1" applyBorder="1" applyAlignment="1">
      <alignment horizontal="center"/>
    </xf>
    <xf numFmtId="9" fontId="0" fillId="20" borderId="2" xfId="1" applyFont="1" applyFill="1" applyBorder="1" applyAlignment="1">
      <alignment horizontal="center"/>
    </xf>
    <xf numFmtId="9" fontId="0" fillId="20" borderId="0" xfId="1" applyFont="1" applyFill="1" applyBorder="1" applyAlignment="1">
      <alignment horizontal="center"/>
    </xf>
    <xf numFmtId="9" fontId="0" fillId="20" borderId="1" xfId="1" applyFont="1" applyFill="1" applyBorder="1" applyAlignment="1">
      <alignment horizontal="center"/>
    </xf>
    <xf numFmtId="9" fontId="2" fillId="20" borderId="15" xfId="1" applyFont="1" applyFill="1" applyBorder="1" applyAlignment="1">
      <alignment horizontal="center"/>
    </xf>
    <xf numFmtId="0" fontId="0" fillId="0" borderId="15" xfId="0" applyBorder="1"/>
    <xf numFmtId="0" fontId="4" fillId="0" borderId="15" xfId="0" applyFont="1" applyBorder="1" applyAlignment="1">
      <alignment vertical="center"/>
    </xf>
    <xf numFmtId="0" fontId="20" fillId="0" borderId="0" xfId="0" applyFont="1"/>
    <xf numFmtId="9" fontId="20" fillId="0" borderId="0" xfId="1" applyFont="1"/>
    <xf numFmtId="0" fontId="21" fillId="0" borderId="0" xfId="0" applyFont="1"/>
    <xf numFmtId="9" fontId="21" fillId="0" borderId="0" xfId="1" applyFont="1"/>
    <xf numFmtId="0" fontId="21" fillId="0" borderId="15" xfId="0" applyFont="1" applyBorder="1" applyAlignment="1">
      <alignment horizontal="center" wrapText="1"/>
    </xf>
    <xf numFmtId="9" fontId="0" fillId="0" borderId="1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9" fontId="0" fillId="25" borderId="2" xfId="1" applyFont="1" applyFill="1" applyBorder="1" applyAlignment="1">
      <alignment horizontal="center"/>
    </xf>
    <xf numFmtId="1" fontId="0" fillId="11" borderId="2" xfId="0" applyNumberFormat="1" applyFill="1" applyBorder="1" applyAlignment="1">
      <alignment horizontal="center"/>
    </xf>
    <xf numFmtId="1" fontId="0" fillId="10" borderId="2" xfId="0" applyNumberFormat="1" applyFill="1" applyBorder="1" applyAlignment="1">
      <alignment horizontal="center"/>
    </xf>
    <xf numFmtId="9" fontId="22" fillId="3" borderId="2" xfId="0" applyNumberFormat="1" applyFont="1" applyFill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9" fontId="22" fillId="0" borderId="0" xfId="0" applyNumberFormat="1" applyFont="1" applyAlignment="1">
      <alignment horizontal="center"/>
    </xf>
    <xf numFmtId="9" fontId="0" fillId="26" borderId="1" xfId="1" applyFont="1" applyFill="1" applyBorder="1" applyAlignment="1">
      <alignment horizontal="center"/>
    </xf>
    <xf numFmtId="1" fontId="0" fillId="21" borderId="1" xfId="0" applyNumberFormat="1" applyFill="1" applyBorder="1" applyAlignment="1">
      <alignment horizontal="center"/>
    </xf>
    <xf numFmtId="1" fontId="0" fillId="27" borderId="1" xfId="0" applyNumberFormat="1" applyFill="1" applyBorder="1" applyAlignment="1">
      <alignment horizontal="center"/>
    </xf>
    <xf numFmtId="9" fontId="22" fillId="12" borderId="1" xfId="1" applyFont="1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9" fontId="6" fillId="0" borderId="2" xfId="0" applyNumberFormat="1" applyFont="1" applyBorder="1" applyAlignment="1">
      <alignment horizontal="center"/>
    </xf>
    <xf numFmtId="0" fontId="0" fillId="26" borderId="0" xfId="0" applyFill="1" applyAlignment="1">
      <alignment horizontal="center"/>
    </xf>
    <xf numFmtId="9" fontId="6" fillId="0" borderId="0" xfId="0" applyNumberFormat="1" applyFont="1" applyAlignment="1">
      <alignment horizontal="center"/>
    </xf>
    <xf numFmtId="0" fontId="0" fillId="25" borderId="0" xfId="0" applyFill="1" applyAlignment="1">
      <alignment horizontal="center"/>
    </xf>
    <xf numFmtId="0" fontId="0" fillId="25" borderId="1" xfId="0" applyFill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21" borderId="0" xfId="0" applyFill="1" applyAlignment="1">
      <alignment horizontal="center"/>
    </xf>
    <xf numFmtId="0" fontId="0" fillId="27" borderId="2" xfId="0" applyFill="1" applyBorder="1" applyAlignment="1">
      <alignment horizontal="center"/>
    </xf>
    <xf numFmtId="0" fontId="0" fillId="27" borderId="0" xfId="0" applyFill="1" applyAlignment="1">
      <alignment horizontal="center"/>
    </xf>
    <xf numFmtId="0" fontId="0" fillId="12" borderId="0" xfId="0" applyFill="1" applyAlignment="1">
      <alignment horizontal="center"/>
    </xf>
    <xf numFmtId="11" fontId="0" fillId="0" borderId="2" xfId="0" applyNumberFormat="1" applyBorder="1" applyAlignment="1">
      <alignment horizontal="center"/>
    </xf>
    <xf numFmtId="172" fontId="0" fillId="0" borderId="0" xfId="0" applyNumberFormat="1"/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9" fontId="0" fillId="0" borderId="15" xfId="1" applyFont="1" applyBorder="1" applyAlignment="1">
      <alignment horizontal="center"/>
    </xf>
    <xf numFmtId="9" fontId="0" fillId="4" borderId="2" xfId="1" applyFont="1" applyFill="1" applyBorder="1" applyAlignment="1">
      <alignment horizontal="center"/>
    </xf>
    <xf numFmtId="9" fontId="0" fillId="0" borderId="1" xfId="1" quotePrefix="1" applyFont="1" applyBorder="1" applyAlignment="1">
      <alignment horizontal="center"/>
    </xf>
    <xf numFmtId="11" fontId="0" fillId="21" borderId="0" xfId="0" applyNumberFormat="1" applyFill="1" applyAlignment="1">
      <alignment horizontal="center"/>
    </xf>
    <xf numFmtId="0" fontId="2" fillId="11" borderId="0" xfId="0" applyFont="1" applyFill="1"/>
    <xf numFmtId="11" fontId="0" fillId="11" borderId="0" xfId="0" applyNumberFormat="1" applyFill="1" applyAlignment="1">
      <alignment horizontal="center"/>
    </xf>
    <xf numFmtId="0" fontId="2" fillId="10" borderId="0" xfId="0" applyFont="1" applyFill="1"/>
    <xf numFmtId="0" fontId="2" fillId="12" borderId="0" xfId="0" applyFont="1" applyFill="1"/>
    <xf numFmtId="0" fontId="2" fillId="3" borderId="0" xfId="0" applyFont="1" applyFill="1"/>
    <xf numFmtId="11" fontId="0" fillId="4" borderId="0" xfId="0" applyNumberFormat="1" applyFill="1" applyAlignment="1">
      <alignment horizontal="center"/>
    </xf>
    <xf numFmtId="0" fontId="2" fillId="4" borderId="0" xfId="0" applyFont="1" applyFill="1" applyAlignment="1">
      <alignment horizontal="left"/>
    </xf>
    <xf numFmtId="11" fontId="2" fillId="4" borderId="0" xfId="0" applyNumberFormat="1" applyFont="1" applyFill="1" applyAlignment="1">
      <alignment horizontal="center"/>
    </xf>
    <xf numFmtId="0" fontId="2" fillId="21" borderId="0" xfId="0" applyFont="1" applyFill="1" applyAlignment="1">
      <alignment horizontal="left"/>
    </xf>
    <xf numFmtId="11" fontId="2" fillId="21" borderId="0" xfId="0" applyNumberFormat="1" applyFont="1" applyFill="1" applyAlignment="1">
      <alignment horizontal="center"/>
    </xf>
    <xf numFmtId="0" fontId="2" fillId="11" borderId="0" xfId="0" applyFont="1" applyFill="1" applyAlignment="1">
      <alignment horizontal="left"/>
    </xf>
    <xf numFmtId="11" fontId="2" fillId="11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left"/>
    </xf>
    <xf numFmtId="11" fontId="2" fillId="10" borderId="0" xfId="0" applyNumberFormat="1" applyFont="1" applyFill="1" applyAlignment="1">
      <alignment horizontal="center"/>
    </xf>
    <xf numFmtId="0" fontId="2" fillId="12" borderId="0" xfId="0" applyFont="1" applyFill="1" applyAlignment="1">
      <alignment horizontal="left"/>
    </xf>
    <xf numFmtId="11" fontId="2" fillId="1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11" fontId="2" fillId="3" borderId="0" xfId="0" applyNumberFormat="1" applyFont="1" applyFill="1" applyAlignment="1">
      <alignment horizontal="center"/>
    </xf>
    <xf numFmtId="0" fontId="2" fillId="23" borderId="25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/>
    </xf>
    <xf numFmtId="0" fontId="2" fillId="25" borderId="0" xfId="0" applyFont="1" applyFill="1" applyAlignment="1">
      <alignment horizontal="left"/>
    </xf>
    <xf numFmtId="0" fontId="2" fillId="26" borderId="0" xfId="0" applyFont="1" applyFill="1" applyAlignment="1">
      <alignment horizontal="left"/>
    </xf>
    <xf numFmtId="9" fontId="2" fillId="26" borderId="2" xfId="1" applyFont="1" applyFill="1" applyBorder="1" applyAlignment="1">
      <alignment horizontal="center"/>
    </xf>
    <xf numFmtId="9" fontId="2" fillId="25" borderId="0" xfId="1" applyFont="1" applyFill="1" applyAlignment="1">
      <alignment horizontal="center"/>
    </xf>
    <xf numFmtId="9" fontId="2" fillId="26" borderId="0" xfId="1" applyFont="1" applyFill="1" applyBorder="1" applyAlignment="1">
      <alignment horizontal="center"/>
    </xf>
    <xf numFmtId="9" fontId="2" fillId="25" borderId="0" xfId="1" applyFont="1" applyFill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5" xfId="0" applyFont="1" applyBorder="1"/>
    <xf numFmtId="0" fontId="0" fillId="11" borderId="15" xfId="0" applyFill="1" applyBorder="1" applyAlignment="1">
      <alignment horizontal="center"/>
    </xf>
    <xf numFmtId="0" fontId="8" fillId="11" borderId="15" xfId="0" applyFon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" xfId="0" applyNumberFormat="1" applyFill="1" applyBorder="1" applyAlignment="1">
      <alignment horizontal="center"/>
    </xf>
    <xf numFmtId="9" fontId="0" fillId="11" borderId="1" xfId="1" applyFont="1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8" fillId="18" borderId="15" xfId="0" applyFont="1" applyFill="1" applyBorder="1" applyAlignment="1">
      <alignment horizontal="center"/>
    </xf>
    <xf numFmtId="2" fontId="0" fillId="18" borderId="0" xfId="0" applyNumberFormat="1" applyFill="1" applyAlignment="1">
      <alignment horizontal="center"/>
    </xf>
    <xf numFmtId="9" fontId="0" fillId="18" borderId="0" xfId="1" applyFont="1" applyFill="1" applyBorder="1" applyAlignment="1">
      <alignment horizontal="center"/>
    </xf>
    <xf numFmtId="2" fontId="0" fillId="18" borderId="1" xfId="0" applyNumberFormat="1" applyFill="1" applyBorder="1" applyAlignment="1">
      <alignment horizontal="center"/>
    </xf>
    <xf numFmtId="9" fontId="0" fillId="18" borderId="1" xfId="1" applyFon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8" fillId="10" borderId="15" xfId="0" applyFont="1" applyFill="1" applyBorder="1" applyAlignment="1">
      <alignment horizontal="center"/>
    </xf>
    <xf numFmtId="0" fontId="0" fillId="28" borderId="15" xfId="0" applyFill="1" applyBorder="1" applyAlignment="1">
      <alignment horizontal="center"/>
    </xf>
    <xf numFmtId="0" fontId="8" fillId="28" borderId="15" xfId="0" applyFont="1" applyFill="1" applyBorder="1" applyAlignment="1">
      <alignment horizontal="center"/>
    </xf>
    <xf numFmtId="2" fontId="0" fillId="28" borderId="0" xfId="0" applyNumberFormat="1" applyFill="1" applyAlignment="1">
      <alignment horizontal="center"/>
    </xf>
    <xf numFmtId="9" fontId="0" fillId="28" borderId="0" xfId="1" applyFont="1" applyFill="1" applyBorder="1" applyAlignment="1">
      <alignment horizontal="center"/>
    </xf>
    <xf numFmtId="2" fontId="0" fillId="28" borderId="1" xfId="0" applyNumberFormat="1" applyFill="1" applyBorder="1" applyAlignment="1">
      <alignment horizontal="center"/>
    </xf>
    <xf numFmtId="0" fontId="8" fillId="30" borderId="15" xfId="0" applyFont="1" applyFill="1" applyBorder="1" applyAlignment="1">
      <alignment horizontal="center"/>
    </xf>
    <xf numFmtId="2" fontId="0" fillId="30" borderId="0" xfId="0" applyNumberFormat="1" applyFill="1" applyAlignment="1">
      <alignment horizontal="center"/>
    </xf>
    <xf numFmtId="9" fontId="0" fillId="30" borderId="0" xfId="1" applyFont="1" applyFill="1" applyBorder="1" applyAlignment="1">
      <alignment horizontal="center"/>
    </xf>
    <xf numFmtId="2" fontId="0" fillId="30" borderId="1" xfId="0" applyNumberFormat="1" applyFill="1" applyBorder="1" applyAlignment="1">
      <alignment horizontal="center"/>
    </xf>
    <xf numFmtId="9" fontId="0" fillId="30" borderId="1" xfId="1" applyFont="1" applyFill="1" applyBorder="1" applyAlignment="1">
      <alignment horizontal="center"/>
    </xf>
    <xf numFmtId="0" fontId="8" fillId="31" borderId="15" xfId="0" applyFont="1" applyFill="1" applyBorder="1" applyAlignment="1">
      <alignment horizontal="center"/>
    </xf>
    <xf numFmtId="2" fontId="0" fillId="31" borderId="0" xfId="0" applyNumberFormat="1" applyFill="1" applyAlignment="1">
      <alignment horizontal="center"/>
    </xf>
    <xf numFmtId="9" fontId="0" fillId="31" borderId="0" xfId="1" applyFont="1" applyFill="1" applyBorder="1" applyAlignment="1">
      <alignment horizontal="center"/>
    </xf>
    <xf numFmtId="2" fontId="0" fillId="31" borderId="1" xfId="0" applyNumberFormat="1" applyFill="1" applyBorder="1" applyAlignment="1">
      <alignment horizontal="center"/>
    </xf>
    <xf numFmtId="9" fontId="0" fillId="31" borderId="1" xfId="1" applyFont="1" applyFill="1" applyBorder="1" applyAlignment="1">
      <alignment horizontal="center"/>
    </xf>
    <xf numFmtId="2" fontId="6" fillId="3" borderId="0" xfId="0" applyNumberFormat="1" applyFont="1" applyFill="1" applyAlignment="1">
      <alignment horizontal="center"/>
    </xf>
    <xf numFmtId="9" fontId="6" fillId="3" borderId="0" xfId="1" applyFont="1" applyFill="1" applyBorder="1" applyAlignment="1">
      <alignment horizontal="center"/>
    </xf>
    <xf numFmtId="9" fontId="15" fillId="0" borderId="0" xfId="0" applyNumberFormat="1" applyFont="1" applyAlignment="1">
      <alignment horizontal="center"/>
    </xf>
    <xf numFmtId="2" fontId="15" fillId="29" borderId="0" xfId="0" applyNumberFormat="1" applyFont="1" applyFill="1" applyAlignment="1">
      <alignment horizontal="center"/>
    </xf>
    <xf numFmtId="9" fontId="15" fillId="29" borderId="0" xfId="1" applyFont="1" applyFill="1" applyBorder="1" applyAlignment="1">
      <alignment horizontal="center"/>
    </xf>
    <xf numFmtId="9" fontId="15" fillId="0" borderId="1" xfId="0" applyNumberFormat="1" applyFont="1" applyBorder="1" applyAlignment="1">
      <alignment horizontal="center"/>
    </xf>
    <xf numFmtId="2" fontId="15" fillId="29" borderId="1" xfId="0" applyNumberFormat="1" applyFont="1" applyFill="1" applyBorder="1" applyAlignment="1">
      <alignment horizontal="center"/>
    </xf>
    <xf numFmtId="9" fontId="15" fillId="29" borderId="1" xfId="1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9" fontId="0" fillId="28" borderId="1" xfId="1" applyFont="1" applyFill="1" applyBorder="1" applyAlignment="1">
      <alignment horizontal="center"/>
    </xf>
    <xf numFmtId="9" fontId="6" fillId="3" borderId="1" xfId="1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25" fillId="3" borderId="15" xfId="0" applyFont="1" applyFill="1" applyBorder="1" applyAlignment="1">
      <alignment horizontal="center"/>
    </xf>
    <xf numFmtId="0" fontId="15" fillId="29" borderId="15" xfId="0" applyFont="1" applyFill="1" applyBorder="1" applyAlignment="1">
      <alignment horizontal="center"/>
    </xf>
    <xf numFmtId="0" fontId="27" fillId="29" borderId="15" xfId="0" applyFont="1" applyFill="1" applyBorder="1" applyAlignment="1">
      <alignment horizontal="center"/>
    </xf>
    <xf numFmtId="0" fontId="0" fillId="2" borderId="15" xfId="0" applyFill="1" applyBorder="1"/>
    <xf numFmtId="2" fontId="0" fillId="2" borderId="15" xfId="0" applyNumberFormat="1" applyFill="1" applyBorder="1" applyAlignment="1">
      <alignment horizontal="center"/>
    </xf>
    <xf numFmtId="11" fontId="0" fillId="2" borderId="15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2" xfId="0" applyFill="1" applyBorder="1"/>
    <xf numFmtId="1" fontId="0" fillId="0" borderId="15" xfId="0" applyNumberFormat="1" applyBorder="1" applyAlignment="1">
      <alignment horizontal="center"/>
    </xf>
    <xf numFmtId="11" fontId="0" fillId="0" borderId="0" xfId="1" applyNumberFormat="1" applyFont="1" applyBorder="1" applyAlignment="1">
      <alignment horizontal="center"/>
    </xf>
    <xf numFmtId="1" fontId="0" fillId="0" borderId="2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0" borderId="0" xfId="0" applyNumberFormat="1"/>
    <xf numFmtId="2" fontId="0" fillId="0" borderId="2" xfId="1" applyNumberFormat="1" applyFont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0" fontId="5" fillId="0" borderId="0" xfId="2"/>
    <xf numFmtId="10" fontId="0" fillId="0" borderId="0" xfId="0" applyNumberFormat="1"/>
    <xf numFmtId="0" fontId="20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1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4">
    <cellStyle name="Collegamento ipertestuale" xfId="2" builtinId="8"/>
    <cellStyle name="Collegamento ipertestuale 2" xfId="3" xr:uid="{8C7A73DF-18F7-4294-8A1B-FA1AECE80689}"/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FF7D7D"/>
      <color rgb="FFC1FFC1"/>
      <color rgb="FFB6B6CE"/>
      <color rgb="FFFFD9F5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471716</xdr:colOff>
      <xdr:row>33</xdr:row>
      <xdr:rowOff>54428</xdr:rowOff>
    </xdr:from>
    <xdr:to>
      <xdr:col>7</xdr:col>
      <xdr:colOff>429716</xdr:colOff>
      <xdr:row>33</xdr:row>
      <xdr:rowOff>54428</xdr:rowOff>
    </xdr:to>
    <xdr:cxnSp macro="">
      <xdr:nvCxnSpPr>
        <xdr:cNvPr id="2" name="Connettore 2 1">
          <a:extLst>
            <a:ext uri="{FF2B5EF4-FFF2-40B4-BE49-F238E27FC236}">
              <a16:creationId xmlns:a16="http://schemas.microsoft.com/office/drawing/2014/main" id="{778CCADB-FFF8-4D38-BEB5-2DD766F1DB07}"/>
            </a:ext>
          </a:extLst>
        </xdr:cNvPr>
        <xdr:cNvCxnSpPr/>
      </xdr:nvCxnSpPr>
      <xdr:spPr>
        <a:xfrm>
          <a:off x="6803573" y="6041571"/>
          <a:ext cx="710929" cy="0"/>
        </a:xfrm>
        <a:prstGeom prst="straightConnector1">
          <a:avLst/>
        </a:prstGeom>
        <a:ln w="381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850255</xdr:colOff>
      <xdr:row>7</xdr:row>
      <xdr:rowOff>139915</xdr:rowOff>
    </xdr:from>
    <xdr:to>
      <xdr:col>9</xdr:col>
      <xdr:colOff>605569</xdr:colOff>
      <xdr:row>10</xdr:row>
      <xdr:rowOff>137023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38C1097-2F62-402F-9C1B-9128B2D12932}"/>
            </a:ext>
          </a:extLst>
        </xdr:cNvPr>
        <xdr:cNvSpPr txBox="1"/>
      </xdr:nvSpPr>
      <xdr:spPr>
        <a:xfrm>
          <a:off x="9352797" y="1603644"/>
          <a:ext cx="616331" cy="5460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</a:p>
      </xdr:txBody>
    </xdr:sp>
    <xdr:clientData/>
  </xdr:twoCellAnchor>
  <xdr:twoCellAnchor>
    <xdr:from>
      <xdr:col>9</xdr:col>
      <xdr:colOff>7927</xdr:colOff>
      <xdr:row>94</xdr:row>
      <xdr:rowOff>90998</xdr:rowOff>
    </xdr:from>
    <xdr:to>
      <xdr:col>10</xdr:col>
      <xdr:colOff>33924</xdr:colOff>
      <xdr:row>95</xdr:row>
      <xdr:rowOff>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88D9DC3E-11EB-40BF-A378-96B55F809457}"/>
            </a:ext>
          </a:extLst>
        </xdr:cNvPr>
        <xdr:cNvSpPr txBox="1"/>
      </xdr:nvSpPr>
      <xdr:spPr>
        <a:xfrm>
          <a:off x="7640627" y="14499148"/>
          <a:ext cx="934047" cy="3815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Q'</a:t>
          </a:r>
        </a:p>
      </xdr:txBody>
    </xdr:sp>
    <xdr:clientData/>
  </xdr:twoCellAnchor>
  <xdr:twoCellAnchor>
    <xdr:from>
      <xdr:col>8</xdr:col>
      <xdr:colOff>387460</xdr:colOff>
      <xdr:row>2</xdr:row>
      <xdr:rowOff>107628</xdr:rowOff>
    </xdr:from>
    <xdr:to>
      <xdr:col>8</xdr:col>
      <xdr:colOff>839494</xdr:colOff>
      <xdr:row>4</xdr:row>
      <xdr:rowOff>161442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E527358E-A904-494D-81D9-7ADC447C15DB}"/>
            </a:ext>
          </a:extLst>
        </xdr:cNvPr>
        <xdr:cNvSpPr txBox="1"/>
      </xdr:nvSpPr>
      <xdr:spPr>
        <a:xfrm>
          <a:off x="8890002" y="473560"/>
          <a:ext cx="452034" cy="4197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23889</xdr:colOff>
      <xdr:row>27</xdr:row>
      <xdr:rowOff>19352</xdr:rowOff>
    </xdr:from>
    <xdr:to>
      <xdr:col>29</xdr:col>
      <xdr:colOff>57151</xdr:colOff>
      <xdr:row>29</xdr:row>
      <xdr:rowOff>42333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21B6560-145A-4550-B22E-F2D66541FF2A}"/>
            </a:ext>
          </a:extLst>
        </xdr:cNvPr>
        <xdr:cNvSpPr txBox="1"/>
      </xdr:nvSpPr>
      <xdr:spPr>
        <a:xfrm>
          <a:off x="20635989" y="5035852"/>
          <a:ext cx="674612" cy="391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</a:p>
      </xdr:txBody>
    </xdr:sp>
    <xdr:clientData/>
  </xdr:twoCellAnchor>
  <xdr:twoCellAnchor>
    <xdr:from>
      <xdr:col>27</xdr:col>
      <xdr:colOff>95250</xdr:colOff>
      <xdr:row>3</xdr:row>
      <xdr:rowOff>29938</xdr:rowOff>
    </xdr:from>
    <xdr:to>
      <xdr:col>27</xdr:col>
      <xdr:colOff>603250</xdr:colOff>
      <xdr:row>6</xdr:row>
      <xdr:rowOff>21168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9BE0B6F8-ADCE-4C2E-973F-C9D1714708B6}"/>
            </a:ext>
          </a:extLst>
        </xdr:cNvPr>
        <xdr:cNvSpPr txBox="1"/>
      </xdr:nvSpPr>
      <xdr:spPr>
        <a:xfrm>
          <a:off x="20097750" y="588738"/>
          <a:ext cx="508000" cy="543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  <xdr:twoCellAnchor>
    <xdr:from>
      <xdr:col>27</xdr:col>
      <xdr:colOff>148167</xdr:colOff>
      <xdr:row>132</xdr:row>
      <xdr:rowOff>10583</xdr:rowOff>
    </xdr:from>
    <xdr:to>
      <xdr:col>28</xdr:col>
      <xdr:colOff>170845</xdr:colOff>
      <xdr:row>134</xdr:row>
      <xdr:rowOff>31751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5FE97E15-9711-4F2E-9280-1FCAB99182FD}"/>
            </a:ext>
          </a:extLst>
        </xdr:cNvPr>
        <xdr:cNvSpPr txBox="1"/>
      </xdr:nvSpPr>
      <xdr:spPr>
        <a:xfrm>
          <a:off x="20150667" y="24451733"/>
          <a:ext cx="632278" cy="389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  <xdr:twoCellAnchor>
    <xdr:from>
      <xdr:col>58</xdr:col>
      <xdr:colOff>0</xdr:colOff>
      <xdr:row>3</xdr:row>
      <xdr:rowOff>0</xdr:rowOff>
    </xdr:from>
    <xdr:to>
      <xdr:col>58</xdr:col>
      <xdr:colOff>608843</xdr:colOff>
      <xdr:row>5</xdr:row>
      <xdr:rowOff>95099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C19DF336-87BB-411E-AD88-2DADB8D704A4}"/>
            </a:ext>
          </a:extLst>
        </xdr:cNvPr>
        <xdr:cNvSpPr txBox="1"/>
      </xdr:nvSpPr>
      <xdr:spPr>
        <a:xfrm>
          <a:off x="40455850" y="558800"/>
          <a:ext cx="608843" cy="463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  <xdr:twoCellAnchor>
    <xdr:from>
      <xdr:col>52</xdr:col>
      <xdr:colOff>85298</xdr:colOff>
      <xdr:row>50</xdr:row>
      <xdr:rowOff>169333</xdr:rowOff>
    </xdr:from>
    <xdr:to>
      <xdr:col>52</xdr:col>
      <xdr:colOff>721810</xdr:colOff>
      <xdr:row>54</xdr:row>
      <xdr:rowOff>756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55B88122-F676-4A3B-B7AB-A13E3A5F624D}"/>
            </a:ext>
          </a:extLst>
        </xdr:cNvPr>
        <xdr:cNvSpPr txBox="1"/>
      </xdr:nvSpPr>
      <xdr:spPr>
        <a:xfrm>
          <a:off x="35359548" y="9453033"/>
          <a:ext cx="636512" cy="5743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27</xdr:col>
      <xdr:colOff>603250</xdr:colOff>
      <xdr:row>126</xdr:row>
      <xdr:rowOff>137583</xdr:rowOff>
    </xdr:from>
    <xdr:to>
      <xdr:col>29</xdr:col>
      <xdr:colOff>22679</xdr:colOff>
      <xdr:row>128</xdr:row>
      <xdr:rowOff>139397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029AF0C3-B93F-4B64-9B58-11A6C663197A}"/>
            </a:ext>
          </a:extLst>
        </xdr:cNvPr>
        <xdr:cNvSpPr txBox="1"/>
      </xdr:nvSpPr>
      <xdr:spPr>
        <a:xfrm>
          <a:off x="20605750" y="23461133"/>
          <a:ext cx="670379" cy="38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Q'</a:t>
          </a:r>
        </a:p>
      </xdr:txBody>
    </xdr:sp>
    <xdr:clientData/>
  </xdr:twoCellAnchor>
  <xdr:twoCellAnchor>
    <xdr:from>
      <xdr:col>59</xdr:col>
      <xdr:colOff>592667</xdr:colOff>
      <xdr:row>3</xdr:row>
      <xdr:rowOff>42334</xdr:rowOff>
    </xdr:from>
    <xdr:to>
      <xdr:col>61</xdr:col>
      <xdr:colOff>12095</xdr:colOff>
      <xdr:row>5</xdr:row>
      <xdr:rowOff>65314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C06EF8FE-A6E7-4AF6-9BDD-D11725453A7E}"/>
            </a:ext>
          </a:extLst>
        </xdr:cNvPr>
        <xdr:cNvSpPr txBox="1"/>
      </xdr:nvSpPr>
      <xdr:spPr>
        <a:xfrm>
          <a:off x="41658117" y="601134"/>
          <a:ext cx="638628" cy="3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</a:t>
          </a:r>
        </a:p>
      </xdr:txBody>
    </xdr:sp>
    <xdr:clientData/>
  </xdr:twoCellAnchor>
  <xdr:twoCellAnchor>
    <xdr:from>
      <xdr:col>60</xdr:col>
      <xdr:colOff>4233</xdr:colOff>
      <xdr:row>27</xdr:row>
      <xdr:rowOff>25401</xdr:rowOff>
    </xdr:from>
    <xdr:to>
      <xdr:col>61</xdr:col>
      <xdr:colOff>37495</xdr:colOff>
      <xdr:row>29</xdr:row>
      <xdr:rowOff>48381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9018E918-84D2-4BFC-9337-EC65146BD0D2}"/>
            </a:ext>
          </a:extLst>
        </xdr:cNvPr>
        <xdr:cNvSpPr txBox="1"/>
      </xdr:nvSpPr>
      <xdr:spPr>
        <a:xfrm>
          <a:off x="41679283" y="5041901"/>
          <a:ext cx="642862" cy="391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</a:p>
      </xdr:txBody>
    </xdr:sp>
    <xdr:clientData/>
  </xdr:twoCellAnchor>
  <xdr:twoCellAnchor>
    <xdr:from>
      <xdr:col>28</xdr:col>
      <xdr:colOff>31750</xdr:colOff>
      <xdr:row>156</xdr:row>
      <xdr:rowOff>95250</xdr:rowOff>
    </xdr:from>
    <xdr:to>
      <xdr:col>29</xdr:col>
      <xdr:colOff>65011</xdr:colOff>
      <xdr:row>158</xdr:row>
      <xdr:rowOff>127755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3DBCFDB6-98C1-4DB1-8BF0-3B93C7774EC5}"/>
            </a:ext>
          </a:extLst>
        </xdr:cNvPr>
        <xdr:cNvSpPr txBox="1"/>
      </xdr:nvSpPr>
      <xdr:spPr>
        <a:xfrm>
          <a:off x="20643850" y="28987750"/>
          <a:ext cx="674611" cy="400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51</xdr:col>
      <xdr:colOff>190500</xdr:colOff>
      <xdr:row>177</xdr:row>
      <xdr:rowOff>95249</xdr:rowOff>
    </xdr:from>
    <xdr:to>
      <xdr:col>52</xdr:col>
      <xdr:colOff>213180</xdr:colOff>
      <xdr:row>179</xdr:row>
      <xdr:rowOff>127756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72EA5376-243D-468F-8CFD-1A923AFA366F}"/>
            </a:ext>
          </a:extLst>
        </xdr:cNvPr>
        <xdr:cNvSpPr txBox="1"/>
      </xdr:nvSpPr>
      <xdr:spPr>
        <a:xfrm>
          <a:off x="34855150" y="32886649"/>
          <a:ext cx="632280" cy="400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58</xdr:col>
      <xdr:colOff>63500</xdr:colOff>
      <xdr:row>131</xdr:row>
      <xdr:rowOff>137583</xdr:rowOff>
    </xdr:from>
    <xdr:to>
      <xdr:col>59</xdr:col>
      <xdr:colOff>58513</xdr:colOff>
      <xdr:row>134</xdr:row>
      <xdr:rowOff>116418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D04E7AAF-B66A-4F01-87E1-3377257D9FF4}"/>
            </a:ext>
          </a:extLst>
        </xdr:cNvPr>
        <xdr:cNvSpPr txBox="1"/>
      </xdr:nvSpPr>
      <xdr:spPr>
        <a:xfrm>
          <a:off x="40519350" y="24394583"/>
          <a:ext cx="604613" cy="531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545160</xdr:colOff>
      <xdr:row>20</xdr:row>
      <xdr:rowOff>142164</xdr:rowOff>
    </xdr:from>
    <xdr:to>
      <xdr:col>22</xdr:col>
      <xdr:colOff>616331</xdr:colOff>
      <xdr:row>28</xdr:row>
      <xdr:rowOff>180074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F82C690-667F-4665-A100-7613C8E8F286}"/>
            </a:ext>
          </a:extLst>
        </xdr:cNvPr>
        <xdr:cNvSpPr txBox="1"/>
      </xdr:nvSpPr>
      <xdr:spPr>
        <a:xfrm>
          <a:off x="21506510" y="4968164"/>
          <a:ext cx="680771" cy="965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</a:p>
      </xdr:txBody>
    </xdr:sp>
    <xdr:clientData/>
  </xdr:twoCellAnchor>
  <xdr:twoCellAnchor>
    <xdr:from>
      <xdr:col>21</xdr:col>
      <xdr:colOff>0</xdr:colOff>
      <xdr:row>2</xdr:row>
      <xdr:rowOff>172103</xdr:rowOff>
    </xdr:from>
    <xdr:to>
      <xdr:col>21</xdr:col>
      <xdr:colOff>400539</xdr:colOff>
      <xdr:row>5</xdr:row>
      <xdr:rowOff>97692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12F55709-3AE8-496F-BBF4-9A2EFAADA726}"/>
            </a:ext>
          </a:extLst>
        </xdr:cNvPr>
        <xdr:cNvSpPr txBox="1"/>
      </xdr:nvSpPr>
      <xdr:spPr>
        <a:xfrm>
          <a:off x="16773769" y="543334"/>
          <a:ext cx="400539" cy="492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  <xdr:twoCellAnchor>
    <xdr:from>
      <xdr:col>21</xdr:col>
      <xdr:colOff>148168</xdr:colOff>
      <xdr:row>154</xdr:row>
      <xdr:rowOff>10583</xdr:rowOff>
    </xdr:from>
    <xdr:to>
      <xdr:col>21</xdr:col>
      <xdr:colOff>559180</xdr:colOff>
      <xdr:row>155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98FE8A40-0D35-4F4D-A554-ECEEA9F97B90}"/>
            </a:ext>
          </a:extLst>
        </xdr:cNvPr>
        <xdr:cNvSpPr txBox="1"/>
      </xdr:nvSpPr>
      <xdr:spPr>
        <a:xfrm>
          <a:off x="21109518" y="25188333"/>
          <a:ext cx="411012" cy="357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  <xdr:twoCellAnchor>
    <xdr:from>
      <xdr:col>82</xdr:col>
      <xdr:colOff>0</xdr:colOff>
      <xdr:row>3</xdr:row>
      <xdr:rowOff>18955</xdr:rowOff>
    </xdr:from>
    <xdr:to>
      <xdr:col>82</xdr:col>
      <xdr:colOff>537308</xdr:colOff>
      <xdr:row>5</xdr:row>
      <xdr:rowOff>136769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F2A81CE1-FB48-4491-A8C0-E608012AC73E}"/>
            </a:ext>
          </a:extLst>
        </xdr:cNvPr>
        <xdr:cNvSpPr txBox="1"/>
      </xdr:nvSpPr>
      <xdr:spPr>
        <a:xfrm>
          <a:off x="62317923" y="585570"/>
          <a:ext cx="537308" cy="489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  <xdr:twoCellAnchor>
    <xdr:from>
      <xdr:col>76</xdr:col>
      <xdr:colOff>208508</xdr:colOff>
      <xdr:row>74</xdr:row>
      <xdr:rowOff>161120</xdr:rowOff>
    </xdr:from>
    <xdr:to>
      <xdr:col>76</xdr:col>
      <xdr:colOff>845020</xdr:colOff>
      <xdr:row>76</xdr:row>
      <xdr:rowOff>161875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26F6F00-B98A-40C0-ACCE-D933F2C8A08A}"/>
            </a:ext>
          </a:extLst>
        </xdr:cNvPr>
        <xdr:cNvSpPr txBox="1"/>
      </xdr:nvSpPr>
      <xdr:spPr>
        <a:xfrm>
          <a:off x="48100208" y="11654620"/>
          <a:ext cx="636512" cy="375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22</xdr:col>
      <xdr:colOff>72503</xdr:colOff>
      <xdr:row>149</xdr:row>
      <xdr:rowOff>4897</xdr:rowOff>
    </xdr:from>
    <xdr:to>
      <xdr:col>23</xdr:col>
      <xdr:colOff>98500</xdr:colOff>
      <xdr:row>151</xdr:row>
      <xdr:rowOff>16190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5989C3CF-40FF-4EFC-A4A8-6FB2C70A919D}"/>
            </a:ext>
          </a:extLst>
        </xdr:cNvPr>
        <xdr:cNvSpPr txBox="1"/>
      </xdr:nvSpPr>
      <xdr:spPr>
        <a:xfrm>
          <a:off x="21643453" y="24255547"/>
          <a:ext cx="959447" cy="385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Q'</a:t>
          </a:r>
        </a:p>
      </xdr:txBody>
    </xdr:sp>
    <xdr:clientData/>
  </xdr:twoCellAnchor>
  <xdr:twoCellAnchor>
    <xdr:from>
      <xdr:col>84</xdr:col>
      <xdr:colOff>128263</xdr:colOff>
      <xdr:row>2</xdr:row>
      <xdr:rowOff>156063</xdr:rowOff>
    </xdr:from>
    <xdr:to>
      <xdr:col>84</xdr:col>
      <xdr:colOff>556846</xdr:colOff>
      <xdr:row>5</xdr:row>
      <xdr:rowOff>29307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785CAEF2-3038-4807-B459-1B3122998377}"/>
            </a:ext>
          </a:extLst>
        </xdr:cNvPr>
        <xdr:cNvSpPr txBox="1"/>
      </xdr:nvSpPr>
      <xdr:spPr>
        <a:xfrm>
          <a:off x="63725955" y="527294"/>
          <a:ext cx="428583" cy="439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</a:t>
          </a:r>
        </a:p>
      </xdr:txBody>
    </xdr:sp>
    <xdr:clientData/>
  </xdr:twoCellAnchor>
  <xdr:twoCellAnchor>
    <xdr:from>
      <xdr:col>84</xdr:col>
      <xdr:colOff>99009</xdr:colOff>
      <xdr:row>21</xdr:row>
      <xdr:rowOff>1</xdr:rowOff>
    </xdr:from>
    <xdr:to>
      <xdr:col>85</xdr:col>
      <xdr:colOff>87923</xdr:colOff>
      <xdr:row>23</xdr:row>
      <xdr:rowOff>39078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7FD8AED5-9516-497B-AFD9-8E50CBD1930E}"/>
            </a:ext>
          </a:extLst>
        </xdr:cNvPr>
        <xdr:cNvSpPr txBox="1"/>
      </xdr:nvSpPr>
      <xdr:spPr>
        <a:xfrm>
          <a:off x="67829086" y="5080001"/>
          <a:ext cx="594606" cy="4103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</a:p>
      </xdr:txBody>
    </xdr:sp>
    <xdr:clientData/>
  </xdr:twoCellAnchor>
  <xdr:twoCellAnchor>
    <xdr:from>
      <xdr:col>22</xdr:col>
      <xdr:colOff>22272</xdr:colOff>
      <xdr:row>171</xdr:row>
      <xdr:rowOff>152115</xdr:rowOff>
    </xdr:from>
    <xdr:to>
      <xdr:col>23</xdr:col>
      <xdr:colOff>55533</xdr:colOff>
      <xdr:row>174</xdr:row>
      <xdr:rowOff>4546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2C30E07F-9F31-49F1-9576-98D3FDE5EF5D}"/>
            </a:ext>
          </a:extLst>
        </xdr:cNvPr>
        <xdr:cNvSpPr txBox="1"/>
      </xdr:nvSpPr>
      <xdr:spPr>
        <a:xfrm>
          <a:off x="21593222" y="29597065"/>
          <a:ext cx="966711" cy="404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76</xdr:col>
      <xdr:colOff>37911</xdr:colOff>
      <xdr:row>225</xdr:row>
      <xdr:rowOff>133159</xdr:rowOff>
    </xdr:from>
    <xdr:to>
      <xdr:col>76</xdr:col>
      <xdr:colOff>251091</xdr:colOff>
      <xdr:row>227</xdr:row>
      <xdr:rowOff>161120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FE35F092-C1BC-4B5A-9516-99E970F29AC6}"/>
            </a:ext>
          </a:extLst>
        </xdr:cNvPr>
        <xdr:cNvSpPr txBox="1"/>
      </xdr:nvSpPr>
      <xdr:spPr>
        <a:xfrm>
          <a:off x="47929611" y="36239259"/>
          <a:ext cx="213180" cy="396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82</xdr:col>
      <xdr:colOff>54023</xdr:colOff>
      <xdr:row>153</xdr:row>
      <xdr:rowOff>14374</xdr:rowOff>
    </xdr:from>
    <xdr:to>
      <xdr:col>83</xdr:col>
      <xdr:colOff>314409</xdr:colOff>
      <xdr:row>155</xdr:row>
      <xdr:rowOff>0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3E9629C1-17B6-4C04-B162-52BD9D513799}"/>
            </a:ext>
          </a:extLst>
        </xdr:cNvPr>
        <xdr:cNvSpPr txBox="1"/>
      </xdr:nvSpPr>
      <xdr:spPr>
        <a:xfrm>
          <a:off x="53235273" y="25007974"/>
          <a:ext cx="869986" cy="527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bor\Documents\GitHub\desktop-tutorial\SteelTransition_EU\Add_sectors\Life%20Cycle%20Inventory\LCI%20e%20SUT%20steel%20production.xlsx" TargetMode="External"/><Relationship Id="rId1" Type="http://schemas.openxmlformats.org/officeDocument/2006/relationships/externalLinkPath" Target="LCI%20e%20SUT%20steel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bor\Documents\GitHub\desktop-tutorial\SteelTransition_EU\Add_sectors\Life%20Cycle%20Inventory\LCI%20e%20SUT%20hydrogen%20production.xlsx" TargetMode="External"/><Relationship Id="rId1" Type="http://schemas.openxmlformats.org/officeDocument/2006/relationships/externalLinkPath" Target="LCI%20e%20SUT%20hydrogen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polimi365-my.sharepoint.com/personal/10421550_polimi_it/Documents/Documenti/Tesi%20di%20laurea/2022_23_Ghezzi_H2%20industry/Bibliography/Suddivisione%20input%20in%20regioni/World%20Integrated%20Trade%20Solution%20-%20Limestone%20Flux%202022.xlsx" TargetMode="External"/><Relationship Id="rId2" Type="http://schemas.microsoft.com/office/2019/04/relationships/externalLinkLongPath" Target="https://polimi365-my.sharepoint.com/personal/10421550_polimi_it/Documents/Documenti/Tesi%20di%20laurea/2022_23_Ghezzi_H2%20industry/Bibliography/Suddivisione%20input%20in%20regioni/World%20Integrated%20Trade%20Solution%20-%20Limestone%20Flux%202022.xlsx?9C4D96DA" TargetMode="External"/><Relationship Id="rId1" Type="http://schemas.openxmlformats.org/officeDocument/2006/relationships/externalLinkPath" Target="file:///\\9C4D96DA\World%20Integrated%20Trade%20Solution%20-%20Limestone%20Flux%202022.xlsx" TargetMode="External"/></Relationships>
</file>

<file path=xl/externalLinks/_rels/externalLink4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polimi365-my.sharepoint.com/personal/10421550_polimi_it/Documents/Documenti/Tesi%20di%20laurea/2022_23_Ghezzi_H2%20industry/Bibliography/Suddivisione%20input%20in%20regioni/World%20Integrated%20Trade%20Solution%20-%20Oxygen%202022.xlsx" TargetMode="External"/><Relationship Id="rId2" Type="http://schemas.microsoft.com/office/2019/04/relationships/externalLinkLongPath" Target="https://polimi365-my.sharepoint.com/personal/10421550_polimi_it/Documents/Documenti/Tesi%20di%20laurea/2022_23_Ghezzi_H2%20industry/Bibliography/Suddivisione%20input%20in%20regioni/World%20Integrated%20Trade%20Solution%20-%20Oxygen%202022.xlsx?9C4D96DA" TargetMode="External"/><Relationship Id="rId1" Type="http://schemas.openxmlformats.org/officeDocument/2006/relationships/externalLinkPath" Target="file:///\\9C4D96DA\World%20Integrated%20Trade%20Solution%20-%20Oxygen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eel_BF-BOF with H2"/>
      <sheetName val="Steel_BF-BOF with char (+CCUS)"/>
      <sheetName val="Steel_NG-DR"/>
      <sheetName val="Steel_100%H2-DR"/>
      <sheetName val="CO2 footprint"/>
      <sheetName val="Value added"/>
      <sheetName val="SUT_EU27"/>
      <sheetName val="MSUT"/>
      <sheetName val="Inputs by region "/>
    </sheetNames>
    <sheetDataSet>
      <sheetData sheetId="0">
        <row r="11">
          <cell r="C11">
            <v>120</v>
          </cell>
          <cell r="E11">
            <v>0.2</v>
          </cell>
          <cell r="M11">
            <v>8.3750000000000005E-2</v>
          </cell>
        </row>
        <row r="12">
          <cell r="C12">
            <v>3</v>
          </cell>
          <cell r="E12">
            <v>0.8</v>
          </cell>
        </row>
        <row r="13">
          <cell r="C13">
            <v>1.109</v>
          </cell>
        </row>
        <row r="27">
          <cell r="N27">
            <v>0.53487312890006922</v>
          </cell>
        </row>
        <row r="28">
          <cell r="N28">
            <v>0.3367119089825128</v>
          </cell>
        </row>
        <row r="29">
          <cell r="N29">
            <v>8.1006938042667512E-5</v>
          </cell>
        </row>
        <row r="30">
          <cell r="N30">
            <v>1.5761751018596334E-2</v>
          </cell>
        </row>
        <row r="31">
          <cell r="N31">
            <v>2.1880488981736404E-2</v>
          </cell>
        </row>
        <row r="32">
          <cell r="N32">
            <v>9.0691715179042606E-2</v>
          </cell>
        </row>
        <row r="33">
          <cell r="M33">
            <v>0.15920185668593415</v>
          </cell>
        </row>
        <row r="39">
          <cell r="H39">
            <v>0.13201520204211087</v>
          </cell>
        </row>
        <row r="42">
          <cell r="H42">
            <v>-5.2256119372476872E-2</v>
          </cell>
        </row>
      </sheetData>
      <sheetData sheetId="1">
        <row r="11">
          <cell r="C11">
            <v>146.16249999999999</v>
          </cell>
        </row>
        <row r="12">
          <cell r="C12">
            <v>1</v>
          </cell>
        </row>
        <row r="13">
          <cell r="C13">
            <v>1.109</v>
          </cell>
          <cell r="M13">
            <v>-0.28599999999999998</v>
          </cell>
        </row>
        <row r="14">
          <cell r="M14">
            <v>-0.40200000000000002</v>
          </cell>
        </row>
        <row r="15">
          <cell r="M15">
            <v>-0.18</v>
          </cell>
        </row>
        <row r="16">
          <cell r="M16">
            <v>-0.35799999999999998</v>
          </cell>
        </row>
        <row r="17">
          <cell r="M17">
            <v>-0.20499999999999999</v>
          </cell>
        </row>
        <row r="18">
          <cell r="M18">
            <v>-0.26400000000000001</v>
          </cell>
        </row>
        <row r="19">
          <cell r="M19">
            <v>-0.23899999999999999</v>
          </cell>
        </row>
        <row r="20">
          <cell r="M20">
            <v>-0.17799999999999999</v>
          </cell>
        </row>
        <row r="26">
          <cell r="H26">
            <v>2.7405193024978347E-2</v>
          </cell>
          <cell r="N26">
            <v>0.53487312890006922</v>
          </cell>
        </row>
        <row r="27">
          <cell r="H27">
            <v>0.1317966636609558</v>
          </cell>
          <cell r="N27">
            <v>0.3367119089825128</v>
          </cell>
        </row>
        <row r="28">
          <cell r="N28">
            <v>8.1006938042667512E-5</v>
          </cell>
        </row>
        <row r="29">
          <cell r="N29">
            <v>1.5761751018596334E-2</v>
          </cell>
        </row>
        <row r="30">
          <cell r="H30">
            <v>-0.26400000000000001</v>
          </cell>
          <cell r="N30">
            <v>2.1880488981736404E-2</v>
          </cell>
        </row>
        <row r="31">
          <cell r="N31">
            <v>9.0691715179042606E-2</v>
          </cell>
        </row>
        <row r="32">
          <cell r="M32">
            <v>0.15920185668593415</v>
          </cell>
        </row>
        <row r="40">
          <cell r="M40">
            <v>-0.28599999999999998</v>
          </cell>
        </row>
        <row r="41">
          <cell r="M41">
            <v>-0.40200000000000002</v>
          </cell>
        </row>
        <row r="42">
          <cell r="M42">
            <v>-0.18</v>
          </cell>
        </row>
        <row r="43">
          <cell r="M43">
            <v>-0.35799999999999998</v>
          </cell>
        </row>
        <row r="44">
          <cell r="M44">
            <v>-0.20499999999999999</v>
          </cell>
        </row>
        <row r="45">
          <cell r="M45">
            <v>-0.26400000000000001</v>
          </cell>
        </row>
        <row r="46">
          <cell r="M46">
            <v>-0.23899999999999999</v>
          </cell>
        </row>
        <row r="47">
          <cell r="M47">
            <v>-0.17799999999999999</v>
          </cell>
        </row>
        <row r="53">
          <cell r="H53">
            <v>2.7405193024978347E-2</v>
          </cell>
          <cell r="N53">
            <v>0.53487312890006922</v>
          </cell>
        </row>
        <row r="54">
          <cell r="H54">
            <v>0.1317966636609558</v>
          </cell>
          <cell r="N54">
            <v>0.3367119089825128</v>
          </cell>
        </row>
        <row r="55">
          <cell r="N55">
            <v>8.1006938042667512E-5</v>
          </cell>
        </row>
        <row r="56">
          <cell r="N56">
            <v>1.5761751018596334E-2</v>
          </cell>
        </row>
        <row r="57">
          <cell r="H57">
            <v>-0.8528</v>
          </cell>
          <cell r="N57">
            <v>2.1880488981736404E-2</v>
          </cell>
        </row>
        <row r="58">
          <cell r="N58">
            <v>9.0691715179042606E-2</v>
          </cell>
        </row>
        <row r="70">
          <cell r="H70">
            <v>-0.8</v>
          </cell>
        </row>
      </sheetData>
      <sheetData sheetId="2">
        <row r="15">
          <cell r="H15">
            <v>1.5</v>
          </cell>
        </row>
        <row r="16">
          <cell r="H16">
            <v>2.1189795217333861E-3</v>
          </cell>
        </row>
        <row r="29">
          <cell r="H29">
            <v>0</v>
          </cell>
        </row>
        <row r="31">
          <cell r="H31">
            <v>3.0000000000000001E-3</v>
          </cell>
        </row>
        <row r="32">
          <cell r="H32">
            <v>2.8000000000000001E-2</v>
          </cell>
        </row>
        <row r="33">
          <cell r="H33">
            <v>2.1000000000000001E-2</v>
          </cell>
        </row>
        <row r="34">
          <cell r="H34">
            <v>3.0000000000000001E-3</v>
          </cell>
        </row>
        <row r="35">
          <cell r="H35">
            <v>4.0000000000000001E-3</v>
          </cell>
        </row>
        <row r="36">
          <cell r="H36">
            <v>5.6000000000000001E-2</v>
          </cell>
        </row>
        <row r="37">
          <cell r="H37">
            <v>1.4147999999999999E-3</v>
          </cell>
        </row>
        <row r="43">
          <cell r="H43">
            <v>0.04</v>
          </cell>
        </row>
      </sheetData>
      <sheetData sheetId="3">
        <row r="15">
          <cell r="H15">
            <v>1.5</v>
          </cell>
        </row>
        <row r="16">
          <cell r="H16">
            <v>2E-3</v>
          </cell>
        </row>
        <row r="23">
          <cell r="H23">
            <v>0</v>
          </cell>
        </row>
        <row r="29">
          <cell r="H29">
            <v>0</v>
          </cell>
        </row>
        <row r="31">
          <cell r="H31">
            <v>3.0000000000000001E-3</v>
          </cell>
        </row>
        <row r="32">
          <cell r="H32">
            <v>2.8000000000000001E-2</v>
          </cell>
        </row>
        <row r="33">
          <cell r="H33">
            <v>2.1000000000000001E-2</v>
          </cell>
        </row>
        <row r="34">
          <cell r="H34">
            <v>3.0000000000000001E-3</v>
          </cell>
        </row>
        <row r="35">
          <cell r="H35">
            <v>4.0000000000000001E-3</v>
          </cell>
        </row>
        <row r="36">
          <cell r="H36">
            <v>5.6000000000000001E-2</v>
          </cell>
        </row>
        <row r="37">
          <cell r="H37">
            <v>1.4147999999999999E-3</v>
          </cell>
        </row>
        <row r="43">
          <cell r="H43">
            <v>0.04</v>
          </cell>
        </row>
      </sheetData>
      <sheetData sheetId="4"/>
      <sheetData sheetId="5"/>
      <sheetData sheetId="6"/>
      <sheetData sheetId="7">
        <row r="4"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</row>
        <row r="5">
          <cell r="W5">
            <v>0</v>
          </cell>
          <cell r="X5">
            <v>1.8124436429215509</v>
          </cell>
          <cell r="Y5">
            <v>71.248513674197383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</row>
        <row r="6">
          <cell r="W6">
            <v>0</v>
          </cell>
          <cell r="X6">
            <v>7.2497745716862037</v>
          </cell>
          <cell r="Y6">
            <v>0</v>
          </cell>
          <cell r="Z6">
            <v>89.864674372709345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</row>
        <row r="22">
          <cell r="E22">
            <v>1</v>
          </cell>
          <cell r="F22">
            <v>0</v>
          </cell>
          <cell r="G22">
            <v>0</v>
          </cell>
        </row>
        <row r="23">
          <cell r="E23">
            <v>1</v>
          </cell>
          <cell r="F23">
            <v>0</v>
          </cell>
          <cell r="G23">
            <v>0</v>
          </cell>
        </row>
        <row r="24">
          <cell r="E24">
            <v>1</v>
          </cell>
          <cell r="F24">
            <v>0</v>
          </cell>
          <cell r="G24">
            <v>0</v>
          </cell>
        </row>
        <row r="25">
          <cell r="E25">
            <v>1</v>
          </cell>
          <cell r="F25">
            <v>0</v>
          </cell>
          <cell r="G25">
            <v>0</v>
          </cell>
        </row>
        <row r="26">
          <cell r="E26">
            <v>1</v>
          </cell>
          <cell r="F26">
            <v>0</v>
          </cell>
          <cell r="G26">
            <v>0</v>
          </cell>
        </row>
        <row r="27">
          <cell r="E27">
            <v>1</v>
          </cell>
          <cell r="F27">
            <v>0</v>
          </cell>
          <cell r="G27">
            <v>0</v>
          </cell>
        </row>
        <row r="28">
          <cell r="E28">
            <v>1</v>
          </cell>
          <cell r="F28">
            <v>0</v>
          </cell>
          <cell r="G28">
            <v>0</v>
          </cell>
        </row>
        <row r="29">
          <cell r="E29">
            <v>0</v>
          </cell>
          <cell r="F29">
            <v>73.060957317118934</v>
          </cell>
          <cell r="G29">
            <v>0</v>
          </cell>
        </row>
        <row r="30">
          <cell r="E30">
            <v>0</v>
          </cell>
          <cell r="F30">
            <v>0</v>
          </cell>
          <cell r="G30">
            <v>97.114448944395548</v>
          </cell>
        </row>
      </sheetData>
      <sheetData sheetId="8">
        <row r="6"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</v>
          </cell>
        </row>
        <row r="13">
          <cell r="G13">
            <v>0.41224179051140819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2_NGSR"/>
      <sheetName val="H2_ELE"/>
      <sheetName val="MSUT"/>
      <sheetName val="SUT_EU27"/>
      <sheetName val="Inputs by region"/>
      <sheetName val="Footprint"/>
    </sheetNames>
    <sheetDataSet>
      <sheetData sheetId="0">
        <row r="36">
          <cell r="H36">
            <v>512.1</v>
          </cell>
        </row>
        <row r="37">
          <cell r="H37">
            <v>163.6</v>
          </cell>
        </row>
        <row r="38">
          <cell r="H38">
            <v>1.35</v>
          </cell>
        </row>
        <row r="39">
          <cell r="H39">
            <v>2</v>
          </cell>
        </row>
        <row r="40">
          <cell r="H40">
            <v>1.2542466383999999</v>
          </cell>
        </row>
        <row r="43">
          <cell r="H43">
            <v>142897.5</v>
          </cell>
        </row>
        <row r="44">
          <cell r="H44">
            <v>1.7780055929999998</v>
          </cell>
        </row>
        <row r="45">
          <cell r="H45">
            <v>50.362663499999996</v>
          </cell>
        </row>
        <row r="50">
          <cell r="H50">
            <v>44288370</v>
          </cell>
        </row>
        <row r="51">
          <cell r="H51">
            <v>393698.90524721408</v>
          </cell>
        </row>
        <row r="52">
          <cell r="H52">
            <v>17505.475963799996</v>
          </cell>
        </row>
        <row r="53">
          <cell r="H53">
            <v>478.56880830000011</v>
          </cell>
        </row>
        <row r="54">
          <cell r="H54">
            <v>0.85230420000000007</v>
          </cell>
        </row>
      </sheetData>
      <sheetData sheetId="1">
        <row r="37">
          <cell r="H37">
            <v>6.2520640000000002E-2</v>
          </cell>
        </row>
        <row r="38">
          <cell r="H38">
            <v>6.5102960000000001E-2</v>
          </cell>
        </row>
        <row r="39">
          <cell r="H39">
            <v>6.9749679999999994E-2</v>
          </cell>
        </row>
        <row r="40">
          <cell r="H40">
            <v>5.7189600000000012E-3</v>
          </cell>
        </row>
        <row r="41">
          <cell r="H41">
            <v>1.2972959999999999E-2</v>
          </cell>
        </row>
        <row r="42">
          <cell r="H42">
            <v>3.2901960000000001E-2</v>
          </cell>
        </row>
        <row r="43">
          <cell r="H43">
            <v>2.2713599999999996E-3</v>
          </cell>
        </row>
        <row r="47">
          <cell r="H47">
            <v>2.6153290799999998E-4</v>
          </cell>
        </row>
        <row r="48">
          <cell r="H48">
            <v>0.86797176470588233</v>
          </cell>
        </row>
        <row r="52">
          <cell r="H52">
            <v>5200</v>
          </cell>
        </row>
      </sheetData>
      <sheetData sheetId="2"/>
      <sheetData sheetId="3">
        <row r="93">
          <cell r="K93">
            <v>2.2579291132186622E-8</v>
          </cell>
          <cell r="L93">
            <v>0</v>
          </cell>
        </row>
        <row r="94">
          <cell r="K94">
            <v>0</v>
          </cell>
          <cell r="L94">
            <v>1.9230769230769231E-4</v>
          </cell>
        </row>
        <row r="97">
          <cell r="E97">
            <v>1</v>
          </cell>
          <cell r="F97">
            <v>0</v>
          </cell>
        </row>
        <row r="98">
          <cell r="E98">
            <v>0</v>
          </cell>
          <cell r="F98">
            <v>1</v>
          </cell>
        </row>
        <row r="99">
          <cell r="G99">
            <v>1</v>
          </cell>
          <cell r="H99">
            <v>0</v>
          </cell>
        </row>
        <row r="100">
          <cell r="G100">
            <v>0</v>
          </cell>
          <cell r="H100">
            <v>1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Imports by region"/>
      <sheetName val="Gross imports "/>
    </sheetNames>
    <sheetDataSet>
      <sheetData sheetId="0">
        <row r="5">
          <cell r="D5">
            <v>0.2086558149685778</v>
          </cell>
          <cell r="E5">
            <v>0.17326594323804065</v>
          </cell>
          <cell r="F5">
            <v>0.20862148436288905</v>
          </cell>
          <cell r="G5">
            <v>0.20083517722289576</v>
          </cell>
          <cell r="H5">
            <v>0</v>
          </cell>
          <cell r="I5">
            <v>0.20862158020759675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Gross exports world"/>
      <sheetName val="Gross imports EU27"/>
      <sheetName val="Gross exports EU27"/>
    </sheetNames>
    <sheetDataSet>
      <sheetData sheetId="0">
        <row r="7">
          <cell r="L7">
            <v>0</v>
          </cell>
        </row>
        <row r="8">
          <cell r="L8">
            <v>5.0918430334824016E-2</v>
          </cell>
        </row>
        <row r="9">
          <cell r="L9">
            <v>0.15146639903364834</v>
          </cell>
        </row>
        <row r="10">
          <cell r="L10">
            <v>1.4481034853174354E-2</v>
          </cell>
        </row>
        <row r="11">
          <cell r="L11">
            <v>0</v>
          </cell>
        </row>
        <row r="12">
          <cell r="L12">
            <v>0.78313413577835322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ebora Ghezzi" id="{B56CF605-7373-4D40-AFD9-7B134E8BA768}" userId="S::10690489@polimi.it::43e5621c-6547-4884-821d-2379f27c5e53" providerId="AD"/>
</personList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03-15T11:19:04.12" personId="{B56CF605-7373-4D40-AFD9-7B134E8BA768}" id="{06005A11-09F6-4779-8641-56C8C74162B7}">
    <text>https://www.estep.eu/assets/Uploads/Decarbonisation-Pathways-1.pdf</text>
    <extLst>
      <x:ext xmlns:xltc2="http://schemas.microsoft.com/office/spreadsheetml/2020/threadedcomments2" uri="{F7C98A9C-CBB3-438F-8F68-D28B6AF4A901}">
        <xltc2:checksum>3312074237</xltc2:checksum>
        <xltc2:hyperlink startIndex="0" length="66" url="https://www.estep.eu/assets/Uploads/Decarbonisation-Pathways-1.pdf"/>
      </x:ext>
    </extLst>
  </threadedComment>
  <threadedComment ref="B15" dT="2024-03-15T11:19:33.67" personId="{B56CF605-7373-4D40-AFD9-7B134E8BA768}" id="{4E4F5299-B500-4C3F-AFCB-C5BD32BD28F4}">
    <text>https://joint-research-centre.ec.europa.eu/jrc-news-and-updates/eu-climate-targets-how-decarbonise-steel-industry-2022-06-15_en</text>
    <extLst>
      <x:ext xmlns:xltc2="http://schemas.microsoft.com/office/spreadsheetml/2020/threadedcomments2" uri="{F7C98A9C-CBB3-438F-8F68-D28B6AF4A901}">
        <xltc2:checksum>3608973694</xltc2:checksum>
        <xltc2:hyperlink startIndex="0" length="127" url="https://joint-research-centre.ec.europa.eu/jrc-news-and-updates/eu-climate-targets-how-decarbonise-steel-industry-2022-06-15_en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5" dT="2024-03-15T11:20:24.50" personId="{B56CF605-7373-4D40-AFD9-7B134E8BA768}" id="{C56F9280-A2D0-4D97-BE2C-D2575E257DDD}">
    <text xml:space="preserve">https://cembureau.eu/media/lfqjyve5/key-facts-figures-2021.pdf </text>
    <extLst>
      <x:ext xmlns:xltc2="http://schemas.microsoft.com/office/spreadsheetml/2020/threadedcomments2" uri="{F7C98A9C-CBB3-438F-8F68-D28B6AF4A901}">
        <xltc2:checksum>433390795</xltc2:checksum>
        <xltc2:hyperlink startIndex="0" length="62" url="https://cembureau.eu/media/lfqjyve5/key-facts-figures-2021.pdf"/>
      </x:ext>
    </extLst>
  </threadedComment>
  <threadedComment ref="K5" dT="2023-10-17T10:16:21.92" personId="{B56CF605-7373-4D40-AFD9-7B134E8BA768}" id="{60664898-BAA7-441B-8721-D1CC454D9EE5}">
    <text>CIS (not disaggregated)</text>
  </threadedComment>
  <threadedComment ref="D6" dT="2024-03-15T11:20:45.94" personId="{B56CF605-7373-4D40-AFD9-7B134E8BA768}" id="{DE3ACA8A-CBFF-4707-B22C-BA63E901280D}">
    <text xml:space="preserve">Iron and Steel Technology Roadmap – Analysis - IEA </text>
    <extLst>
      <x:ext xmlns:xltc2="http://schemas.microsoft.com/office/spreadsheetml/2020/threadedcomments2" uri="{F7C98A9C-CBB3-438F-8F68-D28B6AF4A901}">
        <xltc2:checksum>343663438</xltc2:checksum>
        <xltc2:hyperlink startIndex="0" length="50" url="https://www.iea.org/reports/iron-and-steel-technology-roadmap"/>
      </x:ext>
    </extLst>
  </threadedComment>
  <threadedComment ref="D9" dT="2024-03-15T11:21:45.58" personId="{B56CF605-7373-4D40-AFD9-7B134E8BA768}" id="{61E6B9D8-70BE-4B21-9099-08B57CF32A37}">
    <text xml:space="preserve">Coal production (ourworldindata.org) </text>
    <extLst>
      <x:ext xmlns:xltc2="http://schemas.microsoft.com/office/spreadsheetml/2020/threadedcomments2" uri="{F7C98A9C-CBB3-438F-8F68-D28B6AF4A901}">
        <xltc2:checksum>2815472486</xltc2:checksum>
        <xltc2:hyperlink startIndex="0" length="36" url="https://ourworldindata.org/grapher/coal-production-by-country?country=USA~IND~OWID_EU27~CHN~OWID_WRL~RUS"/>
      </x:ext>
    </extLst>
  </threadedComment>
  <threadedComment ref="D10" dT="2024-03-15T11:22:07.62" personId="{B56CF605-7373-4D40-AFD9-7B134E8BA768}" id="{95E49380-A44E-4622-8C48-8D661AA57A03}">
    <text xml:space="preserve">https://worldsteel.org/wp-content/uploads/World-Steel-in-Figures-2023-4.pdf </text>
    <extLst>
      <x:ext xmlns:xltc2="http://schemas.microsoft.com/office/spreadsheetml/2020/threadedcomments2" uri="{F7C98A9C-CBB3-438F-8F68-D28B6AF4A901}">
        <xltc2:checksum>3914123693</xltc2:checksum>
        <xltc2:hyperlink startIndex="0" length="75" url="https://worldsteel.org/wp-content/uploads/World-Steel-in-Figures-2023-4.pdf"/>
      </x:ext>
    </extLst>
  </threadedComment>
  <threadedComment ref="K10" dT="2023-10-12T11:42:48.87" personId="{B56CF605-7373-4D40-AFD9-7B134E8BA768}" id="{DAAD0BE0-BD16-491C-86A0-EA785812C813}">
    <text xml:space="preserve">+ Ukraine and others CIS (not disaggregated) </text>
  </threadedComment>
  <threadedComment ref="D11" dT="2024-03-15T11:22:10.27" personId="{B56CF605-7373-4D40-AFD9-7B134E8BA768}" id="{84462083-AB07-4FC8-B6F7-C2DE5E7031BC}">
    <text xml:space="preserve">https://worldsteel.org/wp-content/uploads/World-Steel-in-Figures-2023-4.pdf </text>
    <extLst>
      <x:ext xmlns:xltc2="http://schemas.microsoft.com/office/spreadsheetml/2020/threadedcomments2" uri="{F7C98A9C-CBB3-438F-8F68-D28B6AF4A901}">
        <xltc2:checksum>3914123693</xltc2:checksum>
        <xltc2:hyperlink startIndex="0" length="75" url="https://worldsteel.org/wp-content/uploads/World-Steel-in-Figures-2023-4.pdf"/>
      </x:ext>
    </extLst>
  </threadedComment>
  <threadedComment ref="D12" dT="2024-03-15T11:22:26.15" personId="{B56CF605-7373-4D40-AFD9-7B134E8BA768}" id="{128D2232-42DD-4D72-94D3-E6896C3E133F}">
    <text xml:space="preserve">https://wits.worldbank.org/trade/comtrade/en/country/All/year/2022/tradeflow/Imports/partner/CAN/product/252100   </text>
    <extLst>
      <x:ext xmlns:xltc2="http://schemas.microsoft.com/office/spreadsheetml/2020/threadedcomments2" uri="{F7C98A9C-CBB3-438F-8F68-D28B6AF4A901}">
        <xltc2:checksum>1431511828</xltc2:checksum>
        <xltc2:hyperlink startIndex="0" length="111" url="https://wits.worldbank.org/trade/comtrade/en/country/All/year/2022/tradeflow/Imports/partner/CAN/product/252100"/>
      </x:ext>
    </extLst>
  </threadedComment>
  <threadedComment ref="D13" dT="2024-03-15T11:21:38.88" personId="{B56CF605-7373-4D40-AFD9-7B134E8BA768}" id="{8AB58F60-7FFA-4682-A5B4-218586D33ACD}">
    <text xml:space="preserve">Oil production (ourworldindata.org) </text>
    <extLst>
      <x:ext xmlns:xltc2="http://schemas.microsoft.com/office/spreadsheetml/2020/threadedcomments2" uri="{F7C98A9C-CBB3-438F-8F68-D28B6AF4A901}">
        <xltc2:checksum>1361613533</xltc2:checksum>
        <xltc2:hyperlink startIndex="0" length="35" url="https://ourworldindata.org/grapher/oil-production-by-country?country=USA~CHN~OWID_EU27~IND~OWID_WRL~RUS"/>
      </x:ext>
    </extLst>
  </threadedComment>
  <threadedComment ref="D16" dT="2024-03-15T11:21:27.63" personId="{B56CF605-7373-4D40-AFD9-7B134E8BA768}" id="{D95A9B27-30C4-4659-A6C4-07854C652539}">
    <text xml:space="preserve">Electricity production by source, European Union (27) (ourworldindata.org) </text>
    <extLst>
      <x:ext xmlns:xltc2="http://schemas.microsoft.com/office/spreadsheetml/2020/threadedcomments2" uri="{F7C98A9C-CBB3-438F-8F68-D28B6AF4A901}">
        <xltc2:checksum>1162560253</xltc2:checksum>
        <xltc2:hyperlink startIndex="0" length="74" url="https://ourworldindata.org/grapher/electricity-production-by-source?country=~OWID_EU27"/>
      </x:ext>
    </extLst>
  </threadedComment>
  <threadedComment ref="D17" dT="2024-03-15T11:21:14.78" personId="{B56CF605-7373-4D40-AFD9-7B134E8BA768}" id="{04FCABB5-2EFE-48C6-9F5A-A03080783870}">
    <text xml:space="preserve">Renewables 2022 – Analysis - IEA </text>
    <extLst>
      <x:ext xmlns:xltc2="http://schemas.microsoft.com/office/spreadsheetml/2020/threadedcomments2" uri="{F7C98A9C-CBB3-438F-8F68-D28B6AF4A901}">
        <xltc2:checksum>2468654073</xltc2:checksum>
        <xltc2:hyperlink startIndex="0" length="32" url="https://www.iea.org/reports/renewables-2022"/>
      </x:ext>
    </extLst>
  </threadedComment>
  <threadedComment ref="E31" dT="2023-12-27T15:49:43.48" personId="{B56CF605-7373-4D40-AFD9-7B134E8BA768}" id="{FF8A473A-E281-44B7-9A0D-EACA62E50CB7}">
    <text>https://ec.europa.eu/commission/presscorner/detail/en/ip_22_1511</text>
    <extLst>
      <x:ext xmlns:xltc2="http://schemas.microsoft.com/office/spreadsheetml/2020/threadedcomments2" uri="{F7C98A9C-CBB3-438F-8F68-D28B6AF4A901}">
        <xltc2:checksum>1262648178</xltc2:checksum>
        <xltc2:hyperlink startIndex="0" length="64" url="https://ec.europa.eu/commission/presscorner/detail/en/ip_22_1511"/>
      </x:ext>
    </extLst>
  </threadedComment>
  <threadedComment ref="K39" dT="2023-12-27T16:47:24.59" personId="{B56CF605-7373-4D40-AFD9-7B134E8BA768}" id="{9792F718-79FB-4B6F-A40B-09C2C5504154}">
    <text xml:space="preserve">In 2019 Russia represented 4% of the world steel production. In IEA data this country is integrated in "Rest of the World". In order to disaggregate it, a constant production of 4% has been considered for 2030 and 2050.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4-03-15T11:22:47.55" personId="{B56CF605-7373-4D40-AFD9-7B134E8BA768}" id="{BF15A418-CA38-4ECA-94B8-0B282C29AA87}">
    <text xml:space="preserve">https://worldsteel.org/wp-content/uploads/World-Steel-in-Figures-2023-4.pdf   </text>
    <extLst>
      <x:ext xmlns:xltc2="http://schemas.microsoft.com/office/spreadsheetml/2020/threadedcomments2" uri="{F7C98A9C-CBB3-438F-8F68-D28B6AF4A901}">
        <xltc2:checksum>3144155916</xltc2:checksum>
        <xltc2:hyperlink startIndex="0" length="75" url="https://worldsteel.org/wp-content/uploads/World-Steel-in-Figures-2023-4.pdf"/>
      </x:ext>
    </extLst>
  </threadedComment>
  <threadedComment ref="K5" dT="2023-10-12T11:42:48.87" personId="{B56CF605-7373-4D40-AFD9-7B134E8BA768}" id="{02DA9E0D-4F00-4529-8955-1CCFC882E605}">
    <text xml:space="preserve">+ Ukraine and others CIS (not disaggregated) </text>
  </threadedComment>
  <threadedComment ref="D6" dT="2024-03-15T11:22:50.62" personId="{B56CF605-7373-4D40-AFD9-7B134E8BA768}" id="{824B7C89-0799-43D7-9A43-7DE244AF0D5F}">
    <text xml:space="preserve">https://worldsteel.org/wp-content/uploads/World-Steel-in-Figures-2023-4.pdf   </text>
    <extLst>
      <x:ext xmlns:xltc2="http://schemas.microsoft.com/office/spreadsheetml/2020/threadedcomments2" uri="{F7C98A9C-CBB3-438F-8F68-D28B6AF4A901}">
        <xltc2:checksum>3144155916</xltc2:checksum>
        <xltc2:hyperlink startIndex="0" length="75" url="https://worldsteel.org/wp-content/uploads/World-Steel-in-Figures-2023-4.pdf"/>
      </x:ext>
    </extLst>
  </threadedComment>
  <threadedComment ref="D7" dT="2024-03-15T11:23:03.87" personId="{B56CF605-7373-4D40-AFD9-7B134E8BA768}" id="{2B356BE0-1107-4596-80EA-63E3D555E748}">
    <text>https://oec.world/en/profile/hs/carbon-and-graphite-furnace-electrodes#trade</text>
    <extLst>
      <x:ext xmlns:xltc2="http://schemas.microsoft.com/office/spreadsheetml/2020/threadedcomments2" uri="{F7C98A9C-CBB3-438F-8F68-D28B6AF4A901}">
        <xltc2:checksum>714352580</xltc2:checksum>
        <xltc2:hyperlink startIndex="0" length="76" url="https://oec.world/en/profile/hs/carbon-and-graphite-furnace-electrodes#trade"/>
      </x:ext>
    </extLst>
  </threadedComment>
  <threadedComment ref="D8" dT="2024-03-15T11:22:34.38" personId="{B56CF605-7373-4D40-AFD9-7B134E8BA768}" id="{73C4D4C0-DBA1-4A24-8A09-865882D1F14A}">
    <text xml:space="preserve">https://wits.worldbank.org/trade/comtrade/en/country/All/year/2022/tradeflow/Imports/partner/CAN/product/252100   </text>
    <extLst>
      <x:ext xmlns:xltc2="http://schemas.microsoft.com/office/spreadsheetml/2020/threadedcomments2" uri="{F7C98A9C-CBB3-438F-8F68-D28B6AF4A901}">
        <xltc2:checksum>1431511828</xltc2:checksum>
        <xltc2:hyperlink startIndex="0" length="111" url="https://wits.worldbank.org/trade/comtrade/en/country/All/year/2022/tradeflow/Imports/partner/CAN/product/252100"/>
      </x:ext>
    </extLst>
  </threadedComment>
  <threadedComment ref="D9" dT="2024-03-15T11:23:16.19" personId="{B56CF605-7373-4D40-AFD9-7B134E8BA768}" id="{B1969C01-9B28-408B-999E-0AEBE575A0FE}">
    <text xml:space="preserve">Coal production (ourworldindata.org) </text>
    <extLst>
      <x:ext xmlns:xltc2="http://schemas.microsoft.com/office/spreadsheetml/2020/threadedcomments2" uri="{F7C98A9C-CBB3-438F-8F68-D28B6AF4A901}">
        <xltc2:checksum>2815472486</xltc2:checksum>
        <xltc2:hyperlink startIndex="0" length="36" url="https://ourworldindata.org/grapher/coal-production-by-country?country=USA~IND~OWID_EU27~CHN~OWID_WRL~RUS"/>
      </x:ext>
    </extLst>
  </threadedComment>
  <threadedComment ref="D10" dT="2024-03-15T11:24:05.40" personId="{B56CF605-7373-4D40-AFD9-7B134E8BA768}" id="{D05F6A61-39B2-4577-B760-9AE22E6A2EE7}">
    <text xml:space="preserve">Refractory Cements (HS: Refractory) Product Trade, Exporters and Importers | The Observatory of Economic Complexity (oec.world) </text>
    <extLst>
      <x:ext xmlns:xltc2="http://schemas.microsoft.com/office/spreadsheetml/2020/threadedcomments2" uri="{F7C98A9C-CBB3-438F-8F68-D28B6AF4A901}">
        <xltc2:checksum>1052498374</xltc2:checksum>
        <xltc2:hyperlink startIndex="0" length="127" url="https://oec.world/en/profile/hs/refractory-cements#exporters-importers"/>
      </x:ext>
    </extLst>
  </threadedComment>
  <threadedComment ref="D12" dT="2024-03-15T11:24:20.99" personId="{B56CF605-7373-4D40-AFD9-7B134E8BA768}" id="{1E230F98-D752-46A7-8CA1-F874153A4AED}">
    <text>https://wits.worldbank.org/trade/comtrade/en/country/ALL/year/2022/tradeflow/Imports/partner/WLD/product/280440</text>
    <extLst>
      <x:ext xmlns:xltc2="http://schemas.microsoft.com/office/spreadsheetml/2020/threadedcomments2" uri="{F7C98A9C-CBB3-438F-8F68-D28B6AF4A901}">
        <xltc2:checksum>79973924</xltc2:checksum>
        <xltc2:hyperlink startIndex="0" length="111" url="https://wits.worldbank.org/trade/comtrade/en/country/ALL/year/2022/tradeflow/Imports/partner/WLD/product/280440"/>
      </x:ext>
    </extLst>
  </threadedComment>
  <threadedComment ref="D14" dT="2024-03-15T11:24:30.19" personId="{B56CF605-7373-4D40-AFD9-7B134E8BA768}" id="{B3BBD5BF-A01E-4874-95B6-7E4A9BC01DFC}">
    <text xml:space="preserve">Electricity production by source, European Union (27) (ourworldindata.org) </text>
    <extLst>
      <x:ext xmlns:xltc2="http://schemas.microsoft.com/office/spreadsheetml/2020/threadedcomments2" uri="{F7C98A9C-CBB3-438F-8F68-D28B6AF4A901}">
        <xltc2:checksum>1162560253</xltc2:checksum>
        <xltc2:hyperlink startIndex="0" length="74" url="https://ourworldindata.org/grapher/electricity-production-by-source?country=~OWID_EU27"/>
      </x:ext>
    </extLst>
  </threadedComment>
  <threadedComment ref="D15" dT="2024-03-15T11:23:36.20" personId="{B56CF605-7373-4D40-AFD9-7B134E8BA768}" id="{4474B5EA-37B2-4DEF-85B9-A1D77CE0B625}">
    <text xml:space="preserve">Renewables 2022 – Analysis - IEA </text>
    <extLst>
      <x:ext xmlns:xltc2="http://schemas.microsoft.com/office/spreadsheetml/2020/threadedcomments2" uri="{F7C98A9C-CBB3-438F-8F68-D28B6AF4A901}">
        <xltc2:checksum>2468654073</xltc2:checksum>
        <xltc2:hyperlink startIndex="0" length="32" url="https://www.iea.org/reports/renewables-2022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radingeconomics.com/commodity/stee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www.google.com/url?sa=t&amp;rct=j&amp;q=&amp;esrc=s&amp;source=web&amp;cd=&amp;ved=2ahUKEwjPyOmG1bKDAxUg9AIHHU7BAEcQFnoECCUQAQ&amp;url=https%3A%2F%2Fwww.weforum.org%2Fagenda%2F2023%2F11%2Faluminium-demand-how-to-make-it-sustainable%2F&amp;usg=AOvVaw1HqKMyYgWvyIOEWlDTHU8N&amp;opi=89978449" TargetMode="External"/><Relationship Id="rId7" Type="http://schemas.openxmlformats.org/officeDocument/2006/relationships/hyperlink" Target="https://data.worldbank.org/indicator/NY.GDP.MKTP.KD.ZG?locations=MT" TargetMode="External"/><Relationship Id="rId2" Type="http://schemas.openxmlformats.org/officeDocument/2006/relationships/hyperlink" Target="https://energy.ec.europa.eu/system/files/2023-01/Quarterly%20report%20on%20European%20gas%20markets%20Q3_FINAL.pdf" TargetMode="External"/><Relationship Id="rId1" Type="http://schemas.openxmlformats.org/officeDocument/2006/relationships/hyperlink" Target="https://ourworldindata.org/grapher/electricity-production-by-source?country=~OWID_EU27" TargetMode="External"/><Relationship Id="rId6" Type="http://schemas.openxmlformats.org/officeDocument/2006/relationships/hyperlink" Target="https://www.google.com/url?sa=t&amp;rct=j&amp;q=&amp;esrc=s&amp;source=web&amp;cd=&amp;ved=2ahUKEwi-5LvZwrSDAxXfxAIHHS2IAZAQFnoECBoQAQ&amp;url=https%3A%2F%2Fdata.worldbank.org%2Findicator%2FNY.GDP.MKTP.KD.ZG%3Flocations%3DCY&amp;usg=AOvVaw0-SwMZMctkiicIpX0BcGsz&amp;opi=89978449" TargetMode="External"/><Relationship Id="rId5" Type="http://schemas.openxmlformats.org/officeDocument/2006/relationships/hyperlink" Target="https://data.worldbank.org/indicator/NY.GDP.MKTP.KD.ZG?locations=RU" TargetMode="External"/><Relationship Id="rId10" Type="http://schemas.microsoft.com/office/2017/10/relationships/threadedComment" Target="../threadedComments/threadedComment2.xml"/><Relationship Id="rId4" Type="http://schemas.openxmlformats.org/officeDocument/2006/relationships/hyperlink" Target="https://www.google.com/url?sa=t&amp;rct=j&amp;q=&amp;esrc=s&amp;source=web&amp;cd=&amp;ved=2ahUKEwjis8Xj1bKDAxUW9AIHHXuhBI8QFnoECBkQAQ&amp;url=https%3A%2F%2Fdata.worldbank.org%2Findicator%2FNY.GDP.MKTP.KD.ZG&amp;usg=AOvVaw21bP7k3MAOEIj7z02PVnzd&amp;opi=89978449" TargetMode="External"/><Relationship Id="rId9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ourworldindata.org/grapher/electricity-production-by-source?country=~OWID_EU27" TargetMode="External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812D-0BC7-4822-B29E-DFF0F28274DD}">
  <dimension ref="A1:J21"/>
  <sheetViews>
    <sheetView showGridLines="0" tabSelected="1" zoomScale="83" zoomScaleNormal="83" workbookViewId="0">
      <selection activeCell="F13" sqref="F13"/>
    </sheetView>
  </sheetViews>
  <sheetFormatPr defaultRowHeight="14.5" x14ac:dyDescent="0.35"/>
  <cols>
    <col min="2" max="2" width="29.1796875" bestFit="1" customWidth="1"/>
    <col min="3" max="3" width="10.54296875" bestFit="1" customWidth="1"/>
    <col min="4" max="4" width="10.1796875" bestFit="1" customWidth="1"/>
    <col min="5" max="5" width="18.81640625" bestFit="1" customWidth="1"/>
    <col min="6" max="6" width="27.7265625" bestFit="1" customWidth="1"/>
    <col min="7" max="7" width="16.1796875" bestFit="1" customWidth="1"/>
    <col min="8" max="8" width="22" bestFit="1" customWidth="1"/>
    <col min="9" max="9" width="16.26953125" customWidth="1"/>
  </cols>
  <sheetData>
    <row r="1" spans="1:10" x14ac:dyDescent="0.35">
      <c r="A1" s="3" t="s">
        <v>371</v>
      </c>
    </row>
    <row r="2" spans="1:10" x14ac:dyDescent="0.35">
      <c r="A2" s="3"/>
    </row>
    <row r="3" spans="1:10" x14ac:dyDescent="0.35">
      <c r="A3" s="3"/>
      <c r="B3" s="423" t="s">
        <v>0</v>
      </c>
      <c r="C3" s="424">
        <v>0.59</v>
      </c>
      <c r="D3" s="561" t="s">
        <v>1</v>
      </c>
      <c r="E3" s="562"/>
      <c r="F3" s="562"/>
    </row>
    <row r="4" spans="1:10" x14ac:dyDescent="0.35">
      <c r="B4" s="425" t="s">
        <v>2</v>
      </c>
      <c r="C4" s="426">
        <v>0.41</v>
      </c>
      <c r="D4" s="561"/>
      <c r="E4" s="562"/>
      <c r="F4" s="562"/>
    </row>
    <row r="5" spans="1:10" x14ac:dyDescent="0.35">
      <c r="C5" s="1"/>
    </row>
    <row r="6" spans="1:10" ht="29" x14ac:dyDescent="0.35">
      <c r="B6" s="422" t="s">
        <v>3</v>
      </c>
      <c r="C6" s="556" t="s">
        <v>4</v>
      </c>
      <c r="D6" s="556"/>
      <c r="E6" s="556"/>
      <c r="F6" s="556"/>
      <c r="G6" s="556"/>
      <c r="H6" s="556"/>
      <c r="I6" s="427" t="s">
        <v>5</v>
      </c>
      <c r="J6" s="421"/>
    </row>
    <row r="7" spans="1:10" x14ac:dyDescent="0.35">
      <c r="B7" s="5" t="s">
        <v>6</v>
      </c>
      <c r="C7" s="408" t="s">
        <v>7</v>
      </c>
      <c r="D7" s="412" t="s">
        <v>8</v>
      </c>
      <c r="E7" s="403" t="s">
        <v>9</v>
      </c>
      <c r="F7" s="403" t="s">
        <v>10</v>
      </c>
      <c r="G7" s="403" t="s">
        <v>11</v>
      </c>
      <c r="H7" s="402" t="s">
        <v>12</v>
      </c>
      <c r="I7" s="7"/>
    </row>
    <row r="8" spans="1:10" x14ac:dyDescent="0.35">
      <c r="B8" s="8" t="s">
        <v>13</v>
      </c>
      <c r="C8" s="409">
        <f>20%*C3</f>
        <v>0.11799999999999999</v>
      </c>
      <c r="D8" s="413">
        <f>2%*C3</f>
        <v>1.18E-2</v>
      </c>
      <c r="E8" s="404">
        <f>4%*C3</f>
        <v>2.3599999999999999E-2</v>
      </c>
      <c r="F8" s="404">
        <f>11%*C3</f>
        <v>6.4899999999999999E-2</v>
      </c>
      <c r="G8" s="404">
        <f>7%*C3</f>
        <v>4.1300000000000003E-2</v>
      </c>
      <c r="H8" s="417">
        <f>56%*C3</f>
        <v>0.33040000000000003</v>
      </c>
      <c r="I8" s="9">
        <f>C4</f>
        <v>0.41</v>
      </c>
      <c r="J8" s="9">
        <f>SUM(C8:I8)</f>
        <v>1</v>
      </c>
    </row>
    <row r="9" spans="1:10" x14ac:dyDescent="0.35">
      <c r="B9" t="s">
        <v>14</v>
      </c>
      <c r="C9" s="410">
        <f>10%*C3</f>
        <v>5.8999999999999997E-2</v>
      </c>
      <c r="D9" s="414">
        <f>1%*C3</f>
        <v>5.8999999999999999E-3</v>
      </c>
      <c r="E9" s="405">
        <f>2%*C3</f>
        <v>1.18E-2</v>
      </c>
      <c r="F9" s="405">
        <f>C3*6%</f>
        <v>3.5399999999999994E-2</v>
      </c>
      <c r="G9" s="405">
        <f>C3*3%</f>
        <v>1.7699999999999997E-2</v>
      </c>
      <c r="H9" s="418">
        <f>C3*78%</f>
        <v>0.4602</v>
      </c>
      <c r="I9" s="11">
        <f>C4</f>
        <v>0.41</v>
      </c>
      <c r="J9" s="11">
        <f>SUM(C9:I9)</f>
        <v>1</v>
      </c>
    </row>
    <row r="10" spans="1:10" x14ac:dyDescent="0.35">
      <c r="B10" s="7" t="s">
        <v>15</v>
      </c>
      <c r="C10" s="411">
        <f>C3*17%</f>
        <v>0.1003</v>
      </c>
      <c r="D10" s="415">
        <f>C3*5%</f>
        <v>2.9499999999999998E-2</v>
      </c>
      <c r="E10" s="406">
        <f>C3*15%</f>
        <v>8.8499999999999995E-2</v>
      </c>
      <c r="F10" s="406">
        <f>C3*1%</f>
        <v>5.8999999999999999E-3</v>
      </c>
      <c r="G10" s="406">
        <f>C3*1%</f>
        <v>5.8999999999999999E-3</v>
      </c>
      <c r="H10" s="419">
        <f>C3*61%</f>
        <v>0.3599</v>
      </c>
      <c r="I10" s="12">
        <f>C4</f>
        <v>0.41</v>
      </c>
      <c r="J10" s="12">
        <f>SUM(C10:I10)</f>
        <v>1</v>
      </c>
    </row>
    <row r="11" spans="1:10" x14ac:dyDescent="0.35">
      <c r="E11" s="1"/>
      <c r="F11" s="1"/>
      <c r="G11" s="1"/>
      <c r="H11" s="1"/>
    </row>
    <row r="12" spans="1:10" x14ac:dyDescent="0.35">
      <c r="E12" s="1"/>
      <c r="F12" s="1"/>
      <c r="G12" s="1"/>
      <c r="H12" s="1"/>
    </row>
    <row r="13" spans="1:10" x14ac:dyDescent="0.35">
      <c r="A13" t="s">
        <v>16</v>
      </c>
      <c r="E13" s="1"/>
      <c r="F13" s="1"/>
      <c r="G13" s="1"/>
      <c r="H13" s="4"/>
    </row>
    <row r="14" spans="1:10" x14ac:dyDescent="0.35">
      <c r="E14" s="2"/>
      <c r="F14" s="2"/>
      <c r="G14" s="2"/>
    </row>
    <row r="15" spans="1:10" ht="29" x14ac:dyDescent="0.35">
      <c r="B15" s="422" t="s">
        <v>17</v>
      </c>
      <c r="C15" s="556" t="s">
        <v>4</v>
      </c>
      <c r="D15" s="556"/>
      <c r="E15" s="556"/>
      <c r="F15" s="556"/>
      <c r="G15" s="556"/>
      <c r="H15" s="556"/>
      <c r="I15" s="427" t="s">
        <v>5</v>
      </c>
      <c r="J15" s="421"/>
    </row>
    <row r="16" spans="1:10" x14ac:dyDescent="0.35">
      <c r="B16" s="5" t="s">
        <v>6</v>
      </c>
      <c r="C16" s="408" t="s">
        <v>7</v>
      </c>
      <c r="D16" s="412" t="s">
        <v>8</v>
      </c>
      <c r="E16" s="403" t="s">
        <v>9</v>
      </c>
      <c r="F16" s="403" t="s">
        <v>10</v>
      </c>
      <c r="G16" s="403" t="s">
        <v>11</v>
      </c>
      <c r="H16" s="402" t="s">
        <v>12</v>
      </c>
    </row>
    <row r="17" spans="2:10" x14ac:dyDescent="0.35">
      <c r="B17" s="7" t="s">
        <v>18</v>
      </c>
      <c r="C17" s="411">
        <f>C10</f>
        <v>0.1003</v>
      </c>
      <c r="D17" s="416">
        <f>30%*C3</f>
        <v>0.17699999999999999</v>
      </c>
      <c r="E17" s="407" cm="1">
        <f t="array" ref="E17:G17">E10:G10</f>
        <v>8.8499999999999995E-2</v>
      </c>
      <c r="F17" s="407">
        <v>5.8999999999999999E-3</v>
      </c>
      <c r="G17" s="407">
        <v>5.8999999999999999E-3</v>
      </c>
      <c r="H17" s="420">
        <f>C3-SUM(C17:G17)</f>
        <v>0.21239999999999992</v>
      </c>
      <c r="I17" s="428">
        <f>C4</f>
        <v>0.41</v>
      </c>
      <c r="J17" s="428">
        <f>SUM(C17:I17)</f>
        <v>1</v>
      </c>
    </row>
    <row r="20" spans="2:10" x14ac:dyDescent="0.35">
      <c r="B20" s="401" t="s">
        <v>19</v>
      </c>
    </row>
    <row r="21" spans="2:10" x14ac:dyDescent="0.35">
      <c r="B21" s="401" t="s">
        <v>20</v>
      </c>
    </row>
  </sheetData>
  <mergeCells count="3">
    <mergeCell ref="D3:F4"/>
    <mergeCell ref="C6:H6"/>
    <mergeCell ref="C15:H1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E9D4-7F16-420E-A4C1-5A47ABBB9752}">
  <dimension ref="A1:P103"/>
  <sheetViews>
    <sheetView showGridLines="0" zoomScale="68" zoomScaleNormal="68" workbookViewId="0">
      <selection activeCell="O5" sqref="O5"/>
    </sheetView>
  </sheetViews>
  <sheetFormatPr defaultRowHeight="14.5" x14ac:dyDescent="0.35"/>
  <cols>
    <col min="1" max="1" width="13.54296875" customWidth="1"/>
    <col min="2" max="2" width="11.1796875" bestFit="1" customWidth="1"/>
    <col min="3" max="3" width="10.81640625" bestFit="1" customWidth="1"/>
    <col min="4" max="4" width="14.7265625" style="4" customWidth="1"/>
    <col min="5" max="5" width="23.453125" style="4" bestFit="1" customWidth="1"/>
    <col min="6" max="6" width="39.81640625" bestFit="1" customWidth="1"/>
    <col min="7" max="7" width="15.453125" customWidth="1"/>
    <col min="8" max="8" width="39.81640625" style="4" bestFit="1" customWidth="1"/>
    <col min="9" max="9" width="10.81640625" bestFit="1" customWidth="1"/>
    <col min="10" max="10" width="10.453125" bestFit="1" customWidth="1"/>
    <col min="12" max="12" width="10.1796875" customWidth="1"/>
  </cols>
  <sheetData>
    <row r="1" spans="1:9" x14ac:dyDescent="0.35">
      <c r="A1" s="3" t="s">
        <v>53</v>
      </c>
    </row>
    <row r="2" spans="1:9" x14ac:dyDescent="0.35">
      <c r="A2" s="3"/>
    </row>
    <row r="3" spans="1:9" x14ac:dyDescent="0.35">
      <c r="A3" s="3"/>
      <c r="C3" s="557" t="s">
        <v>54</v>
      </c>
      <c r="D3" s="557"/>
      <c r="E3" s="557"/>
      <c r="F3" s="557"/>
      <c r="G3" s="557"/>
    </row>
    <row r="4" spans="1:9" x14ac:dyDescent="0.35">
      <c r="A4" s="3"/>
      <c r="B4" s="421"/>
      <c r="C4" s="433" t="s">
        <v>55</v>
      </c>
      <c r="D4" s="433" t="s">
        <v>56</v>
      </c>
      <c r="E4" s="433" t="s">
        <v>57</v>
      </c>
      <c r="F4" s="433" t="s">
        <v>58</v>
      </c>
      <c r="G4" s="462" t="s">
        <v>39</v>
      </c>
    </row>
    <row r="5" spans="1:9" x14ac:dyDescent="0.35">
      <c r="A5" s="3"/>
      <c r="B5" s="8" t="s">
        <v>59</v>
      </c>
      <c r="C5" s="434">
        <v>0.6</v>
      </c>
      <c r="D5" s="435">
        <v>90</v>
      </c>
      <c r="E5" s="436">
        <v>20</v>
      </c>
      <c r="F5" s="437">
        <v>0</v>
      </c>
      <c r="G5" s="463">
        <f>M89</f>
        <v>0.35136688859022863</v>
      </c>
      <c r="H5" s="438"/>
    </row>
    <row r="6" spans="1:9" x14ac:dyDescent="0.35">
      <c r="A6" s="3"/>
      <c r="B6" t="s">
        <v>60</v>
      </c>
      <c r="C6" s="10">
        <v>0.8</v>
      </c>
      <c r="D6" s="156">
        <f>'[1]Steel_BF-BOF with char (+CCUS)'!$C$11</f>
        <v>146.16249999999999</v>
      </c>
      <c r="E6" s="156">
        <f>'[1]Steel_BF-BOF with H2'!C11</f>
        <v>120</v>
      </c>
      <c r="F6" s="439">
        <f>'[1]Steel_BF-BOF with H2'!E11</f>
        <v>0.2</v>
      </c>
      <c r="G6" s="10">
        <f>'Inputs by region STEEL'!G15</f>
        <v>0.69</v>
      </c>
      <c r="H6" s="10"/>
    </row>
    <row r="7" spans="1:9" x14ac:dyDescent="0.35">
      <c r="A7" s="3"/>
      <c r="B7" s="7" t="s">
        <v>61</v>
      </c>
      <c r="C7" s="440">
        <v>0.9</v>
      </c>
      <c r="D7" s="441">
        <v>176</v>
      </c>
      <c r="E7" s="442">
        <v>120</v>
      </c>
      <c r="F7" s="443">
        <v>1</v>
      </c>
      <c r="G7" s="464" t="s">
        <v>62</v>
      </c>
      <c r="H7" s="159"/>
    </row>
    <row r="8" spans="1:9" x14ac:dyDescent="0.35">
      <c r="A8" s="3"/>
      <c r="G8" s="10"/>
      <c r="H8" s="10"/>
    </row>
    <row r="9" spans="1:9" x14ac:dyDescent="0.35">
      <c r="A9" s="3"/>
      <c r="C9" s="4"/>
      <c r="E9" s="156"/>
      <c r="F9" s="156"/>
      <c r="G9" s="156"/>
      <c r="H9" s="11"/>
    </row>
    <row r="11" spans="1:9" x14ac:dyDescent="0.35">
      <c r="A11" s="397" t="s">
        <v>54</v>
      </c>
      <c r="B11" s="397" t="s">
        <v>63</v>
      </c>
      <c r="C11" s="397" t="s">
        <v>64</v>
      </c>
      <c r="D11" s="397" t="s">
        <v>65</v>
      </c>
      <c r="E11" s="397" t="s">
        <v>66</v>
      </c>
      <c r="F11" s="397" t="s">
        <v>67</v>
      </c>
      <c r="G11" s="397" t="s">
        <v>68</v>
      </c>
      <c r="H11" s="397" t="s">
        <v>69</v>
      </c>
      <c r="I11" s="397" t="s">
        <v>70</v>
      </c>
    </row>
    <row r="12" spans="1:9" x14ac:dyDescent="0.35">
      <c r="A12" s="444" t="s">
        <v>42</v>
      </c>
      <c r="B12" s="320" t="s">
        <v>71</v>
      </c>
      <c r="C12" s="320" t="s">
        <v>72</v>
      </c>
      <c r="D12" s="320" t="s">
        <v>73</v>
      </c>
      <c r="E12" s="320" t="s">
        <v>74</v>
      </c>
      <c r="F12" s="320" t="s">
        <v>75</v>
      </c>
      <c r="G12" s="320" t="s">
        <v>76</v>
      </c>
      <c r="H12" s="492">
        <f>(1+I12)/(1+'[1]Steel_BF-BOF with char (+CCUS)'!H57)-1</f>
        <v>-0.5</v>
      </c>
      <c r="I12" s="445">
        <f>AVERAGE('[1]Steel_BF-BOF with char (+CCUS)'!M13:M20)*(1-Sensitivity!C7)-Sensitivity!C7</f>
        <v>-0.9264</v>
      </c>
    </row>
    <row r="13" spans="1:9" x14ac:dyDescent="0.35">
      <c r="A13" s="446" t="s">
        <v>42</v>
      </c>
      <c r="B13" s="4" t="s">
        <v>71</v>
      </c>
      <c r="C13" s="4" t="s">
        <v>72</v>
      </c>
      <c r="D13" s="4" t="s">
        <v>73</v>
      </c>
      <c r="E13" s="4" t="s">
        <v>74</v>
      </c>
      <c r="F13" s="4" t="s">
        <v>77</v>
      </c>
      <c r="G13" s="4" t="s">
        <v>76</v>
      </c>
      <c r="H13" s="11">
        <f>(1-C7)/(1+'[1]Steel_BF-BOF with char (+CCUS)'!H70)-1</f>
        <v>-0.5</v>
      </c>
      <c r="I13" s="447">
        <f>-C7</f>
        <v>-0.9</v>
      </c>
    </row>
    <row r="14" spans="1:9" x14ac:dyDescent="0.35">
      <c r="A14" s="448" t="s">
        <v>41</v>
      </c>
      <c r="B14" s="4" t="s">
        <v>71</v>
      </c>
      <c r="C14" s="4" t="s">
        <v>72</v>
      </c>
      <c r="D14" s="4" t="s">
        <v>73</v>
      </c>
      <c r="E14" s="4" t="s">
        <v>74</v>
      </c>
      <c r="F14" s="4" t="s">
        <v>75</v>
      </c>
      <c r="G14" s="4" t="s">
        <v>76</v>
      </c>
      <c r="H14" s="10">
        <f>(1+I14)/(1+'[1]Steel_BF-BOF with char (+CCUS)'!H57)-1</f>
        <v>1</v>
      </c>
      <c r="I14" s="447">
        <f>AVERAGE('[1]Steel_BF-BOF with char (+CCUS)'!M40:M47)*(1-Sensitivity!C5)-Sensitivity!C5</f>
        <v>-0.7056</v>
      </c>
    </row>
    <row r="15" spans="1:9" x14ac:dyDescent="0.35">
      <c r="A15" s="449" t="s">
        <v>41</v>
      </c>
      <c r="B15" s="6" t="s">
        <v>71</v>
      </c>
      <c r="C15" s="6" t="s">
        <v>72</v>
      </c>
      <c r="D15" s="6" t="s">
        <v>73</v>
      </c>
      <c r="E15" s="6" t="s">
        <v>74</v>
      </c>
      <c r="F15" s="6" t="s">
        <v>77</v>
      </c>
      <c r="G15" s="6" t="s">
        <v>76</v>
      </c>
      <c r="H15" s="493">
        <f>(1-C5)/(1+'[1]Steel_BF-BOF with char (+CCUS)'!H70)-1</f>
        <v>1.0000000000000004</v>
      </c>
      <c r="I15" s="450">
        <f>-C5</f>
        <v>-0.6</v>
      </c>
    </row>
    <row r="17" spans="1:16" x14ac:dyDescent="0.35">
      <c r="A17" s="397" t="s">
        <v>54</v>
      </c>
      <c r="B17" s="397" t="s">
        <v>63</v>
      </c>
      <c r="C17" s="397" t="s">
        <v>78</v>
      </c>
      <c r="D17" s="397" t="s">
        <v>79</v>
      </c>
      <c r="E17" s="397" t="s">
        <v>64</v>
      </c>
      <c r="F17" s="397" t="s">
        <v>65</v>
      </c>
      <c r="G17" s="397" t="s">
        <v>66</v>
      </c>
      <c r="H17" s="397" t="s">
        <v>67</v>
      </c>
      <c r="I17" s="397" t="s">
        <v>68</v>
      </c>
      <c r="J17" s="397" t="s">
        <v>69</v>
      </c>
      <c r="L17" s="451"/>
    </row>
    <row r="18" spans="1:16" x14ac:dyDescent="0.35">
      <c r="A18" s="453" t="s">
        <v>33</v>
      </c>
      <c r="B18" s="4" t="s">
        <v>80</v>
      </c>
      <c r="C18" s="4" t="s">
        <v>73</v>
      </c>
      <c r="D18" s="4" t="s">
        <v>81</v>
      </c>
      <c r="E18" s="4" t="s">
        <v>82</v>
      </c>
      <c r="F18" s="4" t="s">
        <v>73</v>
      </c>
      <c r="G18" s="4" t="s">
        <v>74</v>
      </c>
      <c r="H18" s="4" t="s">
        <v>83</v>
      </c>
      <c r="I18" s="4" t="s">
        <v>84</v>
      </c>
      <c r="J18" s="76">
        <f>$M$20*'[1]Steel_BF-BOF with char (+CCUS)'!N26</f>
        <v>2.6760974214171465E-4</v>
      </c>
      <c r="L18" s="77" t="s">
        <v>85</v>
      </c>
      <c r="P18" s="452"/>
    </row>
    <row r="19" spans="1:16" x14ac:dyDescent="0.35">
      <c r="A19" s="453" t="s">
        <v>33</v>
      </c>
      <c r="B19" s="4" t="s">
        <v>80</v>
      </c>
      <c r="C19" s="4" t="s">
        <v>73</v>
      </c>
      <c r="D19" s="4" t="s">
        <v>81</v>
      </c>
      <c r="E19" s="4" t="s">
        <v>86</v>
      </c>
      <c r="F19" s="4" t="s">
        <v>73</v>
      </c>
      <c r="G19" s="4" t="s">
        <v>74</v>
      </c>
      <c r="H19" s="4" t="s">
        <v>83</v>
      </c>
      <c r="I19" s="4" t="s">
        <v>84</v>
      </c>
      <c r="J19" s="76">
        <f>$M$19*'Inputs by region STEEL'!G9</f>
        <v>3.7016175236971698E-3</v>
      </c>
      <c r="L19" s="77" t="s">
        <v>87</v>
      </c>
      <c r="M19" s="256">
        <f>$D$7/'[1]Steel_BF-BOF with char (+CCUS)'!$C$13/10^3</f>
        <v>0.15870153291253383</v>
      </c>
    </row>
    <row r="20" spans="1:16" x14ac:dyDescent="0.35">
      <c r="A20" s="453" t="s">
        <v>33</v>
      </c>
      <c r="B20" s="4" t="s">
        <v>80</v>
      </c>
      <c r="C20" s="4" t="s">
        <v>88</v>
      </c>
      <c r="D20" s="4" t="s">
        <v>81</v>
      </c>
      <c r="E20" s="4" t="s">
        <v>82</v>
      </c>
      <c r="F20" s="4" t="s">
        <v>73</v>
      </c>
      <c r="G20" s="4" t="s">
        <v>74</v>
      </c>
      <c r="H20" s="4" t="s">
        <v>83</v>
      </c>
      <c r="I20" s="4" t="s">
        <v>84</v>
      </c>
      <c r="J20" s="76">
        <f>$M$20*'[1]Steel_BF-BOF with char (+CCUS)'!N27</f>
        <v>1.6846497285095353E-4</v>
      </c>
      <c r="L20" s="77" t="s">
        <v>89</v>
      </c>
      <c r="M20" s="4">
        <f>'[1]Steel_BF-BOF with char (+CCUS)'!$M$32+(-Sensitivity!M19*'[1]Steel_BF-BOF with char (+CCUS)'!$C$12)</f>
        <v>5.0032377340031298E-4</v>
      </c>
    </row>
    <row r="21" spans="1:16" x14ac:dyDescent="0.35">
      <c r="A21" s="453" t="s">
        <v>33</v>
      </c>
      <c r="B21" s="4" t="s">
        <v>80</v>
      </c>
      <c r="C21" s="4" t="s">
        <v>88</v>
      </c>
      <c r="D21" s="4" t="s">
        <v>81</v>
      </c>
      <c r="E21" s="4" t="s">
        <v>86</v>
      </c>
      <c r="F21" s="4" t="s">
        <v>73</v>
      </c>
      <c r="G21" s="4" t="s">
        <v>74</v>
      </c>
      <c r="H21" s="4" t="s">
        <v>83</v>
      </c>
      <c r="I21" s="4" t="s">
        <v>84</v>
      </c>
      <c r="J21" s="76">
        <f>$M$19*'Inputs by region STEEL'!H9</f>
        <v>8.3841145981034843E-2</v>
      </c>
    </row>
    <row r="22" spans="1:16" x14ac:dyDescent="0.35">
      <c r="A22" s="453" t="s">
        <v>33</v>
      </c>
      <c r="B22" s="4" t="s">
        <v>80</v>
      </c>
      <c r="C22" s="4" t="s">
        <v>90</v>
      </c>
      <c r="D22" s="4" t="s">
        <v>81</v>
      </c>
      <c r="E22" s="4" t="s">
        <v>82</v>
      </c>
      <c r="F22" s="4" t="s">
        <v>73</v>
      </c>
      <c r="G22" s="4" t="s">
        <v>74</v>
      </c>
      <c r="H22" s="4" t="s">
        <v>83</v>
      </c>
      <c r="I22" s="4" t="s">
        <v>84</v>
      </c>
      <c r="J22" s="76">
        <f>$M$20*'[1]Steel_BF-BOF with char (+CCUS)'!N28</f>
        <v>4.0529696913112775E-8</v>
      </c>
    </row>
    <row r="23" spans="1:16" x14ac:dyDescent="0.35">
      <c r="A23" s="453" t="s">
        <v>33</v>
      </c>
      <c r="B23" s="4" t="s">
        <v>80</v>
      </c>
      <c r="C23" s="4" t="s">
        <v>90</v>
      </c>
      <c r="D23" s="4" t="s">
        <v>81</v>
      </c>
      <c r="E23" s="4" t="s">
        <v>86</v>
      </c>
      <c r="F23" s="4" t="s">
        <v>73</v>
      </c>
      <c r="G23" s="4" t="s">
        <v>74</v>
      </c>
      <c r="H23" s="4" t="s">
        <v>83</v>
      </c>
      <c r="I23" s="4" t="s">
        <v>84</v>
      </c>
      <c r="J23" s="76">
        <f>$M$19*'Inputs by region STEEL'!I9</f>
        <v>1.0973937716142008E-2</v>
      </c>
    </row>
    <row r="24" spans="1:16" x14ac:dyDescent="0.35">
      <c r="A24" s="453" t="s">
        <v>33</v>
      </c>
      <c r="B24" s="4" t="s">
        <v>80</v>
      </c>
      <c r="C24" s="4" t="s">
        <v>91</v>
      </c>
      <c r="D24" s="4" t="s">
        <v>81</v>
      </c>
      <c r="E24" s="4" t="s">
        <v>82</v>
      </c>
      <c r="F24" s="4" t="s">
        <v>73</v>
      </c>
      <c r="G24" s="4" t="s">
        <v>74</v>
      </c>
      <c r="H24" s="4" t="s">
        <v>83</v>
      </c>
      <c r="I24" s="4" t="s">
        <v>84</v>
      </c>
      <c r="J24" s="76">
        <f>$M$20*'[1]Steel_BF-BOF with char (+CCUS)'!N29</f>
        <v>7.8859787450203447E-6</v>
      </c>
    </row>
    <row r="25" spans="1:16" x14ac:dyDescent="0.35">
      <c r="A25" s="453" t="s">
        <v>33</v>
      </c>
      <c r="B25" s="4" t="s">
        <v>80</v>
      </c>
      <c r="C25" s="4" t="s">
        <v>91</v>
      </c>
      <c r="D25" s="4" t="s">
        <v>81</v>
      </c>
      <c r="E25" s="4" t="s">
        <v>86</v>
      </c>
      <c r="F25" s="4" t="s">
        <v>73</v>
      </c>
      <c r="G25" s="4" t="s">
        <v>74</v>
      </c>
      <c r="H25" s="4" t="s">
        <v>83</v>
      </c>
      <c r="I25" s="4" t="s">
        <v>84</v>
      </c>
      <c r="J25" s="76">
        <f>$M$19*'Inputs by region STEEL'!J9</f>
        <v>1.3654419371233061E-2</v>
      </c>
    </row>
    <row r="26" spans="1:16" x14ac:dyDescent="0.35">
      <c r="A26" s="453" t="s">
        <v>33</v>
      </c>
      <c r="B26" s="4" t="s">
        <v>80</v>
      </c>
      <c r="C26" s="4" t="s">
        <v>92</v>
      </c>
      <c r="D26" s="4" t="s">
        <v>81</v>
      </c>
      <c r="E26" s="4" t="s">
        <v>82</v>
      </c>
      <c r="F26" s="4" t="s">
        <v>73</v>
      </c>
      <c r="G26" s="4" t="s">
        <v>74</v>
      </c>
      <c r="H26" s="4" t="s">
        <v>83</v>
      </c>
      <c r="I26" s="4" t="s">
        <v>84</v>
      </c>
      <c r="J26" s="76">
        <f>$M$20*'[1]Steel_BF-BOF with char (+CCUS)'!N30</f>
        <v>1.0947328811186329E-5</v>
      </c>
    </row>
    <row r="27" spans="1:16" x14ac:dyDescent="0.35">
      <c r="A27" s="453" t="s">
        <v>33</v>
      </c>
      <c r="B27" s="4" t="s">
        <v>80</v>
      </c>
      <c r="C27" s="4" t="s">
        <v>92</v>
      </c>
      <c r="D27" s="4" t="s">
        <v>81</v>
      </c>
      <c r="E27" s="4" t="s">
        <v>86</v>
      </c>
      <c r="F27" s="4" t="s">
        <v>73</v>
      </c>
      <c r="G27" s="4" t="s">
        <v>74</v>
      </c>
      <c r="H27" s="4" t="s">
        <v>83</v>
      </c>
      <c r="I27" s="4" t="s">
        <v>84</v>
      </c>
      <c r="J27" s="76">
        <f>$M$19*'Inputs by region STEEL'!K9</f>
        <v>8.5029198289701558E-3</v>
      </c>
    </row>
    <row r="28" spans="1:16" x14ac:dyDescent="0.35">
      <c r="A28" s="453" t="s">
        <v>33</v>
      </c>
      <c r="B28" s="4" t="s">
        <v>80</v>
      </c>
      <c r="C28" s="4" t="s">
        <v>93</v>
      </c>
      <c r="D28" s="4" t="s">
        <v>81</v>
      </c>
      <c r="E28" s="4" t="s">
        <v>82</v>
      </c>
      <c r="F28" s="4" t="s">
        <v>73</v>
      </c>
      <c r="G28" s="4" t="s">
        <v>74</v>
      </c>
      <c r="H28" s="4" t="s">
        <v>83</v>
      </c>
      <c r="I28" s="4" t="s">
        <v>84</v>
      </c>
      <c r="J28" s="76">
        <f>$M$20*'[1]Steel_BF-BOF with char (+CCUS)'!N31</f>
        <v>4.5375221154525037E-5</v>
      </c>
    </row>
    <row r="29" spans="1:16" x14ac:dyDescent="0.35">
      <c r="A29" s="453" t="s">
        <v>33</v>
      </c>
      <c r="B29" s="4" t="s">
        <v>80</v>
      </c>
      <c r="C29" s="4" t="s">
        <v>93</v>
      </c>
      <c r="D29" s="4" t="s">
        <v>81</v>
      </c>
      <c r="E29" s="4" t="s">
        <v>86</v>
      </c>
      <c r="F29" s="4" t="s">
        <v>73</v>
      </c>
      <c r="G29" s="4" t="s">
        <v>74</v>
      </c>
      <c r="H29" s="4" t="s">
        <v>83</v>
      </c>
      <c r="I29" s="4" t="s">
        <v>84</v>
      </c>
      <c r="J29" s="76">
        <f>$M$19*'Inputs by region STEEL'!L9</f>
        <v>3.8027492491456601E-2</v>
      </c>
    </row>
    <row r="30" spans="1:16" x14ac:dyDescent="0.35">
      <c r="A30" s="453" t="s">
        <v>33</v>
      </c>
      <c r="B30" s="4" t="s">
        <v>80</v>
      </c>
      <c r="C30" s="4" t="s">
        <v>73</v>
      </c>
      <c r="D30" s="4" t="s">
        <v>81</v>
      </c>
      <c r="E30" s="4" t="s">
        <v>82</v>
      </c>
      <c r="F30" s="4" t="s">
        <v>73</v>
      </c>
      <c r="G30" s="4" t="s">
        <v>74</v>
      </c>
      <c r="H30" s="4" t="s">
        <v>75</v>
      </c>
      <c r="I30" s="4" t="s">
        <v>84</v>
      </c>
      <c r="J30" s="76">
        <f>$M$20*'[1]Steel_BF-BOF with char (+CCUS)'!N53</f>
        <v>2.6760974214171465E-4</v>
      </c>
    </row>
    <row r="31" spans="1:16" x14ac:dyDescent="0.35">
      <c r="A31" s="453" t="s">
        <v>33</v>
      </c>
      <c r="B31" s="4" t="s">
        <v>80</v>
      </c>
      <c r="C31" s="4" t="s">
        <v>73</v>
      </c>
      <c r="D31" s="4" t="s">
        <v>81</v>
      </c>
      <c r="E31" s="4" t="s">
        <v>86</v>
      </c>
      <c r="F31" s="4" t="s">
        <v>73</v>
      </c>
      <c r="G31" s="4" t="s">
        <v>74</v>
      </c>
      <c r="H31" s="4" t="s">
        <v>75</v>
      </c>
      <c r="I31" s="4" t="s">
        <v>84</v>
      </c>
      <c r="J31" s="76">
        <f>$M$19*'Inputs by region STEEL'!G9</f>
        <v>3.7016175236971698E-3</v>
      </c>
    </row>
    <row r="32" spans="1:16" x14ac:dyDescent="0.35">
      <c r="A32" s="453" t="s">
        <v>33</v>
      </c>
      <c r="B32" s="4" t="s">
        <v>80</v>
      </c>
      <c r="C32" s="4" t="s">
        <v>88</v>
      </c>
      <c r="D32" s="4" t="s">
        <v>81</v>
      </c>
      <c r="E32" s="4" t="s">
        <v>82</v>
      </c>
      <c r="F32" s="4" t="s">
        <v>73</v>
      </c>
      <c r="G32" s="4" t="s">
        <v>74</v>
      </c>
      <c r="H32" s="4" t="s">
        <v>75</v>
      </c>
      <c r="I32" s="4" t="s">
        <v>84</v>
      </c>
      <c r="J32" s="76">
        <f>$M$20*'[1]Steel_BF-BOF with char (+CCUS)'!N54</f>
        <v>1.6846497285095353E-4</v>
      </c>
    </row>
    <row r="33" spans="1:13" x14ac:dyDescent="0.35">
      <c r="A33" s="453" t="s">
        <v>33</v>
      </c>
      <c r="B33" s="4" t="s">
        <v>80</v>
      </c>
      <c r="C33" s="4" t="s">
        <v>88</v>
      </c>
      <c r="D33" s="4" t="s">
        <v>81</v>
      </c>
      <c r="E33" s="4" t="s">
        <v>86</v>
      </c>
      <c r="F33" s="4" t="s">
        <v>73</v>
      </c>
      <c r="G33" s="4" t="s">
        <v>74</v>
      </c>
      <c r="H33" s="4" t="s">
        <v>75</v>
      </c>
      <c r="I33" s="4" t="s">
        <v>84</v>
      </c>
      <c r="J33" s="76">
        <f>$M$19*'Inputs by region STEEL'!H9</f>
        <v>8.3841145981034843E-2</v>
      </c>
    </row>
    <row r="34" spans="1:13" x14ac:dyDescent="0.35">
      <c r="A34" s="453" t="s">
        <v>33</v>
      </c>
      <c r="B34" s="4" t="s">
        <v>80</v>
      </c>
      <c r="C34" s="4" t="s">
        <v>90</v>
      </c>
      <c r="D34" s="4" t="s">
        <v>81</v>
      </c>
      <c r="E34" s="4" t="s">
        <v>82</v>
      </c>
      <c r="F34" s="4" t="s">
        <v>73</v>
      </c>
      <c r="G34" s="4" t="s">
        <v>74</v>
      </c>
      <c r="H34" s="4" t="s">
        <v>75</v>
      </c>
      <c r="I34" s="4" t="s">
        <v>84</v>
      </c>
      <c r="J34" s="76">
        <f>$M$20*'[1]Steel_BF-BOF with char (+CCUS)'!N55</f>
        <v>4.0529696913112775E-8</v>
      </c>
    </row>
    <row r="35" spans="1:13" x14ac:dyDescent="0.35">
      <c r="A35" s="453" t="s">
        <v>33</v>
      </c>
      <c r="B35" s="4" t="s">
        <v>80</v>
      </c>
      <c r="C35" s="4" t="s">
        <v>90</v>
      </c>
      <c r="D35" s="4" t="s">
        <v>81</v>
      </c>
      <c r="E35" s="4" t="s">
        <v>86</v>
      </c>
      <c r="F35" s="4" t="s">
        <v>73</v>
      </c>
      <c r="G35" s="4" t="s">
        <v>74</v>
      </c>
      <c r="H35" s="4" t="s">
        <v>75</v>
      </c>
      <c r="I35" s="4" t="s">
        <v>84</v>
      </c>
      <c r="J35" s="76">
        <f>$M$19*'Inputs by region STEEL'!I9</f>
        <v>1.0973937716142008E-2</v>
      </c>
    </row>
    <row r="36" spans="1:13" x14ac:dyDescent="0.35">
      <c r="A36" s="453" t="s">
        <v>33</v>
      </c>
      <c r="B36" s="4" t="s">
        <v>80</v>
      </c>
      <c r="C36" s="4" t="s">
        <v>91</v>
      </c>
      <c r="D36" s="4" t="s">
        <v>81</v>
      </c>
      <c r="E36" s="4" t="s">
        <v>82</v>
      </c>
      <c r="F36" s="4" t="s">
        <v>73</v>
      </c>
      <c r="G36" s="4" t="s">
        <v>74</v>
      </c>
      <c r="H36" s="4" t="s">
        <v>75</v>
      </c>
      <c r="I36" s="4" t="s">
        <v>84</v>
      </c>
      <c r="J36" s="76">
        <f>$M$20*'[1]Steel_BF-BOF with char (+CCUS)'!N56</f>
        <v>7.8859787450203447E-6</v>
      </c>
    </row>
    <row r="37" spans="1:13" x14ac:dyDescent="0.35">
      <c r="A37" s="453" t="s">
        <v>33</v>
      </c>
      <c r="B37" s="4" t="s">
        <v>80</v>
      </c>
      <c r="C37" s="4" t="s">
        <v>91</v>
      </c>
      <c r="D37" s="4" t="s">
        <v>81</v>
      </c>
      <c r="E37" s="4" t="s">
        <v>86</v>
      </c>
      <c r="F37" s="4" t="s">
        <v>73</v>
      </c>
      <c r="G37" s="4" t="s">
        <v>74</v>
      </c>
      <c r="H37" s="4" t="s">
        <v>75</v>
      </c>
      <c r="I37" s="4" t="s">
        <v>84</v>
      </c>
      <c r="J37" s="76">
        <f>$M$19*'Inputs by region STEEL'!J9</f>
        <v>1.3654419371233061E-2</v>
      </c>
    </row>
    <row r="38" spans="1:13" x14ac:dyDescent="0.35">
      <c r="A38" s="453" t="s">
        <v>33</v>
      </c>
      <c r="B38" s="4" t="s">
        <v>80</v>
      </c>
      <c r="C38" s="4" t="s">
        <v>92</v>
      </c>
      <c r="D38" s="4" t="s">
        <v>81</v>
      </c>
      <c r="E38" s="4" t="s">
        <v>82</v>
      </c>
      <c r="F38" s="4" t="s">
        <v>73</v>
      </c>
      <c r="G38" s="4" t="s">
        <v>74</v>
      </c>
      <c r="H38" s="4" t="s">
        <v>75</v>
      </c>
      <c r="I38" s="4" t="s">
        <v>84</v>
      </c>
      <c r="J38" s="76">
        <f>$M$20*'[1]Steel_BF-BOF with char (+CCUS)'!N57</f>
        <v>1.0947328811186329E-5</v>
      </c>
    </row>
    <row r="39" spans="1:13" x14ac:dyDescent="0.35">
      <c r="A39" s="453" t="s">
        <v>33</v>
      </c>
      <c r="B39" s="4" t="s">
        <v>80</v>
      </c>
      <c r="C39" s="4" t="s">
        <v>92</v>
      </c>
      <c r="D39" s="4" t="s">
        <v>81</v>
      </c>
      <c r="E39" s="4" t="s">
        <v>86</v>
      </c>
      <c r="F39" s="4" t="s">
        <v>73</v>
      </c>
      <c r="G39" s="4" t="s">
        <v>74</v>
      </c>
      <c r="H39" s="4" t="s">
        <v>75</v>
      </c>
      <c r="I39" s="4" t="s">
        <v>84</v>
      </c>
      <c r="J39" s="76">
        <f>$M$19*'Inputs by region STEEL'!K9</f>
        <v>8.5029198289701558E-3</v>
      </c>
    </row>
    <row r="40" spans="1:13" x14ac:dyDescent="0.35">
      <c r="A40" s="453" t="s">
        <v>33</v>
      </c>
      <c r="B40" s="4" t="s">
        <v>80</v>
      </c>
      <c r="C40" s="4" t="s">
        <v>93</v>
      </c>
      <c r="D40" s="4" t="s">
        <v>81</v>
      </c>
      <c r="E40" s="4" t="s">
        <v>82</v>
      </c>
      <c r="F40" s="4" t="s">
        <v>73</v>
      </c>
      <c r="G40" s="4" t="s">
        <v>74</v>
      </c>
      <c r="H40" s="4" t="s">
        <v>75</v>
      </c>
      <c r="I40" s="4" t="s">
        <v>84</v>
      </c>
      <c r="J40" s="76">
        <f>$M$20*'[1]Steel_BF-BOF with char (+CCUS)'!N58</f>
        <v>4.5375221154525037E-5</v>
      </c>
    </row>
    <row r="41" spans="1:13" x14ac:dyDescent="0.35">
      <c r="A41" s="453" t="s">
        <v>33</v>
      </c>
      <c r="B41" s="4" t="s">
        <v>80</v>
      </c>
      <c r="C41" s="4" t="s">
        <v>93</v>
      </c>
      <c r="D41" s="4" t="s">
        <v>81</v>
      </c>
      <c r="E41" s="4" t="s">
        <v>86</v>
      </c>
      <c r="F41" s="4" t="s">
        <v>73</v>
      </c>
      <c r="G41" s="4" t="s">
        <v>74</v>
      </c>
      <c r="H41" s="4" t="s">
        <v>75</v>
      </c>
      <c r="I41" s="4" t="s">
        <v>84</v>
      </c>
      <c r="J41" s="76">
        <f>$M$19*'Inputs by region STEEL'!L9</f>
        <v>3.8027492491456601E-2</v>
      </c>
    </row>
    <row r="42" spans="1:13" x14ac:dyDescent="0.35">
      <c r="A42" s="105" t="s">
        <v>31</v>
      </c>
      <c r="B42" s="4" t="s">
        <v>80</v>
      </c>
      <c r="C42" s="4" t="s">
        <v>73</v>
      </c>
      <c r="D42" s="4" t="s">
        <v>81</v>
      </c>
      <c r="E42" s="4" t="s">
        <v>82</v>
      </c>
      <c r="F42" s="4" t="s">
        <v>73</v>
      </c>
      <c r="G42" s="4" t="s">
        <v>74</v>
      </c>
      <c r="H42" s="4" t="s">
        <v>83</v>
      </c>
      <c r="I42" s="4" t="s">
        <v>84</v>
      </c>
      <c r="J42" s="76">
        <f>$M$44*'[1]Steel_BF-BOF with char (+CCUS)'!N26</f>
        <v>4.1745598096881081E-2</v>
      </c>
      <c r="L42" s="77" t="s">
        <v>94</v>
      </c>
    </row>
    <row r="43" spans="1:13" x14ac:dyDescent="0.35">
      <c r="A43" s="105" t="s">
        <v>31</v>
      </c>
      <c r="B43" s="4" t="s">
        <v>80</v>
      </c>
      <c r="C43" s="4" t="s">
        <v>73</v>
      </c>
      <c r="D43" s="4" t="s">
        <v>81</v>
      </c>
      <c r="E43" s="4" t="s">
        <v>86</v>
      </c>
      <c r="F43" s="4" t="s">
        <v>73</v>
      </c>
      <c r="G43" s="4" t="s">
        <v>74</v>
      </c>
      <c r="H43" s="4" t="s">
        <v>83</v>
      </c>
      <c r="I43" s="4" t="s">
        <v>84</v>
      </c>
      <c r="J43" s="76">
        <f>$M$43*'Inputs by region STEEL'!G9</f>
        <v>1.8928725973451437E-3</v>
      </c>
      <c r="L43" s="77" t="s">
        <v>87</v>
      </c>
      <c r="M43" s="256">
        <f>$D$5/'[1]Steel_BF-BOF with char (+CCUS)'!$C$13/10^3</f>
        <v>8.1154192966636618E-2</v>
      </c>
    </row>
    <row r="44" spans="1:13" x14ac:dyDescent="0.35">
      <c r="A44" s="105" t="s">
        <v>31</v>
      </c>
      <c r="B44" s="4" t="s">
        <v>80</v>
      </c>
      <c r="C44" s="4" t="s">
        <v>88</v>
      </c>
      <c r="D44" s="4" t="s">
        <v>81</v>
      </c>
      <c r="E44" s="4" t="s">
        <v>82</v>
      </c>
      <c r="F44" s="4" t="s">
        <v>73</v>
      </c>
      <c r="G44" s="4" t="s">
        <v>74</v>
      </c>
      <c r="H44" s="4" t="s">
        <v>83</v>
      </c>
      <c r="I44" s="4" t="s">
        <v>84</v>
      </c>
      <c r="J44" s="76">
        <f>$M$44*'[1]Steel_BF-BOF with char (+CCUS)'!N27</f>
        <v>2.6279577842549875E-2</v>
      </c>
      <c r="L44" s="77" t="s">
        <v>89</v>
      </c>
      <c r="M44" s="256">
        <f>'[1]Steel_BF-BOF with char (+CCUS)'!$M$32+(-M43*'[1]Steel_BF-BOF with char (+CCUS)'!$C$12)</f>
        <v>7.8047663719297528E-2</v>
      </c>
    </row>
    <row r="45" spans="1:13" x14ac:dyDescent="0.35">
      <c r="A45" s="105" t="s">
        <v>31</v>
      </c>
      <c r="B45" s="4" t="s">
        <v>80</v>
      </c>
      <c r="C45" s="4" t="s">
        <v>88</v>
      </c>
      <c r="D45" s="4" t="s">
        <v>81</v>
      </c>
      <c r="E45" s="4" t="s">
        <v>86</v>
      </c>
      <c r="F45" s="4" t="s">
        <v>73</v>
      </c>
      <c r="G45" s="4" t="s">
        <v>74</v>
      </c>
      <c r="H45" s="4" t="s">
        <v>83</v>
      </c>
      <c r="I45" s="4" t="s">
        <v>84</v>
      </c>
      <c r="J45" s="76">
        <f>$M$43*'Inputs by region STEEL'!H9</f>
        <v>4.2873313285756449E-2</v>
      </c>
      <c r="L45" s="77"/>
      <c r="M45" s="256"/>
    </row>
    <row r="46" spans="1:13" x14ac:dyDescent="0.35">
      <c r="A46" s="105" t="s">
        <v>31</v>
      </c>
      <c r="B46" s="4" t="s">
        <v>80</v>
      </c>
      <c r="C46" s="4" t="s">
        <v>90</v>
      </c>
      <c r="D46" s="4" t="s">
        <v>81</v>
      </c>
      <c r="E46" s="4" t="s">
        <v>82</v>
      </c>
      <c r="F46" s="4" t="s">
        <v>73</v>
      </c>
      <c r="G46" s="4" t="s">
        <v>74</v>
      </c>
      <c r="H46" s="4" t="s">
        <v>83</v>
      </c>
      <c r="I46" s="4" t="s">
        <v>84</v>
      </c>
      <c r="J46" s="76">
        <f>$M$44*'[1]Steel_BF-BOF with char (+CCUS)'!N28</f>
        <v>6.3224022592840835E-6</v>
      </c>
    </row>
    <row r="47" spans="1:13" x14ac:dyDescent="0.35">
      <c r="A47" s="105" t="s">
        <v>31</v>
      </c>
      <c r="B47" s="4" t="s">
        <v>80</v>
      </c>
      <c r="C47" s="4" t="s">
        <v>90</v>
      </c>
      <c r="D47" s="4" t="s">
        <v>81</v>
      </c>
      <c r="E47" s="4" t="s">
        <v>86</v>
      </c>
      <c r="F47" s="4" t="s">
        <v>73</v>
      </c>
      <c r="G47" s="4" t="s">
        <v>74</v>
      </c>
      <c r="H47" s="4" t="s">
        <v>83</v>
      </c>
      <c r="I47" s="4" t="s">
        <v>84</v>
      </c>
      <c r="J47" s="76">
        <f>$M$43*'Inputs by region STEEL'!I9</f>
        <v>5.6116726957544357E-3</v>
      </c>
      <c r="M47" s="256"/>
    </row>
    <row r="48" spans="1:13" x14ac:dyDescent="0.35">
      <c r="A48" s="105" t="s">
        <v>31</v>
      </c>
      <c r="B48" s="4" t="s">
        <v>80</v>
      </c>
      <c r="C48" s="4" t="s">
        <v>91</v>
      </c>
      <c r="D48" s="4" t="s">
        <v>81</v>
      </c>
      <c r="E48" s="4" t="s">
        <v>82</v>
      </c>
      <c r="F48" s="4" t="s">
        <v>73</v>
      </c>
      <c r="G48" s="4" t="s">
        <v>74</v>
      </c>
      <c r="H48" s="4" t="s">
        <v>83</v>
      </c>
      <c r="I48" s="4" t="s">
        <v>84</v>
      </c>
      <c r="J48" s="76">
        <f>$M$44*'[1]Steel_BF-BOF with char (+CCUS)'!N29</f>
        <v>1.230167843126702E-3</v>
      </c>
    </row>
    <row r="49" spans="1:12" x14ac:dyDescent="0.35">
      <c r="A49" s="105" t="s">
        <v>31</v>
      </c>
      <c r="B49" s="4" t="s">
        <v>80</v>
      </c>
      <c r="C49" s="4" t="s">
        <v>91</v>
      </c>
      <c r="D49" s="4" t="s">
        <v>81</v>
      </c>
      <c r="E49" s="4" t="s">
        <v>86</v>
      </c>
      <c r="F49" s="4" t="s">
        <v>73</v>
      </c>
      <c r="G49" s="4" t="s">
        <v>74</v>
      </c>
      <c r="H49" s="4" t="s">
        <v>83</v>
      </c>
      <c r="I49" s="4" t="s">
        <v>84</v>
      </c>
      <c r="J49" s="76">
        <f>$M$43*'Inputs by region STEEL'!J9</f>
        <v>6.9823735421078153E-3</v>
      </c>
    </row>
    <row r="50" spans="1:12" x14ac:dyDescent="0.35">
      <c r="A50" s="105" t="s">
        <v>31</v>
      </c>
      <c r="B50" s="4" t="s">
        <v>80</v>
      </c>
      <c r="C50" s="4" t="s">
        <v>92</v>
      </c>
      <c r="D50" s="4" t="s">
        <v>81</v>
      </c>
      <c r="E50" s="4" t="s">
        <v>82</v>
      </c>
      <c r="F50" s="4" t="s">
        <v>73</v>
      </c>
      <c r="G50" s="4" t="s">
        <v>74</v>
      </c>
      <c r="H50" s="4" t="s">
        <v>83</v>
      </c>
      <c r="I50" s="4" t="s">
        <v>84</v>
      </c>
      <c r="J50" s="76">
        <f>$M$44*'[1]Steel_BF-BOF with char (+CCUS)'!N30</f>
        <v>1.7077210460603577E-3</v>
      </c>
    </row>
    <row r="51" spans="1:12" x14ac:dyDescent="0.35">
      <c r="A51" s="105" t="s">
        <v>31</v>
      </c>
      <c r="B51" s="4" t="s">
        <v>80</v>
      </c>
      <c r="C51" s="4" t="s">
        <v>92</v>
      </c>
      <c r="D51" s="4" t="s">
        <v>81</v>
      </c>
      <c r="E51" s="4" t="s">
        <v>86</v>
      </c>
      <c r="F51" s="4" t="s">
        <v>73</v>
      </c>
      <c r="G51" s="4" t="s">
        <v>74</v>
      </c>
      <c r="H51" s="4" t="s">
        <v>83</v>
      </c>
      <c r="I51" s="4" t="s">
        <v>84</v>
      </c>
      <c r="J51" s="76">
        <f>$M$43*'Inputs by region STEEL'!K9</f>
        <v>4.3480840034506481E-3</v>
      </c>
    </row>
    <row r="52" spans="1:12" x14ac:dyDescent="0.35">
      <c r="A52" s="105" t="s">
        <v>31</v>
      </c>
      <c r="B52" s="4" t="s">
        <v>80</v>
      </c>
      <c r="C52" s="4" t="s">
        <v>93</v>
      </c>
      <c r="D52" s="4" t="s">
        <v>81</v>
      </c>
      <c r="E52" s="4" t="s">
        <v>82</v>
      </c>
      <c r="F52" s="4" t="s">
        <v>73</v>
      </c>
      <c r="G52" s="4" t="s">
        <v>74</v>
      </c>
      <c r="H52" s="4" t="s">
        <v>83</v>
      </c>
      <c r="I52" s="4" t="s">
        <v>84</v>
      </c>
      <c r="J52" s="76">
        <f>$M$44*'[1]Steel_BF-BOF with char (+CCUS)'!N31</f>
        <v>7.0782764884202284E-3</v>
      </c>
      <c r="L52" s="458"/>
    </row>
    <row r="53" spans="1:12" x14ac:dyDescent="0.35">
      <c r="A53" s="105" t="s">
        <v>31</v>
      </c>
      <c r="B53" s="4" t="s">
        <v>80</v>
      </c>
      <c r="C53" s="4" t="s">
        <v>93</v>
      </c>
      <c r="D53" s="4" t="s">
        <v>81</v>
      </c>
      <c r="E53" s="4" t="s">
        <v>86</v>
      </c>
      <c r="F53" s="4" t="s">
        <v>73</v>
      </c>
      <c r="G53" s="4" t="s">
        <v>74</v>
      </c>
      <c r="H53" s="4" t="s">
        <v>83</v>
      </c>
      <c r="I53" s="4" t="s">
        <v>84</v>
      </c>
      <c r="J53" s="76">
        <f>$M$43*'Inputs by region STEEL'!L9</f>
        <v>1.9445876842222126E-2</v>
      </c>
    </row>
    <row r="54" spans="1:12" x14ac:dyDescent="0.35">
      <c r="A54" s="105" t="s">
        <v>31</v>
      </c>
      <c r="B54" s="4" t="s">
        <v>80</v>
      </c>
      <c r="C54" s="4" t="s">
        <v>73</v>
      </c>
      <c r="D54" s="4" t="s">
        <v>81</v>
      </c>
      <c r="E54" s="4" t="s">
        <v>82</v>
      </c>
      <c r="F54" s="4" t="s">
        <v>73</v>
      </c>
      <c r="G54" s="4" t="s">
        <v>74</v>
      </c>
      <c r="H54" s="4" t="s">
        <v>75</v>
      </c>
      <c r="I54" s="4" t="s">
        <v>84</v>
      </c>
      <c r="J54" s="76">
        <f>$M$44*'[1]Steel_BF-BOF with char (+CCUS)'!N53</f>
        <v>4.1745598096881081E-2</v>
      </c>
    </row>
    <row r="55" spans="1:12" x14ac:dyDescent="0.35">
      <c r="A55" s="105" t="s">
        <v>31</v>
      </c>
      <c r="B55" s="4" t="s">
        <v>80</v>
      </c>
      <c r="C55" s="4" t="s">
        <v>73</v>
      </c>
      <c r="D55" s="4" t="s">
        <v>81</v>
      </c>
      <c r="E55" s="4" t="s">
        <v>86</v>
      </c>
      <c r="F55" s="4" t="s">
        <v>73</v>
      </c>
      <c r="G55" s="4" t="s">
        <v>74</v>
      </c>
      <c r="H55" s="4" t="s">
        <v>75</v>
      </c>
      <c r="I55" s="4" t="s">
        <v>84</v>
      </c>
      <c r="J55" s="76">
        <f>$M$43*'Inputs by region STEEL'!G9</f>
        <v>1.8928725973451437E-3</v>
      </c>
    </row>
    <row r="56" spans="1:12" x14ac:dyDescent="0.35">
      <c r="A56" s="105" t="s">
        <v>31</v>
      </c>
      <c r="B56" s="4" t="s">
        <v>80</v>
      </c>
      <c r="C56" s="4" t="s">
        <v>88</v>
      </c>
      <c r="D56" s="4" t="s">
        <v>81</v>
      </c>
      <c r="E56" s="4" t="s">
        <v>82</v>
      </c>
      <c r="F56" s="4" t="s">
        <v>73</v>
      </c>
      <c r="G56" s="4" t="s">
        <v>74</v>
      </c>
      <c r="H56" s="4" t="s">
        <v>75</v>
      </c>
      <c r="I56" s="4" t="s">
        <v>84</v>
      </c>
      <c r="J56" s="76">
        <f>$M$44*'[1]Steel_BF-BOF with char (+CCUS)'!N54</f>
        <v>2.6279577842549875E-2</v>
      </c>
    </row>
    <row r="57" spans="1:12" x14ac:dyDescent="0.35">
      <c r="A57" s="105" t="s">
        <v>31</v>
      </c>
      <c r="B57" s="4" t="s">
        <v>80</v>
      </c>
      <c r="C57" s="4" t="s">
        <v>88</v>
      </c>
      <c r="D57" s="4" t="s">
        <v>81</v>
      </c>
      <c r="E57" s="4" t="s">
        <v>86</v>
      </c>
      <c r="F57" s="4" t="s">
        <v>73</v>
      </c>
      <c r="G57" s="4" t="s">
        <v>74</v>
      </c>
      <c r="H57" s="4" t="s">
        <v>75</v>
      </c>
      <c r="I57" s="4" t="s">
        <v>84</v>
      </c>
      <c r="J57" s="76">
        <f>$M$43*'Inputs by region STEEL'!H9</f>
        <v>4.2873313285756449E-2</v>
      </c>
    </row>
    <row r="58" spans="1:12" x14ac:dyDescent="0.35">
      <c r="A58" s="105" t="s">
        <v>31</v>
      </c>
      <c r="B58" s="4" t="s">
        <v>80</v>
      </c>
      <c r="C58" s="4" t="s">
        <v>90</v>
      </c>
      <c r="D58" s="4" t="s">
        <v>81</v>
      </c>
      <c r="E58" s="4" t="s">
        <v>82</v>
      </c>
      <c r="F58" s="4" t="s">
        <v>73</v>
      </c>
      <c r="G58" s="4" t="s">
        <v>74</v>
      </c>
      <c r="H58" s="4" t="s">
        <v>75</v>
      </c>
      <c r="I58" s="4" t="s">
        <v>84</v>
      </c>
      <c r="J58" s="76">
        <f>$M$44*'[1]Steel_BF-BOF with char (+CCUS)'!N55</f>
        <v>6.3224022592840835E-6</v>
      </c>
    </row>
    <row r="59" spans="1:12" x14ac:dyDescent="0.35">
      <c r="A59" s="105" t="s">
        <v>31</v>
      </c>
      <c r="B59" s="4" t="s">
        <v>80</v>
      </c>
      <c r="C59" s="4" t="s">
        <v>90</v>
      </c>
      <c r="D59" s="4" t="s">
        <v>81</v>
      </c>
      <c r="E59" s="4" t="s">
        <v>86</v>
      </c>
      <c r="F59" s="4" t="s">
        <v>73</v>
      </c>
      <c r="G59" s="4" t="s">
        <v>74</v>
      </c>
      <c r="H59" s="4" t="s">
        <v>75</v>
      </c>
      <c r="I59" s="4" t="s">
        <v>84</v>
      </c>
      <c r="J59" s="76">
        <f>$M$43*'Inputs by region STEEL'!I9</f>
        <v>5.6116726957544357E-3</v>
      </c>
    </row>
    <row r="60" spans="1:12" x14ac:dyDescent="0.35">
      <c r="A60" s="105" t="s">
        <v>31</v>
      </c>
      <c r="B60" s="4" t="s">
        <v>80</v>
      </c>
      <c r="C60" s="4" t="s">
        <v>91</v>
      </c>
      <c r="D60" s="4" t="s">
        <v>81</v>
      </c>
      <c r="E60" s="4" t="s">
        <v>82</v>
      </c>
      <c r="F60" s="4" t="s">
        <v>73</v>
      </c>
      <c r="G60" s="4" t="s">
        <v>74</v>
      </c>
      <c r="H60" s="4" t="s">
        <v>75</v>
      </c>
      <c r="I60" s="4" t="s">
        <v>84</v>
      </c>
      <c r="J60" s="76">
        <f>$M$44*'[1]Steel_BF-BOF with char (+CCUS)'!N56</f>
        <v>1.230167843126702E-3</v>
      </c>
    </row>
    <row r="61" spans="1:12" x14ac:dyDescent="0.35">
      <c r="A61" s="105" t="s">
        <v>31</v>
      </c>
      <c r="B61" s="4" t="s">
        <v>80</v>
      </c>
      <c r="C61" s="4" t="s">
        <v>91</v>
      </c>
      <c r="D61" s="4" t="s">
        <v>81</v>
      </c>
      <c r="E61" s="4" t="s">
        <v>86</v>
      </c>
      <c r="F61" s="4" t="s">
        <v>73</v>
      </c>
      <c r="G61" s="4" t="s">
        <v>74</v>
      </c>
      <c r="H61" s="4" t="s">
        <v>75</v>
      </c>
      <c r="I61" s="4" t="s">
        <v>84</v>
      </c>
      <c r="J61" s="76">
        <f>$M$43*'Inputs by region STEEL'!J9</f>
        <v>6.9823735421078153E-3</v>
      </c>
    </row>
    <row r="62" spans="1:12" x14ac:dyDescent="0.35">
      <c r="A62" s="105" t="s">
        <v>31</v>
      </c>
      <c r="B62" s="4" t="s">
        <v>80</v>
      </c>
      <c r="C62" s="4" t="s">
        <v>92</v>
      </c>
      <c r="D62" s="4" t="s">
        <v>81</v>
      </c>
      <c r="E62" s="4" t="s">
        <v>82</v>
      </c>
      <c r="F62" s="4" t="s">
        <v>73</v>
      </c>
      <c r="G62" s="4" t="s">
        <v>74</v>
      </c>
      <c r="H62" s="4" t="s">
        <v>75</v>
      </c>
      <c r="I62" s="4" t="s">
        <v>84</v>
      </c>
      <c r="J62" s="76">
        <f>$M$44*'[1]Steel_BF-BOF with char (+CCUS)'!N57</f>
        <v>1.7077210460603577E-3</v>
      </c>
    </row>
    <row r="63" spans="1:12" x14ac:dyDescent="0.35">
      <c r="A63" s="105" t="s">
        <v>31</v>
      </c>
      <c r="B63" s="4" t="s">
        <v>80</v>
      </c>
      <c r="C63" s="4" t="s">
        <v>92</v>
      </c>
      <c r="D63" s="4" t="s">
        <v>81</v>
      </c>
      <c r="E63" s="4" t="s">
        <v>86</v>
      </c>
      <c r="F63" s="4" t="s">
        <v>73</v>
      </c>
      <c r="G63" s="4" t="s">
        <v>74</v>
      </c>
      <c r="H63" s="4" t="s">
        <v>75</v>
      </c>
      <c r="I63" s="4" t="s">
        <v>84</v>
      </c>
      <c r="J63" s="76">
        <f>$M$43*'Inputs by region STEEL'!K9</f>
        <v>4.3480840034506481E-3</v>
      </c>
    </row>
    <row r="64" spans="1:12" x14ac:dyDescent="0.35">
      <c r="A64" s="105" t="s">
        <v>31</v>
      </c>
      <c r="B64" s="4" t="s">
        <v>80</v>
      </c>
      <c r="C64" s="4" t="s">
        <v>93</v>
      </c>
      <c r="D64" s="4" t="s">
        <v>81</v>
      </c>
      <c r="E64" s="4" t="s">
        <v>82</v>
      </c>
      <c r="F64" s="4" t="s">
        <v>73</v>
      </c>
      <c r="G64" s="4" t="s">
        <v>74</v>
      </c>
      <c r="H64" s="4" t="s">
        <v>75</v>
      </c>
      <c r="I64" s="4" t="s">
        <v>84</v>
      </c>
      <c r="J64" s="76">
        <f>$M$44*'[1]Steel_BF-BOF with char (+CCUS)'!N58</f>
        <v>7.0782764884202284E-3</v>
      </c>
    </row>
    <row r="65" spans="1:13" x14ac:dyDescent="0.35">
      <c r="A65" s="105" t="s">
        <v>31</v>
      </c>
      <c r="B65" s="4" t="s">
        <v>80</v>
      </c>
      <c r="C65" s="4" t="s">
        <v>93</v>
      </c>
      <c r="D65" s="4" t="s">
        <v>81</v>
      </c>
      <c r="E65" s="4" t="s">
        <v>86</v>
      </c>
      <c r="F65" s="4" t="s">
        <v>73</v>
      </c>
      <c r="G65" s="4" t="s">
        <v>74</v>
      </c>
      <c r="H65" s="4" t="s">
        <v>75</v>
      </c>
      <c r="I65" s="4" t="s">
        <v>84</v>
      </c>
      <c r="J65" s="76">
        <f>$M$43*'Inputs by region STEEL'!L9</f>
        <v>1.9445876842222126E-2</v>
      </c>
    </row>
    <row r="66" spans="1:13" x14ac:dyDescent="0.35">
      <c r="A66" s="454" t="s">
        <v>95</v>
      </c>
      <c r="B66" s="320" t="s">
        <v>80</v>
      </c>
      <c r="C66" s="320" t="s">
        <v>73</v>
      </c>
      <c r="D66" s="320" t="s">
        <v>81</v>
      </c>
      <c r="E66" s="320" t="s">
        <v>96</v>
      </c>
      <c r="F66" s="320" t="s">
        <v>73</v>
      </c>
      <c r="G66" s="320" t="s">
        <v>74</v>
      </c>
      <c r="H66" s="320" t="s">
        <v>97</v>
      </c>
      <c r="I66" s="320" t="s">
        <v>84</v>
      </c>
      <c r="J66" s="429">
        <f>$E$6*'[1]Steel_BF-BOF with H2'!$M$11/'[1]Steel_BF-BOF with H2'!$C$13*'[1]Steel_BF-BOF with H2'!E11</f>
        <v>1.8124436429215511</v>
      </c>
      <c r="L66" s="77" t="s">
        <v>98</v>
      </c>
      <c r="M66" s="256">
        <f>'[1]Steel_BF-BOF with H2'!$M$33+(-'[1]Steel_BF-BOF with H2'!$C$12*(Sensitivity!J66+Sensitivity!J67)/10^3)</f>
        <v>0.13201520204211087</v>
      </c>
    </row>
    <row r="67" spans="1:13" x14ac:dyDescent="0.35">
      <c r="A67" s="455" t="s">
        <v>95</v>
      </c>
      <c r="B67" s="4" t="s">
        <v>80</v>
      </c>
      <c r="C67" s="4" t="s">
        <v>73</v>
      </c>
      <c r="D67" s="4" t="s">
        <v>81</v>
      </c>
      <c r="E67" s="4" t="s">
        <v>99</v>
      </c>
      <c r="F67" s="4" t="s">
        <v>73</v>
      </c>
      <c r="G67" s="4" t="s">
        <v>74</v>
      </c>
      <c r="H67" s="4" t="s">
        <v>97</v>
      </c>
      <c r="I67" s="4" t="s">
        <v>84</v>
      </c>
      <c r="J67" s="256">
        <f>$E$6*'[1]Steel_BF-BOF with H2'!$M$11/'[1]Steel_BF-BOF with H2'!$C$13*'[1]Steel_BF-BOF with H2'!E12</f>
        <v>7.2497745716862045</v>
      </c>
    </row>
    <row r="68" spans="1:13" x14ac:dyDescent="0.35">
      <c r="A68" s="455" t="s">
        <v>95</v>
      </c>
      <c r="B68" s="4" t="s">
        <v>80</v>
      </c>
      <c r="C68" s="4" t="s">
        <v>73</v>
      </c>
      <c r="D68" s="4" t="s">
        <v>81</v>
      </c>
      <c r="E68" s="4" t="s">
        <v>82</v>
      </c>
      <c r="F68" s="4" t="s">
        <v>73</v>
      </c>
      <c r="G68" s="4" t="s">
        <v>74</v>
      </c>
      <c r="H68" s="4" t="s">
        <v>97</v>
      </c>
      <c r="I68" s="4" t="s">
        <v>84</v>
      </c>
      <c r="J68" s="256">
        <f>$M$66*'[1]Steel_BF-BOF with H2'!N27</f>
        <v>7.0611384178638645E-2</v>
      </c>
    </row>
    <row r="69" spans="1:13" x14ac:dyDescent="0.35">
      <c r="A69" s="455" t="s">
        <v>95</v>
      </c>
      <c r="B69" s="4" t="s">
        <v>80</v>
      </c>
      <c r="C69" s="4" t="s">
        <v>88</v>
      </c>
      <c r="D69" s="4" t="s">
        <v>81</v>
      </c>
      <c r="E69" s="4" t="s">
        <v>82</v>
      </c>
      <c r="F69" s="4" t="s">
        <v>73</v>
      </c>
      <c r="G69" s="4" t="s">
        <v>74</v>
      </c>
      <c r="H69" s="4" t="s">
        <v>97</v>
      </c>
      <c r="I69" s="4" t="s">
        <v>84</v>
      </c>
      <c r="J69" s="256">
        <f>$M$66*'[1]Steel_BF-BOF with H2'!N28</f>
        <v>4.4451090694311274E-2</v>
      </c>
    </row>
    <row r="70" spans="1:13" x14ac:dyDescent="0.35">
      <c r="A70" s="455" t="s">
        <v>95</v>
      </c>
      <c r="B70" s="4" t="s">
        <v>80</v>
      </c>
      <c r="C70" s="4" t="s">
        <v>90</v>
      </c>
      <c r="D70" s="4" t="s">
        <v>81</v>
      </c>
      <c r="E70" s="4" t="s">
        <v>82</v>
      </c>
      <c r="F70" s="4" t="s">
        <v>73</v>
      </c>
      <c r="G70" s="4" t="s">
        <v>74</v>
      </c>
      <c r="H70" s="4" t="s">
        <v>97</v>
      </c>
      <c r="I70" s="4" t="s">
        <v>84</v>
      </c>
      <c r="J70" s="256">
        <f>$M$66*'[1]Steel_BF-BOF with H2'!N29</f>
        <v>1.0694147292515508E-5</v>
      </c>
    </row>
    <row r="71" spans="1:13" x14ac:dyDescent="0.35">
      <c r="A71" s="455" t="s">
        <v>95</v>
      </c>
      <c r="B71" s="4" t="s">
        <v>80</v>
      </c>
      <c r="C71" s="4" t="s">
        <v>91</v>
      </c>
      <c r="D71" s="4" t="s">
        <v>81</v>
      </c>
      <c r="E71" s="4" t="s">
        <v>82</v>
      </c>
      <c r="F71" s="4" t="s">
        <v>73</v>
      </c>
      <c r="G71" s="4" t="s">
        <v>74</v>
      </c>
      <c r="H71" s="4" t="s">
        <v>97</v>
      </c>
      <c r="I71" s="4" t="s">
        <v>84</v>
      </c>
      <c r="J71" s="256">
        <f>$M$66*'[1]Steel_BF-BOF with H2'!N30</f>
        <v>2.0807907452574416E-3</v>
      </c>
    </row>
    <row r="72" spans="1:13" x14ac:dyDescent="0.35">
      <c r="A72" s="455" t="s">
        <v>95</v>
      </c>
      <c r="B72" s="4" t="s">
        <v>80</v>
      </c>
      <c r="C72" s="4" t="s">
        <v>92</v>
      </c>
      <c r="D72" s="4" t="s">
        <v>81</v>
      </c>
      <c r="E72" s="4" t="s">
        <v>82</v>
      </c>
      <c r="F72" s="4" t="s">
        <v>73</v>
      </c>
      <c r="G72" s="4" t="s">
        <v>74</v>
      </c>
      <c r="H72" s="4" t="s">
        <v>97</v>
      </c>
      <c r="I72" s="4" t="s">
        <v>84</v>
      </c>
      <c r="J72" s="256">
        <f>$M$66*'[1]Steel_BF-BOF with H2'!N31</f>
        <v>2.8885571737041122E-3</v>
      </c>
    </row>
    <row r="73" spans="1:13" x14ac:dyDescent="0.35">
      <c r="A73" s="455" t="s">
        <v>95</v>
      </c>
      <c r="B73" s="4" t="s">
        <v>80</v>
      </c>
      <c r="C73" s="4" t="s">
        <v>93</v>
      </c>
      <c r="D73" s="4" t="s">
        <v>81</v>
      </c>
      <c r="E73" s="4" t="s">
        <v>82</v>
      </c>
      <c r="F73" s="4" t="s">
        <v>73</v>
      </c>
      <c r="G73" s="4" t="s">
        <v>74</v>
      </c>
      <c r="H73" s="4" t="s">
        <v>97</v>
      </c>
      <c r="I73" s="4" t="s">
        <v>84</v>
      </c>
      <c r="J73" s="256">
        <f>$M$66*'[1]Steel_BF-BOF with H2'!N32</f>
        <v>1.1972685102906883E-2</v>
      </c>
      <c r="K73" s="452"/>
    </row>
    <row r="74" spans="1:13" x14ac:dyDescent="0.35">
      <c r="A74" s="145" t="s">
        <v>35</v>
      </c>
      <c r="B74" s="4" t="s">
        <v>80</v>
      </c>
      <c r="C74" s="4" t="s">
        <v>73</v>
      </c>
      <c r="D74" s="4" t="s">
        <v>81</v>
      </c>
      <c r="E74" s="4" t="s">
        <v>96</v>
      </c>
      <c r="F74" s="4" t="s">
        <v>73</v>
      </c>
      <c r="G74" s="4" t="s">
        <v>74</v>
      </c>
      <c r="H74" s="4" t="s">
        <v>97</v>
      </c>
      <c r="I74" s="4" t="s">
        <v>84</v>
      </c>
      <c r="J74" s="256">
        <f>$E$5*'[1]Steel_BF-BOF with H2'!$M$11/'[1]Steel_BF-BOF with H2'!$C$13*'[1]Steel_BF-BOF with H2'!E11</f>
        <v>0.30207394048692521</v>
      </c>
      <c r="L74" s="77" t="s">
        <v>100</v>
      </c>
      <c r="M74" s="256">
        <f>'[1]Steel_BF-BOF with H2'!$M$33+(-'[1]Steel_BF-BOF with H2'!$C$12*(Sensitivity!J74+Sensitivity!J75)/10^3)</f>
        <v>0.15467074757863028</v>
      </c>
    </row>
    <row r="75" spans="1:13" x14ac:dyDescent="0.35">
      <c r="A75" s="145" t="s">
        <v>35</v>
      </c>
      <c r="B75" s="4" t="s">
        <v>80</v>
      </c>
      <c r="C75" s="4" t="s">
        <v>73</v>
      </c>
      <c r="D75" s="4" t="s">
        <v>81</v>
      </c>
      <c r="E75" s="4" t="s">
        <v>99</v>
      </c>
      <c r="F75" s="4" t="s">
        <v>73</v>
      </c>
      <c r="G75" s="4" t="s">
        <v>74</v>
      </c>
      <c r="H75" s="4" t="s">
        <v>97</v>
      </c>
      <c r="I75" s="4" t="s">
        <v>84</v>
      </c>
      <c r="J75" s="256">
        <f>$E$5*'[1]Steel_BF-BOF with H2'!$M$11/'[1]Steel_BF-BOF with H2'!$C$13*'[1]Steel_BF-BOF with H2'!E12</f>
        <v>1.2082957619477008</v>
      </c>
    </row>
    <row r="76" spans="1:13" x14ac:dyDescent="0.35">
      <c r="A76" s="145" t="s">
        <v>35</v>
      </c>
      <c r="B76" s="4" t="s">
        <v>80</v>
      </c>
      <c r="C76" s="4" t="s">
        <v>73</v>
      </c>
      <c r="D76" s="4" t="s">
        <v>81</v>
      </c>
      <c r="E76" s="4" t="s">
        <v>82</v>
      </c>
      <c r="F76" s="4" t="s">
        <v>73</v>
      </c>
      <c r="G76" s="4" t="s">
        <v>74</v>
      </c>
      <c r="H76" s="4" t="s">
        <v>97</v>
      </c>
      <c r="I76" s="4" t="s">
        <v>84</v>
      </c>
      <c r="J76" s="76">
        <f>$M$74*'[1]Steel_BF-BOF with H2'!N27</f>
        <v>8.2729226706694789E-2</v>
      </c>
    </row>
    <row r="77" spans="1:13" x14ac:dyDescent="0.35">
      <c r="A77" s="145" t="s">
        <v>35</v>
      </c>
      <c r="B77" s="4" t="s">
        <v>80</v>
      </c>
      <c r="C77" s="4" t="s">
        <v>88</v>
      </c>
      <c r="D77" s="4" t="s">
        <v>81</v>
      </c>
      <c r="E77" s="4" t="s">
        <v>82</v>
      </c>
      <c r="F77" s="4" t="s">
        <v>73</v>
      </c>
      <c r="G77" s="4" t="s">
        <v>74</v>
      </c>
      <c r="H77" s="4" t="s">
        <v>97</v>
      </c>
      <c r="I77" s="4" t="s">
        <v>84</v>
      </c>
      <c r="J77" s="76">
        <f>$M$74*'[1]Steel_BF-BOF with H2'!N28</f>
        <v>5.2079482680952971E-2</v>
      </c>
    </row>
    <row r="78" spans="1:13" x14ac:dyDescent="0.35">
      <c r="A78" s="145" t="s">
        <v>35</v>
      </c>
      <c r="B78" s="4" t="s">
        <v>80</v>
      </c>
      <c r="C78" s="4" t="s">
        <v>90</v>
      </c>
      <c r="D78" s="4" t="s">
        <v>81</v>
      </c>
      <c r="E78" s="4" t="s">
        <v>82</v>
      </c>
      <c r="F78" s="4" t="s">
        <v>73</v>
      </c>
      <c r="G78" s="4" t="s">
        <v>74</v>
      </c>
      <c r="H78" s="4" t="s">
        <v>97</v>
      </c>
      <c r="I78" s="4" t="s">
        <v>84</v>
      </c>
      <c r="J78" s="76">
        <f>$M$74*'[1]Steel_BF-BOF with H2'!N29</f>
        <v>1.2529403666115169E-5</v>
      </c>
    </row>
    <row r="79" spans="1:13" x14ac:dyDescent="0.35">
      <c r="A79" s="145" t="s">
        <v>35</v>
      </c>
      <c r="B79" s="4" t="s">
        <v>80</v>
      </c>
      <c r="C79" s="4" t="s">
        <v>91</v>
      </c>
      <c r="D79" s="4" t="s">
        <v>81</v>
      </c>
      <c r="E79" s="4" t="s">
        <v>82</v>
      </c>
      <c r="F79" s="4" t="s">
        <v>73</v>
      </c>
      <c r="G79" s="4" t="s">
        <v>74</v>
      </c>
      <c r="H79" s="4" t="s">
        <v>97</v>
      </c>
      <c r="I79" s="4" t="s">
        <v>84</v>
      </c>
      <c r="J79" s="76">
        <f>$M$74*'[1]Steel_BF-BOF with H2'!N30</f>
        <v>2.4378818131945324E-3</v>
      </c>
    </row>
    <row r="80" spans="1:13" x14ac:dyDescent="0.35">
      <c r="A80" s="145" t="s">
        <v>35</v>
      </c>
      <c r="B80" s="4" t="s">
        <v>80</v>
      </c>
      <c r="C80" s="4" t="s">
        <v>92</v>
      </c>
      <c r="D80" s="4" t="s">
        <v>81</v>
      </c>
      <c r="E80" s="4" t="s">
        <v>82</v>
      </c>
      <c r="F80" s="4" t="s">
        <v>73</v>
      </c>
      <c r="G80" s="4" t="s">
        <v>74</v>
      </c>
      <c r="H80" s="4" t="s">
        <v>97</v>
      </c>
      <c r="I80" s="4" t="s">
        <v>84</v>
      </c>
      <c r="J80" s="76">
        <f>$M$74*'[1]Steel_BF-BOF with H2'!N31</f>
        <v>3.3842715881911524E-3</v>
      </c>
    </row>
    <row r="81" spans="1:13" x14ac:dyDescent="0.35">
      <c r="A81" s="145" t="s">
        <v>35</v>
      </c>
      <c r="B81" s="4" t="s">
        <v>80</v>
      </c>
      <c r="C81" s="4" t="s">
        <v>93</v>
      </c>
      <c r="D81" s="4" t="s">
        <v>81</v>
      </c>
      <c r="E81" s="4" t="s">
        <v>82</v>
      </c>
      <c r="F81" s="4" t="s">
        <v>73</v>
      </c>
      <c r="G81" s="4" t="s">
        <v>74</v>
      </c>
      <c r="H81" s="4" t="s">
        <v>97</v>
      </c>
      <c r="I81" s="4" t="s">
        <v>84</v>
      </c>
      <c r="J81" s="76">
        <f>$M$74*'[1]Steel_BF-BOF with H2'!N32</f>
        <v>1.4027355385930732E-2</v>
      </c>
      <c r="K81" s="452"/>
    </row>
    <row r="82" spans="1:13" x14ac:dyDescent="0.35">
      <c r="A82" s="456" t="s">
        <v>37</v>
      </c>
      <c r="B82" s="4" t="s">
        <v>80</v>
      </c>
      <c r="C82" s="4" t="s">
        <v>73</v>
      </c>
      <c r="D82" s="4" t="s">
        <v>81</v>
      </c>
      <c r="E82" s="4" t="s">
        <v>96</v>
      </c>
      <c r="F82" s="4" t="s">
        <v>73</v>
      </c>
      <c r="G82" s="4" t="s">
        <v>74</v>
      </c>
      <c r="H82" s="4" t="s">
        <v>97</v>
      </c>
      <c r="I82" s="4" t="s">
        <v>84</v>
      </c>
      <c r="J82" s="256">
        <f>'[1]Steel_BF-BOF with H2'!C11*'[1]Steel_BF-BOF with H2'!M11/'[1]Steel_BF-BOF with H2'!C13*Sensitivity!F7</f>
        <v>9.0622182146077552</v>
      </c>
    </row>
    <row r="83" spans="1:13" x14ac:dyDescent="0.35">
      <c r="A83" s="456" t="s">
        <v>37</v>
      </c>
      <c r="B83" s="4" t="s">
        <v>80</v>
      </c>
      <c r="C83" s="4" t="s">
        <v>73</v>
      </c>
      <c r="D83" s="4" t="s">
        <v>81</v>
      </c>
      <c r="E83" s="4" t="s">
        <v>99</v>
      </c>
      <c r="F83" s="4" t="s">
        <v>73</v>
      </c>
      <c r="G83" s="4" t="s">
        <v>74</v>
      </c>
      <c r="H83" s="4" t="s">
        <v>97</v>
      </c>
      <c r="I83" s="4" t="s">
        <v>84</v>
      </c>
      <c r="J83" s="4">
        <f>'[1]Steel_BF-BOF with H2'!C11*'[1]Steel_BF-BOF with H2'!M11/'[1]Steel_BF-BOF with H2'!C13*(1-F7)</f>
        <v>0</v>
      </c>
    </row>
    <row r="84" spans="1:13" x14ac:dyDescent="0.35">
      <c r="A84" s="13" t="s">
        <v>38</v>
      </c>
      <c r="B84" s="4" t="s">
        <v>80</v>
      </c>
      <c r="C84" s="4" t="s">
        <v>73</v>
      </c>
      <c r="D84" s="4" t="s">
        <v>81</v>
      </c>
      <c r="E84" s="4" t="s">
        <v>96</v>
      </c>
      <c r="F84" s="4" t="s">
        <v>73</v>
      </c>
      <c r="G84" s="4" t="s">
        <v>74</v>
      </c>
      <c r="H84" s="4" t="s">
        <v>97</v>
      </c>
      <c r="I84" s="4" t="s">
        <v>84</v>
      </c>
      <c r="J84" s="4">
        <f>'[1]Steel_BF-BOF with H2'!C11*'[1]Steel_BF-BOF with H2'!M11/'[1]Steel_BF-BOF with H2'!C13*F5</f>
        <v>0</v>
      </c>
    </row>
    <row r="85" spans="1:13" x14ac:dyDescent="0.35">
      <c r="A85" s="13" t="s">
        <v>38</v>
      </c>
      <c r="B85" s="4" t="s">
        <v>80</v>
      </c>
      <c r="C85" s="4" t="s">
        <v>73</v>
      </c>
      <c r="D85" s="4" t="s">
        <v>81</v>
      </c>
      <c r="E85" s="4" t="s">
        <v>99</v>
      </c>
      <c r="F85" s="4" t="s">
        <v>73</v>
      </c>
      <c r="G85" s="4" t="s">
        <v>74</v>
      </c>
      <c r="H85" s="4" t="s">
        <v>97</v>
      </c>
      <c r="I85" s="4" t="s">
        <v>84</v>
      </c>
      <c r="J85" s="256">
        <f>'[1]Steel_BF-BOF with H2'!C11*'[1]Steel_BF-BOF with H2'!M11/'[1]Steel_BF-BOF with H2'!C13*(1-F5)</f>
        <v>9.0622182146077552</v>
      </c>
    </row>
    <row r="86" spans="1:13" x14ac:dyDescent="0.35">
      <c r="A86" s="459" t="s">
        <v>39</v>
      </c>
      <c r="B86" s="320" t="s">
        <v>80</v>
      </c>
      <c r="C86" s="320" t="s">
        <v>73</v>
      </c>
      <c r="D86" s="320" t="s">
        <v>81</v>
      </c>
      <c r="E86" s="320" t="s">
        <v>101</v>
      </c>
      <c r="F86" s="320" t="s">
        <v>73</v>
      </c>
      <c r="G86" s="320" t="s">
        <v>74</v>
      </c>
      <c r="H86" s="320" t="s">
        <v>102</v>
      </c>
      <c r="I86" s="320" t="s">
        <v>84</v>
      </c>
      <c r="J86" s="457">
        <f>[2]H2_NGSR!$H$40*M87</f>
        <v>0.51705287995693072</v>
      </c>
      <c r="L86" s="77" t="s">
        <v>103</v>
      </c>
    </row>
    <row r="87" spans="1:13" x14ac:dyDescent="0.35">
      <c r="A87" s="460" t="s">
        <v>39</v>
      </c>
      <c r="B87" s="4" t="s">
        <v>80</v>
      </c>
      <c r="C87" s="4" t="s">
        <v>73</v>
      </c>
      <c r="D87" s="4" t="s">
        <v>81</v>
      </c>
      <c r="E87" s="4" t="s">
        <v>104</v>
      </c>
      <c r="F87" s="4" t="s">
        <v>73</v>
      </c>
      <c r="G87" s="4" t="s">
        <v>74</v>
      </c>
      <c r="H87" s="4" t="s">
        <v>102</v>
      </c>
      <c r="I87" s="4" t="s">
        <v>84</v>
      </c>
      <c r="J87" s="76">
        <f>[2]H2_NGSR!$H$40*M88</f>
        <v>0.29649301958370766</v>
      </c>
      <c r="L87" s="77" t="s">
        <v>105</v>
      </c>
      <c r="M87" s="159" cm="1">
        <f t="array" ref="M87:M89">_xlfn.ANCHORARRAY('[1]Inputs by region '!G13)</f>
        <v>0.41224179051140819</v>
      </c>
    </row>
    <row r="88" spans="1:13" x14ac:dyDescent="0.35">
      <c r="A88" s="460" t="s">
        <v>39</v>
      </c>
      <c r="B88" s="4" t="s">
        <v>80</v>
      </c>
      <c r="C88" s="4" t="s">
        <v>73</v>
      </c>
      <c r="D88" s="4" t="s">
        <v>81</v>
      </c>
      <c r="E88" s="4" t="s">
        <v>106</v>
      </c>
      <c r="F88" s="4" t="s">
        <v>73</v>
      </c>
      <c r="G88" s="4" t="s">
        <v>74</v>
      </c>
      <c r="H88" s="4" t="s">
        <v>102</v>
      </c>
      <c r="I88" s="4" t="s">
        <v>84</v>
      </c>
      <c r="J88" s="76">
        <f>[2]H2_NGSR!$H$40*M89</f>
        <v>0.44070073885936156</v>
      </c>
      <c r="L88" s="77" t="s">
        <v>107</v>
      </c>
      <c r="M88" s="159">
        <v>0.23639132089836318</v>
      </c>
    </row>
    <row r="89" spans="1:13" x14ac:dyDescent="0.35">
      <c r="A89" s="460" t="s">
        <v>39</v>
      </c>
      <c r="B89" s="4" t="s">
        <v>80</v>
      </c>
      <c r="C89" s="4" t="s">
        <v>73</v>
      </c>
      <c r="D89" s="4" t="s">
        <v>81</v>
      </c>
      <c r="E89" s="4" t="s">
        <v>101</v>
      </c>
      <c r="F89" s="4" t="s">
        <v>73</v>
      </c>
      <c r="G89" s="4" t="s">
        <v>74</v>
      </c>
      <c r="H89" s="4" t="s">
        <v>108</v>
      </c>
      <c r="I89" s="4" t="s">
        <v>84</v>
      </c>
      <c r="J89" s="76">
        <f>[2]H2_ELE!$H$43*M87</f>
        <v>9.3634951329599192E-4</v>
      </c>
      <c r="L89" s="77" t="s">
        <v>109</v>
      </c>
      <c r="M89" s="159">
        <v>0.35136688859022863</v>
      </c>
    </row>
    <row r="90" spans="1:13" x14ac:dyDescent="0.35">
      <c r="A90" s="460" t="s">
        <v>39</v>
      </c>
      <c r="B90" s="4" t="s">
        <v>80</v>
      </c>
      <c r="C90" s="4" t="s">
        <v>73</v>
      </c>
      <c r="D90" s="4" t="s">
        <v>81</v>
      </c>
      <c r="E90" s="4" t="s">
        <v>104</v>
      </c>
      <c r="F90" s="4" t="s">
        <v>73</v>
      </c>
      <c r="G90" s="4" t="s">
        <v>74</v>
      </c>
      <c r="H90" s="4" t="s">
        <v>108</v>
      </c>
      <c r="I90" s="4" t="s">
        <v>84</v>
      </c>
      <c r="J90" s="76">
        <f>[2]H2_ELE!$H$43*M88</f>
        <v>5.3692979063570611E-4</v>
      </c>
    </row>
    <row r="91" spans="1:13" x14ac:dyDescent="0.35">
      <c r="A91" s="460" t="s">
        <v>39</v>
      </c>
      <c r="B91" s="4" t="s">
        <v>80</v>
      </c>
      <c r="C91" s="4" t="s">
        <v>73</v>
      </c>
      <c r="D91" s="4" t="s">
        <v>81</v>
      </c>
      <c r="E91" s="4" t="s">
        <v>106</v>
      </c>
      <c r="F91" s="4" t="s">
        <v>73</v>
      </c>
      <c r="G91" s="4" t="s">
        <v>74</v>
      </c>
      <c r="H91" s="4" t="s">
        <v>108</v>
      </c>
      <c r="I91" s="4" t="s">
        <v>84</v>
      </c>
      <c r="J91" s="76">
        <f>[2]H2_ELE!$H$43*M89</f>
        <v>7.9808069606830158E-4</v>
      </c>
    </row>
    <row r="92" spans="1:13" x14ac:dyDescent="0.35">
      <c r="A92" s="460" t="s">
        <v>39</v>
      </c>
      <c r="B92" s="4" t="s">
        <v>80</v>
      </c>
      <c r="C92" s="4" t="s">
        <v>73</v>
      </c>
      <c r="D92" s="4" t="s">
        <v>81</v>
      </c>
      <c r="E92" s="4" t="s">
        <v>101</v>
      </c>
      <c r="F92" s="4" t="s">
        <v>73</v>
      </c>
      <c r="G92" s="4" t="s">
        <v>74</v>
      </c>
      <c r="H92" s="4" t="s">
        <v>110</v>
      </c>
      <c r="I92" s="4" t="s">
        <v>84</v>
      </c>
      <c r="J92" s="76">
        <f>('[1]Steel_NG-DR'!$H$37+'[1]Steel_NG-DR'!$H$16)*M87</f>
        <v>1.4567715973119188E-3</v>
      </c>
    </row>
    <row r="93" spans="1:13" x14ac:dyDescent="0.35">
      <c r="A93" s="460" t="s">
        <v>39</v>
      </c>
      <c r="B93" s="4" t="s">
        <v>80</v>
      </c>
      <c r="C93" s="4" t="s">
        <v>73</v>
      </c>
      <c r="D93" s="4" t="s">
        <v>81</v>
      </c>
      <c r="E93" s="4" t="s">
        <v>104</v>
      </c>
      <c r="F93" s="4" t="s">
        <v>73</v>
      </c>
      <c r="G93" s="4" t="s">
        <v>74</v>
      </c>
      <c r="H93" s="4" t="s">
        <v>110</v>
      </c>
      <c r="I93" s="4" t="s">
        <v>84</v>
      </c>
      <c r="J93" s="76">
        <f>('[1]Steel_NG-DR'!$H$37+'[1]Steel_NG-DR'!$H$16)*M88</f>
        <v>8.3535480890614125E-4</v>
      </c>
    </row>
    <row r="94" spans="1:13" x14ac:dyDescent="0.35">
      <c r="A94" s="460" t="s">
        <v>39</v>
      </c>
      <c r="B94" s="4" t="s">
        <v>80</v>
      </c>
      <c r="C94" s="4" t="s">
        <v>73</v>
      </c>
      <c r="D94" s="4" t="s">
        <v>81</v>
      </c>
      <c r="E94" s="4" t="s">
        <v>106</v>
      </c>
      <c r="F94" s="4" t="s">
        <v>73</v>
      </c>
      <c r="G94" s="4" t="s">
        <v>74</v>
      </c>
      <c r="H94" s="4" t="s">
        <v>110</v>
      </c>
      <c r="I94" s="4" t="s">
        <v>84</v>
      </c>
      <c r="J94" s="76">
        <f>('[1]Steel_NG-DR'!$H$37+'[1]Steel_NG-DR'!$H$16)*M89</f>
        <v>1.2416531155153262E-3</v>
      </c>
    </row>
    <row r="95" spans="1:13" x14ac:dyDescent="0.35">
      <c r="A95" s="460" t="s">
        <v>39</v>
      </c>
      <c r="B95" s="4" t="s">
        <v>80</v>
      </c>
      <c r="C95" s="4" t="s">
        <v>73</v>
      </c>
      <c r="D95" s="4" t="s">
        <v>81</v>
      </c>
      <c r="E95" s="4" t="s">
        <v>101</v>
      </c>
      <c r="F95" s="4" t="s">
        <v>73</v>
      </c>
      <c r="G95" s="4" t="s">
        <v>74</v>
      </c>
      <c r="H95" s="4" t="s">
        <v>111</v>
      </c>
      <c r="I95" s="4" t="s">
        <v>84</v>
      </c>
      <c r="J95" s="76">
        <f>('[1]Steel_100%H2-DR'!$H$16+'[1]Steel_100%H2-DR'!$H$37)*M87</f>
        <v>1.4077232662383567E-3</v>
      </c>
    </row>
    <row r="96" spans="1:13" x14ac:dyDescent="0.35">
      <c r="A96" s="460" t="s">
        <v>39</v>
      </c>
      <c r="B96" s="4" t="s">
        <v>80</v>
      </c>
      <c r="C96" s="4" t="s">
        <v>73</v>
      </c>
      <c r="D96" s="4" t="s">
        <v>81</v>
      </c>
      <c r="E96" s="4" t="s">
        <v>104</v>
      </c>
      <c r="F96" s="4" t="s">
        <v>73</v>
      </c>
      <c r="G96" s="4" t="s">
        <v>74</v>
      </c>
      <c r="H96" s="4" t="s">
        <v>111</v>
      </c>
      <c r="I96" s="4" t="s">
        <v>84</v>
      </c>
      <c r="J96" s="76">
        <f>('[1]Steel_100%H2-DR'!$H$16+'[1]Steel_100%H2-DR'!$H$37)*M88</f>
        <v>8.0722908260373052E-4</v>
      </c>
    </row>
    <row r="97" spans="1:11" x14ac:dyDescent="0.35">
      <c r="A97" s="460" t="s">
        <v>39</v>
      </c>
      <c r="B97" s="4" t="s">
        <v>80</v>
      </c>
      <c r="C97" s="4" t="s">
        <v>73</v>
      </c>
      <c r="D97" s="4" t="s">
        <v>81</v>
      </c>
      <c r="E97" s="4" t="s">
        <v>106</v>
      </c>
      <c r="F97" s="4" t="s">
        <v>73</v>
      </c>
      <c r="G97" s="4" t="s">
        <v>74</v>
      </c>
      <c r="H97" s="4" t="s">
        <v>111</v>
      </c>
      <c r="I97" s="4" t="s">
        <v>84</v>
      </c>
      <c r="J97" s="76">
        <f>('[1]Steel_100%H2-DR'!$H$16+'[1]Steel_100%H2-DR'!$H$37)*M89</f>
        <v>1.1998476511579127E-3</v>
      </c>
    </row>
    <row r="98" spans="1:11" x14ac:dyDescent="0.35">
      <c r="A98" s="460" t="s">
        <v>39</v>
      </c>
      <c r="B98" s="4" t="s">
        <v>80</v>
      </c>
      <c r="C98" s="4" t="s">
        <v>73</v>
      </c>
      <c r="D98" s="4" t="s">
        <v>81</v>
      </c>
      <c r="E98" s="4" t="s">
        <v>101</v>
      </c>
      <c r="F98" s="4" t="s">
        <v>73</v>
      </c>
      <c r="G98" s="4" t="s">
        <v>74</v>
      </c>
      <c r="H98" s="4" t="s">
        <v>112</v>
      </c>
      <c r="I98" s="4" t="s">
        <v>84</v>
      </c>
      <c r="J98" s="76">
        <f>[2]H2_NGSR!$H$45*M87/'MSUT H2'!$BH$30</f>
        <v>4.6878208830362335E-7</v>
      </c>
    </row>
    <row r="99" spans="1:11" x14ac:dyDescent="0.35">
      <c r="A99" s="460" t="s">
        <v>39</v>
      </c>
      <c r="B99" s="4" t="s">
        <v>80</v>
      </c>
      <c r="C99" s="4" t="s">
        <v>73</v>
      </c>
      <c r="D99" s="4" t="s">
        <v>81</v>
      </c>
      <c r="E99" s="4" t="s">
        <v>104</v>
      </c>
      <c r="F99" s="4" t="s">
        <v>73</v>
      </c>
      <c r="G99" s="4" t="s">
        <v>74</v>
      </c>
      <c r="H99" s="4" t="s">
        <v>112</v>
      </c>
      <c r="I99" s="4" t="s">
        <v>84</v>
      </c>
      <c r="J99" s="76">
        <f>[2]H2_NGSR!$H$45*M88/'MSUT H2'!$BH$30</f>
        <v>2.6881315678867343E-7</v>
      </c>
    </row>
    <row r="100" spans="1:11" x14ac:dyDescent="0.35">
      <c r="A100" s="460" t="s">
        <v>39</v>
      </c>
      <c r="B100" s="4" t="s">
        <v>80</v>
      </c>
      <c r="C100" s="4" t="s">
        <v>73</v>
      </c>
      <c r="D100" s="4" t="s">
        <v>81</v>
      </c>
      <c r="E100" s="4" t="s">
        <v>106</v>
      </c>
      <c r="F100" s="4" t="s">
        <v>73</v>
      </c>
      <c r="G100" s="4" t="s">
        <v>74</v>
      </c>
      <c r="H100" s="4" t="s">
        <v>112</v>
      </c>
      <c r="I100" s="4" t="s">
        <v>84</v>
      </c>
      <c r="J100" s="76">
        <f>[2]H2_NGSR!$H$45*M89/'MSUT H2'!$BH$30</f>
        <v>3.99557996266552E-7</v>
      </c>
      <c r="K100" s="72"/>
    </row>
    <row r="101" spans="1:11" x14ac:dyDescent="0.35">
      <c r="A101" s="460" t="s">
        <v>39</v>
      </c>
      <c r="B101" s="4" t="s">
        <v>80</v>
      </c>
      <c r="C101" s="4" t="s">
        <v>73</v>
      </c>
      <c r="D101" s="4" t="s">
        <v>81</v>
      </c>
      <c r="E101" s="4" t="s">
        <v>101</v>
      </c>
      <c r="F101" s="4" t="s">
        <v>73</v>
      </c>
      <c r="G101" s="4" t="s">
        <v>74</v>
      </c>
      <c r="H101" s="4" t="s">
        <v>113</v>
      </c>
      <c r="I101" s="4" t="s">
        <v>84</v>
      </c>
      <c r="J101" s="76">
        <f>[2]H2_ELE!$H$48*M87/'MSUT H2'!$BH$31</f>
        <v>6.8810429691480707E-5</v>
      </c>
      <c r="K101" s="72"/>
    </row>
    <row r="102" spans="1:11" x14ac:dyDescent="0.35">
      <c r="A102" s="460" t="s">
        <v>39</v>
      </c>
      <c r="B102" s="4" t="s">
        <v>80</v>
      </c>
      <c r="C102" s="4" t="s">
        <v>73</v>
      </c>
      <c r="D102" s="4" t="s">
        <v>81</v>
      </c>
      <c r="E102" s="4" t="s">
        <v>104</v>
      </c>
      <c r="F102" s="4" t="s">
        <v>73</v>
      </c>
      <c r="G102" s="4" t="s">
        <v>74</v>
      </c>
      <c r="H102" s="4" t="s">
        <v>113</v>
      </c>
      <c r="I102" s="4" t="s">
        <v>84</v>
      </c>
      <c r="J102" s="76">
        <f>[2]H2_ELE!$H$48*M88/'MSUT H2'!$BH$31</f>
        <v>3.9457883069482079E-5</v>
      </c>
    </row>
    <row r="103" spans="1:11" x14ac:dyDescent="0.35">
      <c r="A103" s="461" t="s">
        <v>39</v>
      </c>
      <c r="B103" s="6" t="s">
        <v>80</v>
      </c>
      <c r="C103" s="6" t="s">
        <v>73</v>
      </c>
      <c r="D103" s="6" t="s">
        <v>81</v>
      </c>
      <c r="E103" s="6" t="s">
        <v>106</v>
      </c>
      <c r="F103" s="6" t="s">
        <v>73</v>
      </c>
      <c r="G103" s="6" t="s">
        <v>74</v>
      </c>
      <c r="H103" s="6" t="s">
        <v>113</v>
      </c>
      <c r="I103" s="6" t="s">
        <v>84</v>
      </c>
      <c r="J103" s="227">
        <f>[2]H2_ELE!$H$48*M89/'MSUT H2'!$BH$31</f>
        <v>5.8649334297860749E-5</v>
      </c>
    </row>
  </sheetData>
  <mergeCells count="1">
    <mergeCell ref="C3:G3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93C1-5EE3-4252-87D4-B572A7212FBA}">
  <dimension ref="A1:W39"/>
  <sheetViews>
    <sheetView showGridLines="0" zoomScale="70" zoomScaleNormal="70" workbookViewId="0">
      <selection activeCell="J43" sqref="J43"/>
    </sheetView>
  </sheetViews>
  <sheetFormatPr defaultRowHeight="14.5" x14ac:dyDescent="0.35"/>
  <cols>
    <col min="3" max="3" width="35.453125" bestFit="1" customWidth="1"/>
    <col min="4" max="4" width="16.81640625" customWidth="1"/>
    <col min="5" max="5" width="10.1796875" bestFit="1" customWidth="1"/>
    <col min="6" max="7" width="10.81640625" bestFit="1" customWidth="1"/>
    <col min="8" max="8" width="12.453125" bestFit="1" customWidth="1"/>
    <col min="9" max="9" width="9.26953125" bestFit="1" customWidth="1"/>
    <col min="10" max="11" width="19" bestFit="1" customWidth="1"/>
    <col min="12" max="12" width="4.81640625" bestFit="1" customWidth="1"/>
    <col min="13" max="13" width="13.81640625" bestFit="1" customWidth="1"/>
    <col min="14" max="14" width="5.453125" bestFit="1" customWidth="1"/>
    <col min="15" max="15" width="9.453125" bestFit="1" customWidth="1"/>
    <col min="16" max="16" width="4.26953125" bestFit="1" customWidth="1"/>
    <col min="17" max="17" width="11" bestFit="1" customWidth="1"/>
    <col min="18" max="18" width="4.26953125" bestFit="1" customWidth="1"/>
    <col min="19" max="19" width="9.1796875" bestFit="1" customWidth="1"/>
    <col min="20" max="20" width="5.453125" bestFit="1" customWidth="1"/>
    <col min="22" max="22" width="7" bestFit="1" customWidth="1"/>
    <col min="23" max="23" width="7.453125" bestFit="1" customWidth="1"/>
  </cols>
  <sheetData>
    <row r="1" spans="1:9" x14ac:dyDescent="0.35">
      <c r="A1" s="3" t="s">
        <v>372</v>
      </c>
    </row>
    <row r="4" spans="1:9" x14ac:dyDescent="0.35">
      <c r="C4" s="365" t="s">
        <v>21</v>
      </c>
    </row>
    <row r="5" spans="1:9" x14ac:dyDescent="0.35">
      <c r="C5" s="495" t="s">
        <v>22</v>
      </c>
      <c r="D5" s="320" t="s">
        <v>23</v>
      </c>
      <c r="E5" s="433" t="s">
        <v>24</v>
      </c>
    </row>
    <row r="6" spans="1:9" x14ac:dyDescent="0.35">
      <c r="C6" s="539" t="s">
        <v>25</v>
      </c>
      <c r="D6" s="540">
        <v>1.1480242631412301</v>
      </c>
      <c r="E6" s="539"/>
    </row>
    <row r="7" spans="1:9" x14ac:dyDescent="0.35">
      <c r="C7" t="s">
        <v>13</v>
      </c>
      <c r="D7" s="256">
        <v>0.92413131188207198</v>
      </c>
      <c r="E7" s="10">
        <f>(D7-$D$6)/$D$6</f>
        <v>-0.19502458131550374</v>
      </c>
    </row>
    <row r="8" spans="1:9" x14ac:dyDescent="0.35">
      <c r="C8" t="s">
        <v>14</v>
      </c>
      <c r="D8" s="256">
        <v>1.0496605170289799</v>
      </c>
      <c r="E8" s="10">
        <f>(D8-$D$6)/$D$6</f>
        <v>-8.5680894794946907E-2</v>
      </c>
      <c r="H8" s="452"/>
    </row>
    <row r="9" spans="1:9" x14ac:dyDescent="0.35">
      <c r="C9" t="s">
        <v>15</v>
      </c>
      <c r="D9" s="256">
        <v>1.01532818160134</v>
      </c>
      <c r="E9" s="10">
        <f t="shared" ref="E9:E10" si="0">(D9-$D$6)/$D$6</f>
        <v>-0.11558647826554325</v>
      </c>
      <c r="G9" s="555"/>
    </row>
    <row r="10" spans="1:9" x14ac:dyDescent="0.35">
      <c r="C10" s="7" t="s">
        <v>18</v>
      </c>
      <c r="D10" s="430">
        <v>0.86714893435895801</v>
      </c>
      <c r="E10" s="493">
        <f t="shared" si="0"/>
        <v>-0.24465974962387946</v>
      </c>
    </row>
    <row r="13" spans="1:9" x14ac:dyDescent="0.35">
      <c r="C13" s="365" t="s">
        <v>26</v>
      </c>
    </row>
    <row r="14" spans="1:9" x14ac:dyDescent="0.35">
      <c r="C14" s="421" t="s">
        <v>22</v>
      </c>
      <c r="D14" s="433" t="s">
        <v>27</v>
      </c>
      <c r="E14" s="433" t="s">
        <v>24</v>
      </c>
      <c r="F14" s="433" t="s">
        <v>28</v>
      </c>
    </row>
    <row r="15" spans="1:9" x14ac:dyDescent="0.35">
      <c r="C15" s="539" t="s">
        <v>25</v>
      </c>
      <c r="D15" s="541">
        <v>225742396.645796</v>
      </c>
      <c r="E15" s="539"/>
      <c r="F15" s="544"/>
      <c r="H15" s="550"/>
    </row>
    <row r="16" spans="1:9" x14ac:dyDescent="0.35">
      <c r="C16" s="8" t="s">
        <v>13</v>
      </c>
      <c r="D16" s="457">
        <v>143264787.46946001</v>
      </c>
      <c r="E16" s="492">
        <f>(D16-$D$15)/$D$15</f>
        <v>-0.36536162635744734</v>
      </c>
      <c r="F16" s="547">
        <f>(D16-$D$15)/10^6</f>
        <v>-82.477609176335989</v>
      </c>
      <c r="H16" s="550"/>
      <c r="I16" s="1"/>
    </row>
    <row r="17" spans="3:23" x14ac:dyDescent="0.35">
      <c r="C17" t="s">
        <v>14</v>
      </c>
      <c r="D17" s="76">
        <v>182753016.11587301</v>
      </c>
      <c r="E17" s="10">
        <f>(D17-$D$15)/$D$15</f>
        <v>-0.19043556358345939</v>
      </c>
      <c r="F17" s="548">
        <f t="shared" ref="F17:F19" si="1">(D17-$D$15)/10^6</f>
        <v>-42.98938052992299</v>
      </c>
      <c r="H17" s="72"/>
    </row>
    <row r="18" spans="3:23" x14ac:dyDescent="0.35">
      <c r="C18" t="s">
        <v>15</v>
      </c>
      <c r="D18" s="76">
        <v>165500079.549986</v>
      </c>
      <c r="E18" s="10">
        <f>(D18-$D$15)/$D$15</f>
        <v>-0.26686310587166295</v>
      </c>
      <c r="F18" s="548">
        <f t="shared" si="1"/>
        <v>-60.242317095809994</v>
      </c>
      <c r="H18" s="550"/>
    </row>
    <row r="19" spans="3:23" x14ac:dyDescent="0.35">
      <c r="C19" s="7" t="s">
        <v>18</v>
      </c>
      <c r="D19" s="227">
        <v>113914017.278421</v>
      </c>
      <c r="E19" s="493">
        <f>(D19-$D$15)/$D$15</f>
        <v>-0.49538049134315143</v>
      </c>
      <c r="F19" s="549">
        <f t="shared" si="1"/>
        <v>-111.82837936737501</v>
      </c>
      <c r="H19" s="550"/>
    </row>
    <row r="20" spans="3:23" x14ac:dyDescent="0.35">
      <c r="H20" s="550"/>
    </row>
    <row r="22" spans="3:23" x14ac:dyDescent="0.35">
      <c r="C22" s="365" t="s">
        <v>29</v>
      </c>
    </row>
    <row r="23" spans="3:23" x14ac:dyDescent="0.35">
      <c r="C23" s="495" t="s">
        <v>22</v>
      </c>
      <c r="D23" s="494" t="s">
        <v>30</v>
      </c>
      <c r="E23" s="496" t="s">
        <v>31</v>
      </c>
      <c r="F23" s="497" t="s">
        <v>32</v>
      </c>
      <c r="G23" s="501" t="s">
        <v>33</v>
      </c>
      <c r="H23" s="502" t="s">
        <v>34</v>
      </c>
      <c r="I23" s="535" t="s">
        <v>35</v>
      </c>
      <c r="J23" s="536" t="s">
        <v>36</v>
      </c>
      <c r="K23" s="507" t="s">
        <v>37</v>
      </c>
      <c r="L23" s="508" t="s">
        <v>34</v>
      </c>
      <c r="M23" s="509" t="s">
        <v>38</v>
      </c>
      <c r="N23" s="510" t="s">
        <v>34</v>
      </c>
      <c r="O23" s="537" t="s">
        <v>39</v>
      </c>
      <c r="P23" s="538" t="s">
        <v>40</v>
      </c>
      <c r="Q23" s="514" t="s">
        <v>41</v>
      </c>
      <c r="R23" s="514" t="s">
        <v>34</v>
      </c>
      <c r="S23" s="519" t="s">
        <v>42</v>
      </c>
      <c r="T23" s="519" t="s">
        <v>32</v>
      </c>
      <c r="V23" s="433" t="s">
        <v>43</v>
      </c>
      <c r="W23" s="433" t="s">
        <v>44</v>
      </c>
    </row>
    <row r="24" spans="3:23" x14ac:dyDescent="0.35">
      <c r="C24" t="s">
        <v>13</v>
      </c>
      <c r="D24" s="431">
        <v>0.92413131188207198</v>
      </c>
      <c r="E24" s="498">
        <v>0.92520553358621205</v>
      </c>
      <c r="F24" s="106">
        <f>(E24-$D24)/$D24</f>
        <v>1.162412408635221E-3</v>
      </c>
      <c r="G24" s="503">
        <v>0.92356061801136102</v>
      </c>
      <c r="H24" s="504">
        <f>(G24-$D24)/$D24</f>
        <v>-6.1754629820808926E-4</v>
      </c>
      <c r="I24" s="524">
        <v>0.90424283618149304</v>
      </c>
      <c r="J24" s="525">
        <f>(I24-$D24)/$D24</f>
        <v>-2.152126591195614E-2</v>
      </c>
      <c r="K24" s="394">
        <v>0.92708630545408099</v>
      </c>
      <c r="L24" s="141">
        <f>(K24-$D24)/$D24</f>
        <v>3.1975905739963697E-3</v>
      </c>
      <c r="M24" s="511">
        <v>0.91230907579211296</v>
      </c>
      <c r="N24" s="512">
        <f>(M24-$D24)/$D24</f>
        <v>-1.2792809785745748E-2</v>
      </c>
      <c r="O24" s="527">
        <v>0.97501194477853104</v>
      </c>
      <c r="P24" s="528">
        <f>(O24-$D24)/$D24</f>
        <v>5.5057795620880243E-2</v>
      </c>
      <c r="Q24" s="515">
        <v>0.95203225265770197</v>
      </c>
      <c r="R24" s="516">
        <f>(Q24-$D24)/$D24</f>
        <v>3.0191532758269333E-2</v>
      </c>
      <c r="S24" s="520">
        <v>0.91018077157280497</v>
      </c>
      <c r="T24" s="521">
        <f>(S24-$D24)/$D24</f>
        <v>-1.5095842040949301E-2</v>
      </c>
      <c r="V24" s="447">
        <f>MIN(F24,H24,J24,L24,N24,P24,R24,T24)</f>
        <v>-2.152126591195614E-2</v>
      </c>
      <c r="W24" s="526">
        <f>MAX(F24,H24,J24,L24,N24,P24,R24,T24)</f>
        <v>5.5057795620880243E-2</v>
      </c>
    </row>
    <row r="25" spans="3:23" x14ac:dyDescent="0.35">
      <c r="C25" t="s">
        <v>14</v>
      </c>
      <c r="D25" s="431">
        <v>1.0496605170289799</v>
      </c>
      <c r="E25" s="498">
        <v>1.0502433899533601</v>
      </c>
      <c r="F25" s="106">
        <f>(E25-$D25)/$D25</f>
        <v>5.5529660773560668E-4</v>
      </c>
      <c r="G25" s="503">
        <v>1.0493508267901199</v>
      </c>
      <c r="H25" s="504">
        <f>(G25-$D25)/$D25</f>
        <v>-2.9503847561736073E-4</v>
      </c>
      <c r="I25" s="524">
        <v>1.02179899681291</v>
      </c>
      <c r="J25" s="525">
        <f>(I25-$D25)/$D25</f>
        <v>-2.6543363081742637E-2</v>
      </c>
      <c r="K25" s="394">
        <v>1.0537976462717</v>
      </c>
      <c r="L25" s="141">
        <f>(K25-$D25)/$D25</f>
        <v>3.9413974095454307E-3</v>
      </c>
      <c r="M25" s="511">
        <v>1.0331078535457301</v>
      </c>
      <c r="N25" s="512">
        <f>(M25-$D25)/$D25</f>
        <v>-1.5769539974792437E-2</v>
      </c>
      <c r="O25" s="527">
        <v>1.0815999864145101</v>
      </c>
      <c r="P25" s="528">
        <f>(O25-$D25)/$D25</f>
        <v>3.0428380288070177E-2</v>
      </c>
      <c r="Q25" s="515">
        <v>1.06345795866406</v>
      </c>
      <c r="R25" s="516">
        <f>(Q25-$D25)/$D25</f>
        <v>1.3144670501785855E-2</v>
      </c>
      <c r="S25" s="520">
        <v>1.0427617470363999</v>
      </c>
      <c r="T25" s="521">
        <f>(S25-$D25)/$D25</f>
        <v>-6.5723820994112161E-3</v>
      </c>
      <c r="V25" s="447">
        <f>MIN(F25,H25,J25,L25,N25,P25,R25,T25)</f>
        <v>-2.6543363081742637E-2</v>
      </c>
      <c r="W25" s="526">
        <f>MAX(F25,H25,J25,L25,N25,P25,R25,T25)</f>
        <v>3.0428380288070177E-2</v>
      </c>
    </row>
    <row r="26" spans="3:23" x14ac:dyDescent="0.35">
      <c r="C26" t="s">
        <v>15</v>
      </c>
      <c r="D26" s="431">
        <v>1.01532818160134</v>
      </c>
      <c r="E26" s="498">
        <v>1.0164830319535101</v>
      </c>
      <c r="F26" s="106">
        <f>(E26-$D26)/$D26</f>
        <v>1.1374158356844996E-3</v>
      </c>
      <c r="G26" s="503">
        <v>1.01471467072206</v>
      </c>
      <c r="H26" s="504">
        <f>(G26-$D26)/$D26</f>
        <v>-6.0424884327780419E-4</v>
      </c>
      <c r="I26" s="524">
        <v>0.99367685656504601</v>
      </c>
      <c r="J26" s="525">
        <f>(I26-$D26)/$D26</f>
        <v>-2.1324459843265905E-2</v>
      </c>
      <c r="K26" s="394">
        <v>1.0185437999914</v>
      </c>
      <c r="L26" s="141">
        <f>(K26-$D26)/$D26</f>
        <v>3.1670729211794898E-3</v>
      </c>
      <c r="M26" s="511">
        <v>1.00246309245995</v>
      </c>
      <c r="N26" s="512">
        <f>(M26-$D26)/$D26</f>
        <v>-1.2670867779026467E-2</v>
      </c>
      <c r="O26" s="527">
        <v>1.08477846312357</v>
      </c>
      <c r="P26" s="528">
        <f>(O26-$D26)/$D26</f>
        <v>6.840180621471123E-2</v>
      </c>
      <c r="Q26" s="515">
        <v>1.0185368753900299</v>
      </c>
      <c r="R26" s="516">
        <f>(Q26-$D26)/$D26</f>
        <v>3.1602528589616138E-3</v>
      </c>
      <c r="S26" s="520">
        <v>1.01372377151556</v>
      </c>
      <c r="T26" s="521">
        <f>(S26-$D26)/$D26</f>
        <v>-1.5801886669288741E-3</v>
      </c>
      <c r="V26" s="447">
        <f>MIN(F26,H26,J26,L26,N26,P26,R26,T26)</f>
        <v>-2.1324459843265905E-2</v>
      </c>
      <c r="W26" s="526">
        <f>MAX(F26,H26,J26,L26,N26,P26,R26,T26)</f>
        <v>6.840180621471123E-2</v>
      </c>
    </row>
    <row r="27" spans="3:23" x14ac:dyDescent="0.35">
      <c r="C27" s="7" t="s">
        <v>18</v>
      </c>
      <c r="D27" s="432">
        <v>0.86714893435895801</v>
      </c>
      <c r="E27" s="499">
        <v>0.86827341430069005</v>
      </c>
      <c r="F27" s="500">
        <f>(E27-$D27)/$D27</f>
        <v>1.2967552598831386E-3</v>
      </c>
      <c r="G27" s="505">
        <v>0.86655156266398503</v>
      </c>
      <c r="H27" s="506">
        <f>(G27-$D27)/$D27</f>
        <v>-6.8889169011617337E-4</v>
      </c>
      <c r="I27" s="532">
        <v>0.85453598526919705</v>
      </c>
      <c r="J27" s="534">
        <f>(I27-$D27)/$D27</f>
        <v>-1.4545308873711658E-2</v>
      </c>
      <c r="K27" s="395">
        <v>0.86902351470211903</v>
      </c>
      <c r="L27" s="292">
        <f>(K27-$D27)/$D27</f>
        <v>2.1617743721807168E-3</v>
      </c>
      <c r="M27" s="513">
        <v>0.85964961241216398</v>
      </c>
      <c r="N27" s="533">
        <f>(M27-$D27)/$D27</f>
        <v>-8.6482513552737367E-3</v>
      </c>
      <c r="O27" s="530">
        <v>1.11547833228654</v>
      </c>
      <c r="P27" s="531">
        <f>(O27-$D27)/$D27</f>
        <v>0.28637456391635902</v>
      </c>
      <c r="Q27" s="517">
        <v>0.87031299141838603</v>
      </c>
      <c r="R27" s="518">
        <f>(Q27-$D27)/$D27</f>
        <v>3.64880464480655E-3</v>
      </c>
      <c r="S27" s="522">
        <v>0.86556685041075299</v>
      </c>
      <c r="T27" s="523">
        <f>(S27-$D27)/$D27</f>
        <v>-1.8244662312530959E-3</v>
      </c>
      <c r="V27" s="450">
        <f>MIN(F27,H27,J27,L27,N27,P27,R27,T27)</f>
        <v>-1.4545308873711658E-2</v>
      </c>
      <c r="W27" s="529">
        <f>MAX(F27,H27,J27,L27,N27,P27,R27,T27)</f>
        <v>0.28637456391635902</v>
      </c>
    </row>
    <row r="30" spans="3:23" x14ac:dyDescent="0.35">
      <c r="C30" s="365" t="s">
        <v>45</v>
      </c>
      <c r="I30" s="18" t="s">
        <v>46</v>
      </c>
    </row>
    <row r="31" spans="3:23" x14ac:dyDescent="0.35">
      <c r="C31" s="421" t="s">
        <v>22</v>
      </c>
      <c r="D31" s="433" t="s">
        <v>47</v>
      </c>
      <c r="E31" s="433" t="s">
        <v>24</v>
      </c>
      <c r="F31" s="433" t="s">
        <v>48</v>
      </c>
      <c r="I31" s="495" t="s">
        <v>22</v>
      </c>
      <c r="J31" s="545"/>
      <c r="K31" s="433" t="s">
        <v>49</v>
      </c>
    </row>
    <row r="32" spans="3:23" x14ac:dyDescent="0.35">
      <c r="C32" s="539" t="s">
        <v>50</v>
      </c>
      <c r="D32" s="542">
        <v>470.22041288633602</v>
      </c>
      <c r="E32" s="544"/>
      <c r="F32" s="544"/>
    </row>
    <row r="33" spans="3:13" x14ac:dyDescent="0.35">
      <c r="C33" s="8" t="s">
        <v>13</v>
      </c>
      <c r="D33" s="156">
        <v>494.55218512915201</v>
      </c>
      <c r="E33" s="492">
        <f>(D33-$D$32)/$D$32</f>
        <v>5.1745461438947746E-2</v>
      </c>
      <c r="F33" s="547">
        <f>D33-$D$32</f>
        <v>24.331772242815987</v>
      </c>
      <c r="I33" s="8" t="s">
        <v>13</v>
      </c>
      <c r="J33" s="8"/>
      <c r="K33" s="551">
        <f>F33/($D$6-D7)</f>
        <v>108.6759190317329</v>
      </c>
    </row>
    <row r="34" spans="3:13" x14ac:dyDescent="0.35">
      <c r="C34" t="s">
        <v>14</v>
      </c>
      <c r="D34" s="156">
        <v>475.12180589459501</v>
      </c>
      <c r="E34" s="10">
        <f>(D34-$D$32)/$D$32</f>
        <v>1.0423607469894722E-2</v>
      </c>
      <c r="F34" s="548">
        <f>D34-$D$32</f>
        <v>4.9013930082589923</v>
      </c>
      <c r="I34" t="s">
        <v>14</v>
      </c>
      <c r="K34" s="552">
        <f t="shared" ref="K34:K36" si="2">F34/($D$6-D8)</f>
        <v>49.829263341248193</v>
      </c>
    </row>
    <row r="35" spans="3:13" x14ac:dyDescent="0.35">
      <c r="C35" t="s">
        <v>15</v>
      </c>
      <c r="D35" s="156">
        <v>498.44568489955202</v>
      </c>
      <c r="E35" s="10">
        <f>(D35-$D$32)/$D$32</f>
        <v>6.0025620410568505E-2</v>
      </c>
      <c r="F35" s="548">
        <f>D35-$D$32</f>
        <v>28.225272013215999</v>
      </c>
      <c r="I35" t="s">
        <v>15</v>
      </c>
      <c r="K35" s="552">
        <f>F35/($D$6-D9)</f>
        <v>212.70614539383465</v>
      </c>
    </row>
    <row r="36" spans="3:13" x14ac:dyDescent="0.35">
      <c r="C36" s="7" t="s">
        <v>18</v>
      </c>
      <c r="D36" s="543">
        <v>573.28109001206099</v>
      </c>
      <c r="E36" s="493">
        <f>(D36-$D$32)/$D$32</f>
        <v>0.21917525122550835</v>
      </c>
      <c r="F36" s="549">
        <f>D36-$D$32</f>
        <v>103.06067712572496</v>
      </c>
      <c r="I36" s="7" t="s">
        <v>18</v>
      </c>
      <c r="J36" s="7"/>
      <c r="K36" s="553">
        <f t="shared" si="2"/>
        <v>366.92676986811887</v>
      </c>
      <c r="M36" s="1"/>
    </row>
    <row r="37" spans="3:13" x14ac:dyDescent="0.35">
      <c r="K37" s="546"/>
    </row>
    <row r="38" spans="3:13" x14ac:dyDescent="0.35">
      <c r="C38" t="s">
        <v>51</v>
      </c>
    </row>
    <row r="39" spans="3:13" x14ac:dyDescent="0.35">
      <c r="C39" s="554" t="s">
        <v>52</v>
      </c>
    </row>
  </sheetData>
  <hyperlinks>
    <hyperlink ref="C39" r:id="rId1" xr:uid="{213819B9-8E6C-4107-B8C7-26DEB83CC121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8FDB-0AD6-4F20-92DF-D24D428FB2B4}">
  <dimension ref="A1:J907"/>
  <sheetViews>
    <sheetView workbookViewId="0">
      <selection activeCell="I840" sqref="I840:I845"/>
    </sheetView>
  </sheetViews>
  <sheetFormatPr defaultRowHeight="14.5" x14ac:dyDescent="0.35"/>
  <cols>
    <col min="1" max="1" width="21.54296875" bestFit="1" customWidth="1"/>
    <col min="2" max="2" width="11.1796875" bestFit="1" customWidth="1"/>
    <col min="3" max="3" width="10.453125" bestFit="1" customWidth="1"/>
    <col min="4" max="4" width="55.453125" bestFit="1" customWidth="1"/>
    <col min="5" max="5" width="14.1796875" bestFit="1" customWidth="1"/>
    <col min="6" max="6" width="12.54296875" bestFit="1" customWidth="1"/>
    <col min="7" max="7" width="33.54296875" bestFit="1" customWidth="1"/>
    <col min="9" max="9" width="13" style="4" bestFit="1" customWidth="1"/>
  </cols>
  <sheetData>
    <row r="1" spans="1:9" x14ac:dyDescent="0.35">
      <c r="A1" s="396" t="s">
        <v>114</v>
      </c>
      <c r="B1" s="396" t="s">
        <v>78</v>
      </c>
      <c r="C1" s="396" t="s">
        <v>79</v>
      </c>
      <c r="D1" s="396" t="s">
        <v>64</v>
      </c>
      <c r="E1" s="396" t="s">
        <v>65</v>
      </c>
      <c r="F1" s="396" t="s">
        <v>66</v>
      </c>
      <c r="G1" s="396" t="s">
        <v>67</v>
      </c>
      <c r="H1" s="396" t="s">
        <v>68</v>
      </c>
      <c r="I1" s="397" t="s">
        <v>69</v>
      </c>
    </row>
    <row r="2" spans="1:9" x14ac:dyDescent="0.35">
      <c r="A2" s="398" t="s">
        <v>13</v>
      </c>
      <c r="B2" s="399" t="s">
        <v>73</v>
      </c>
      <c r="C2" s="399" t="s">
        <v>81</v>
      </c>
      <c r="D2" s="399" t="s">
        <v>115</v>
      </c>
      <c r="E2" s="399" t="s">
        <v>73</v>
      </c>
      <c r="F2" s="399" t="s">
        <v>74</v>
      </c>
      <c r="G2" s="399" t="s">
        <v>102</v>
      </c>
      <c r="H2" s="399" t="s">
        <v>84</v>
      </c>
      <c r="I2" s="400" cm="1">
        <f t="array" ref="I2:I3">'SUT_EU27 total'!$J$19:$J$20</f>
        <v>11.828571428571427</v>
      </c>
    </row>
    <row r="3" spans="1:9" x14ac:dyDescent="0.35">
      <c r="A3" t="s">
        <v>13</v>
      </c>
      <c r="B3" t="s">
        <v>73</v>
      </c>
      <c r="C3" t="s">
        <v>81</v>
      </c>
      <c r="D3" t="s">
        <v>116</v>
      </c>
      <c r="E3" t="s">
        <v>73</v>
      </c>
      <c r="F3" t="s">
        <v>74</v>
      </c>
      <c r="G3" t="s">
        <v>102</v>
      </c>
      <c r="H3" t="s">
        <v>84</v>
      </c>
      <c r="I3" s="76">
        <v>3.3421988920214002E-2</v>
      </c>
    </row>
    <row r="4" spans="1:9" x14ac:dyDescent="0.35">
      <c r="A4" t="s">
        <v>13</v>
      </c>
      <c r="B4" t="s">
        <v>73</v>
      </c>
      <c r="C4" t="s">
        <v>81</v>
      </c>
      <c r="D4" t="s">
        <v>117</v>
      </c>
      <c r="E4" t="s">
        <v>73</v>
      </c>
      <c r="F4" t="s">
        <v>74</v>
      </c>
      <c r="G4" t="s">
        <v>102</v>
      </c>
      <c r="H4" t="s">
        <v>84</v>
      </c>
      <c r="I4" s="76">
        <f>'SUT_EU27 total'!$J$27</f>
        <v>20.996100000000002</v>
      </c>
    </row>
    <row r="5" spans="1:9" x14ac:dyDescent="0.35">
      <c r="A5" t="s">
        <v>13</v>
      </c>
      <c r="B5" t="s">
        <v>73</v>
      </c>
      <c r="C5" t="s">
        <v>81</v>
      </c>
      <c r="D5" t="s">
        <v>101</v>
      </c>
      <c r="E5" t="s">
        <v>73</v>
      </c>
      <c r="F5" t="s">
        <v>74</v>
      </c>
      <c r="G5" t="s">
        <v>102</v>
      </c>
      <c r="H5" t="s">
        <v>84</v>
      </c>
      <c r="I5" s="76" cm="1">
        <f t="array" ref="I5:I7">'SUT_EU27 total'!$J$32:$J$34</f>
        <v>0.13437998483817604</v>
      </c>
    </row>
    <row r="6" spans="1:9" x14ac:dyDescent="0.35">
      <c r="A6" t="s">
        <v>13</v>
      </c>
      <c r="B6" t="s">
        <v>73</v>
      </c>
      <c r="C6" t="s">
        <v>81</v>
      </c>
      <c r="D6" t="s">
        <v>104</v>
      </c>
      <c r="E6" t="s">
        <v>73</v>
      </c>
      <c r="F6" t="s">
        <v>74</v>
      </c>
      <c r="G6" t="s">
        <v>102</v>
      </c>
      <c r="H6" t="s">
        <v>84</v>
      </c>
      <c r="I6" s="76">
        <v>0.25443647306582401</v>
      </c>
    </row>
    <row r="7" spans="1:9" x14ac:dyDescent="0.35">
      <c r="A7" t="s">
        <v>13</v>
      </c>
      <c r="B7" t="s">
        <v>73</v>
      </c>
      <c r="C7" t="s">
        <v>81</v>
      </c>
      <c r="D7" t="s">
        <v>106</v>
      </c>
      <c r="E7" t="s">
        <v>73</v>
      </c>
      <c r="F7" t="s">
        <v>74</v>
      </c>
      <c r="G7" t="s">
        <v>102</v>
      </c>
      <c r="H7" t="s">
        <v>84</v>
      </c>
      <c r="I7" s="76">
        <v>0.86543018049599985</v>
      </c>
    </row>
    <row r="8" spans="1:9" x14ac:dyDescent="0.35">
      <c r="A8" t="s">
        <v>13</v>
      </c>
      <c r="B8" t="s">
        <v>88</v>
      </c>
      <c r="C8" t="s">
        <v>81</v>
      </c>
      <c r="D8" t="s">
        <v>115</v>
      </c>
      <c r="E8" t="s">
        <v>73</v>
      </c>
      <c r="F8" t="s">
        <v>74</v>
      </c>
      <c r="G8" t="s">
        <v>102</v>
      </c>
      <c r="H8" t="s">
        <v>84</v>
      </c>
      <c r="I8" s="76" cm="1">
        <f t="array" ref="I8:I9">'SUT_EU27 total'!$J$36:$J$37</f>
        <v>78.857142857142847</v>
      </c>
    </row>
    <row r="9" spans="1:9" x14ac:dyDescent="0.35">
      <c r="A9" t="s">
        <v>13</v>
      </c>
      <c r="B9" t="s">
        <v>88</v>
      </c>
      <c r="C9" t="s">
        <v>81</v>
      </c>
      <c r="D9" t="s">
        <v>116</v>
      </c>
      <c r="E9" t="s">
        <v>73</v>
      </c>
      <c r="F9" t="s">
        <v>74</v>
      </c>
      <c r="G9" t="s">
        <v>102</v>
      </c>
      <c r="H9" t="s">
        <v>84</v>
      </c>
      <c r="I9" s="76">
        <v>0.7862213561563367</v>
      </c>
    </row>
    <row r="10" spans="1:9" x14ac:dyDescent="0.35">
      <c r="A10" t="s">
        <v>13</v>
      </c>
      <c r="B10" t="s">
        <v>88</v>
      </c>
      <c r="C10" t="s">
        <v>81</v>
      </c>
      <c r="D10" t="s">
        <v>117</v>
      </c>
      <c r="E10" t="s">
        <v>73</v>
      </c>
      <c r="F10" t="s">
        <v>74</v>
      </c>
      <c r="G10" t="s">
        <v>102</v>
      </c>
      <c r="H10" t="s">
        <v>84</v>
      </c>
      <c r="I10" s="76">
        <f>'SUT_EU27 total'!$J$44</f>
        <v>286.26390000000004</v>
      </c>
    </row>
    <row r="11" spans="1:9" x14ac:dyDescent="0.35">
      <c r="A11" t="s">
        <v>13</v>
      </c>
      <c r="B11" t="s">
        <v>88</v>
      </c>
      <c r="C11" t="s">
        <v>81</v>
      </c>
      <c r="D11" t="s">
        <v>101</v>
      </c>
      <c r="E11" t="s">
        <v>73</v>
      </c>
      <c r="F11" t="s">
        <v>74</v>
      </c>
      <c r="G11" t="s">
        <v>102</v>
      </c>
      <c r="H11" t="s">
        <v>84</v>
      </c>
      <c r="I11" s="76" cm="1">
        <f t="array" ref="I11:I13">'SUT_EU27 total'!$J$49:$J$51</f>
        <v>0</v>
      </c>
    </row>
    <row r="12" spans="1:9" x14ac:dyDescent="0.35">
      <c r="A12" t="s">
        <v>13</v>
      </c>
      <c r="B12" t="s">
        <v>88</v>
      </c>
      <c r="C12" t="s">
        <v>81</v>
      </c>
      <c r="D12" t="s">
        <v>104</v>
      </c>
      <c r="E12" t="s">
        <v>73</v>
      </c>
      <c r="F12" t="s">
        <v>74</v>
      </c>
      <c r="G12" t="s">
        <v>102</v>
      </c>
      <c r="H12" t="s">
        <v>84</v>
      </c>
      <c r="I12" s="76">
        <v>0</v>
      </c>
    </row>
    <row r="13" spans="1:9" x14ac:dyDescent="0.35">
      <c r="A13" t="s">
        <v>13</v>
      </c>
      <c r="B13" t="s">
        <v>88</v>
      </c>
      <c r="C13" t="s">
        <v>81</v>
      </c>
      <c r="D13" t="s">
        <v>106</v>
      </c>
      <c r="E13" t="s">
        <v>73</v>
      </c>
      <c r="F13" t="s">
        <v>74</v>
      </c>
      <c r="G13" t="s">
        <v>102</v>
      </c>
      <c r="H13" t="s">
        <v>84</v>
      </c>
      <c r="I13" s="76">
        <v>0</v>
      </c>
    </row>
    <row r="14" spans="1:9" x14ac:dyDescent="0.35">
      <c r="A14" t="s">
        <v>13</v>
      </c>
      <c r="B14" t="s">
        <v>90</v>
      </c>
      <c r="C14" t="s">
        <v>81</v>
      </c>
      <c r="D14" t="s">
        <v>115</v>
      </c>
      <c r="E14" t="s">
        <v>73</v>
      </c>
      <c r="F14" t="s">
        <v>74</v>
      </c>
      <c r="G14" t="s">
        <v>102</v>
      </c>
      <c r="H14" t="s">
        <v>84</v>
      </c>
      <c r="I14" s="76" cm="1">
        <f t="array" ref="I14:I15">'SUT_EU27 total'!$J$53:$J$54</f>
        <v>7.7904761904761894</v>
      </c>
    </row>
    <row r="15" spans="1:9" x14ac:dyDescent="0.35">
      <c r="A15" t="s">
        <v>13</v>
      </c>
      <c r="B15" t="s">
        <v>90</v>
      </c>
      <c r="C15" t="s">
        <v>81</v>
      </c>
      <c r="D15" t="s">
        <v>116</v>
      </c>
      <c r="E15" t="s">
        <v>73</v>
      </c>
      <c r="F15" t="s">
        <v>74</v>
      </c>
      <c r="G15" t="s">
        <v>102</v>
      </c>
      <c r="H15" t="s">
        <v>84</v>
      </c>
      <c r="I15" s="76">
        <v>1.5473889063756709E-2</v>
      </c>
    </row>
    <row r="16" spans="1:9" x14ac:dyDescent="0.35">
      <c r="A16" t="s">
        <v>13</v>
      </c>
      <c r="B16" t="s">
        <v>90</v>
      </c>
      <c r="C16" t="s">
        <v>81</v>
      </c>
      <c r="D16" t="s">
        <v>117</v>
      </c>
      <c r="E16" t="s">
        <v>73</v>
      </c>
      <c r="F16" t="s">
        <v>74</v>
      </c>
      <c r="G16" t="s">
        <v>102</v>
      </c>
      <c r="H16" t="s">
        <v>84</v>
      </c>
      <c r="I16" s="76">
        <f>'SUT_EU27 total'!$J$61</f>
        <v>11.2662</v>
      </c>
    </row>
    <row r="17" spans="1:9" x14ac:dyDescent="0.35">
      <c r="A17" t="s">
        <v>13</v>
      </c>
      <c r="B17" t="s">
        <v>90</v>
      </c>
      <c r="C17" t="s">
        <v>81</v>
      </c>
      <c r="D17" t="s">
        <v>101</v>
      </c>
      <c r="E17" t="s">
        <v>73</v>
      </c>
      <c r="F17" t="s">
        <v>74</v>
      </c>
      <c r="G17" t="s">
        <v>102</v>
      </c>
      <c r="H17" t="s">
        <v>84</v>
      </c>
      <c r="I17" s="76" cm="1">
        <f t="array" ref="I17:I19">'SUT_EU27 total'!$J$66:$J$68</f>
        <v>0</v>
      </c>
    </row>
    <row r="18" spans="1:9" x14ac:dyDescent="0.35">
      <c r="A18" t="s">
        <v>13</v>
      </c>
      <c r="B18" t="s">
        <v>90</v>
      </c>
      <c r="C18" t="s">
        <v>81</v>
      </c>
      <c r="D18" t="s">
        <v>104</v>
      </c>
      <c r="E18" t="s">
        <v>73</v>
      </c>
      <c r="F18" t="s">
        <v>74</v>
      </c>
      <c r="G18" t="s">
        <v>102</v>
      </c>
      <c r="H18" t="s">
        <v>84</v>
      </c>
      <c r="I18" s="76">
        <v>0</v>
      </c>
    </row>
    <row r="19" spans="1:9" x14ac:dyDescent="0.35">
      <c r="A19" t="s">
        <v>13</v>
      </c>
      <c r="B19" t="s">
        <v>90</v>
      </c>
      <c r="C19" t="s">
        <v>81</v>
      </c>
      <c r="D19" t="s">
        <v>106</v>
      </c>
      <c r="E19" t="s">
        <v>73</v>
      </c>
      <c r="F19" t="s">
        <v>74</v>
      </c>
      <c r="G19" t="s">
        <v>102</v>
      </c>
      <c r="H19" t="s">
        <v>84</v>
      </c>
      <c r="I19" s="76">
        <v>0</v>
      </c>
    </row>
    <row r="20" spans="1:9" x14ac:dyDescent="0.35">
      <c r="A20" t="s">
        <v>13</v>
      </c>
      <c r="B20" t="s">
        <v>91</v>
      </c>
      <c r="C20" t="s">
        <v>81</v>
      </c>
      <c r="D20" t="s">
        <v>115</v>
      </c>
      <c r="E20" t="s">
        <v>73</v>
      </c>
      <c r="F20" t="s">
        <v>74</v>
      </c>
      <c r="G20" t="s">
        <v>102</v>
      </c>
      <c r="H20" t="s">
        <v>84</v>
      </c>
      <c r="I20" s="76" cm="1">
        <f t="array" ref="I20:I21">'SUT_EU27 total'!$J$70:$J$71</f>
        <v>15.771428571428569</v>
      </c>
    </row>
    <row r="21" spans="1:9" x14ac:dyDescent="0.35">
      <c r="A21" t="s">
        <v>13</v>
      </c>
      <c r="B21" t="s">
        <v>91</v>
      </c>
      <c r="C21" t="s">
        <v>81</v>
      </c>
      <c r="D21" t="s">
        <v>116</v>
      </c>
      <c r="E21" t="s">
        <v>73</v>
      </c>
      <c r="F21" t="s">
        <v>74</v>
      </c>
      <c r="G21" t="s">
        <v>102</v>
      </c>
      <c r="H21" t="s">
        <v>84</v>
      </c>
      <c r="I21" s="76">
        <v>8.7507175559917313E-2</v>
      </c>
    </row>
    <row r="22" spans="1:9" x14ac:dyDescent="0.35">
      <c r="A22" t="s">
        <v>13</v>
      </c>
      <c r="B22" t="s">
        <v>91</v>
      </c>
      <c r="C22" t="s">
        <v>81</v>
      </c>
      <c r="D22" t="s">
        <v>117</v>
      </c>
      <c r="E22" t="s">
        <v>73</v>
      </c>
      <c r="F22" t="s">
        <v>74</v>
      </c>
      <c r="G22" t="s">
        <v>102</v>
      </c>
      <c r="H22" t="s">
        <v>84</v>
      </c>
      <c r="I22" s="76">
        <f>'SUT_EU27 total'!$J$78</f>
        <v>41.4801</v>
      </c>
    </row>
    <row r="23" spans="1:9" x14ac:dyDescent="0.35">
      <c r="A23" t="s">
        <v>13</v>
      </c>
      <c r="B23" t="s">
        <v>91</v>
      </c>
      <c r="C23" t="s">
        <v>81</v>
      </c>
      <c r="D23" t="s">
        <v>101</v>
      </c>
      <c r="E23" t="s">
        <v>73</v>
      </c>
      <c r="F23" t="s">
        <v>74</v>
      </c>
      <c r="G23" t="s">
        <v>102</v>
      </c>
      <c r="H23" t="s">
        <v>84</v>
      </c>
      <c r="I23" s="76" cm="1">
        <f t="array" ref="I23:I25">'SUT_EU27 total'!$J$83:$J$85</f>
        <v>0</v>
      </c>
    </row>
    <row r="24" spans="1:9" x14ac:dyDescent="0.35">
      <c r="A24" t="s">
        <v>13</v>
      </c>
      <c r="B24" t="s">
        <v>91</v>
      </c>
      <c r="C24" t="s">
        <v>81</v>
      </c>
      <c r="D24" t="s">
        <v>104</v>
      </c>
      <c r="E24" t="s">
        <v>73</v>
      </c>
      <c r="F24" t="s">
        <v>74</v>
      </c>
      <c r="G24" t="s">
        <v>102</v>
      </c>
      <c r="H24" t="s">
        <v>84</v>
      </c>
      <c r="I24" s="76">
        <v>0</v>
      </c>
    </row>
    <row r="25" spans="1:9" x14ac:dyDescent="0.35">
      <c r="A25" t="s">
        <v>13</v>
      </c>
      <c r="B25" t="s">
        <v>91</v>
      </c>
      <c r="C25" t="s">
        <v>81</v>
      </c>
      <c r="D25" t="s">
        <v>106</v>
      </c>
      <c r="E25" t="s">
        <v>73</v>
      </c>
      <c r="F25" t="s">
        <v>74</v>
      </c>
      <c r="G25" t="s">
        <v>102</v>
      </c>
      <c r="H25" t="s">
        <v>84</v>
      </c>
      <c r="I25" s="76">
        <v>0</v>
      </c>
    </row>
    <row r="26" spans="1:9" x14ac:dyDescent="0.35">
      <c r="A26" t="s">
        <v>13</v>
      </c>
      <c r="B26" t="s">
        <v>92</v>
      </c>
      <c r="C26" t="s">
        <v>81</v>
      </c>
      <c r="D26" t="s">
        <v>115</v>
      </c>
      <c r="E26" t="s">
        <v>73</v>
      </c>
      <c r="F26" t="s">
        <v>74</v>
      </c>
      <c r="G26" t="s">
        <v>102</v>
      </c>
      <c r="H26" t="s">
        <v>84</v>
      </c>
      <c r="I26" s="76" cm="1">
        <f t="array" ref="I26:I27">'SUT_EU27 total'!$J$87:$J$88</f>
        <v>6.6239999999999997</v>
      </c>
    </row>
    <row r="27" spans="1:9" x14ac:dyDescent="0.35">
      <c r="A27" t="s">
        <v>13</v>
      </c>
      <c r="B27" t="s">
        <v>92</v>
      </c>
      <c r="C27" t="s">
        <v>81</v>
      </c>
      <c r="D27" t="s">
        <v>116</v>
      </c>
      <c r="E27" t="s">
        <v>73</v>
      </c>
      <c r="F27" t="s">
        <v>74</v>
      </c>
      <c r="G27" t="s">
        <v>102</v>
      </c>
      <c r="H27" t="s">
        <v>84</v>
      </c>
      <c r="I27" s="76">
        <v>6.0040746268656714E-2</v>
      </c>
    </row>
    <row r="28" spans="1:9" x14ac:dyDescent="0.35">
      <c r="A28" t="s">
        <v>13</v>
      </c>
      <c r="B28" t="s">
        <v>92</v>
      </c>
      <c r="C28" t="s">
        <v>81</v>
      </c>
      <c r="D28" t="s">
        <v>117</v>
      </c>
      <c r="E28" t="s">
        <v>73</v>
      </c>
      <c r="F28" t="s">
        <v>74</v>
      </c>
      <c r="G28" t="s">
        <v>102</v>
      </c>
      <c r="H28" t="s">
        <v>84</v>
      </c>
      <c r="I28" s="76">
        <f>'SUT_EU27 total'!$J$95</f>
        <v>13.3146</v>
      </c>
    </row>
    <row r="29" spans="1:9" x14ac:dyDescent="0.35">
      <c r="A29" t="s">
        <v>13</v>
      </c>
      <c r="B29" t="s">
        <v>92</v>
      </c>
      <c r="C29" t="s">
        <v>81</v>
      </c>
      <c r="D29" t="s">
        <v>101</v>
      </c>
      <c r="E29" t="s">
        <v>73</v>
      </c>
      <c r="F29" t="s">
        <v>74</v>
      </c>
      <c r="G29" t="s">
        <v>102</v>
      </c>
      <c r="H29" t="s">
        <v>84</v>
      </c>
      <c r="I29" s="76" cm="1">
        <f t="array" ref="I29:I31">'SUT_EU27 total'!$J$100:$J$102</f>
        <v>0</v>
      </c>
    </row>
    <row r="30" spans="1:9" x14ac:dyDescent="0.35">
      <c r="A30" t="s">
        <v>13</v>
      </c>
      <c r="B30" t="s">
        <v>92</v>
      </c>
      <c r="C30" t="s">
        <v>81</v>
      </c>
      <c r="D30" t="s">
        <v>104</v>
      </c>
      <c r="E30" t="s">
        <v>73</v>
      </c>
      <c r="F30" t="s">
        <v>74</v>
      </c>
      <c r="G30" t="s">
        <v>102</v>
      </c>
      <c r="H30" t="s">
        <v>84</v>
      </c>
      <c r="I30" s="76">
        <v>0</v>
      </c>
    </row>
    <row r="31" spans="1:9" x14ac:dyDescent="0.35">
      <c r="A31" t="s">
        <v>13</v>
      </c>
      <c r="B31" t="s">
        <v>92</v>
      </c>
      <c r="C31" t="s">
        <v>81</v>
      </c>
      <c r="D31" t="s">
        <v>106</v>
      </c>
      <c r="E31" t="s">
        <v>73</v>
      </c>
      <c r="F31" t="s">
        <v>74</v>
      </c>
      <c r="G31" t="s">
        <v>102</v>
      </c>
      <c r="H31" t="s">
        <v>84</v>
      </c>
      <c r="I31" s="76">
        <v>0</v>
      </c>
    </row>
    <row r="32" spans="1:9" x14ac:dyDescent="0.35">
      <c r="A32" t="s">
        <v>13</v>
      </c>
      <c r="B32" t="s">
        <v>93</v>
      </c>
      <c r="C32" t="s">
        <v>81</v>
      </c>
      <c r="D32" t="s">
        <v>115</v>
      </c>
      <c r="E32" t="s">
        <v>73</v>
      </c>
      <c r="F32" t="s">
        <v>74</v>
      </c>
      <c r="G32" t="s">
        <v>102</v>
      </c>
      <c r="H32" t="s">
        <v>84</v>
      </c>
      <c r="I32" s="76" cm="1">
        <f t="array" ref="I32:I33">'SUT_EU27 total'!$J$104:$J$105</f>
        <v>44.633142857142865</v>
      </c>
    </row>
    <row r="33" spans="1:9" x14ac:dyDescent="0.35">
      <c r="A33" t="s">
        <v>13</v>
      </c>
      <c r="B33" t="s">
        <v>93</v>
      </c>
      <c r="C33" t="s">
        <v>81</v>
      </c>
      <c r="D33" t="s">
        <v>116</v>
      </c>
      <c r="E33" t="s">
        <v>73</v>
      </c>
      <c r="F33" t="s">
        <v>74</v>
      </c>
      <c r="G33" t="s">
        <v>102</v>
      </c>
      <c r="H33" t="s">
        <v>84</v>
      </c>
      <c r="I33" s="76">
        <v>0.3673348440311186</v>
      </c>
    </row>
    <row r="34" spans="1:9" x14ac:dyDescent="0.35">
      <c r="A34" t="s">
        <v>13</v>
      </c>
      <c r="B34" t="s">
        <v>93</v>
      </c>
      <c r="C34" t="s">
        <v>81</v>
      </c>
      <c r="D34" t="s">
        <v>117</v>
      </c>
      <c r="E34" t="s">
        <v>73</v>
      </c>
      <c r="F34" t="s">
        <v>74</v>
      </c>
      <c r="G34" t="s">
        <v>102</v>
      </c>
      <c r="H34" t="s">
        <v>84</v>
      </c>
      <c r="I34" s="76">
        <f>'SUT_EU27 total'!$J$112</f>
        <v>138.77909999999997</v>
      </c>
    </row>
    <row r="35" spans="1:9" x14ac:dyDescent="0.35">
      <c r="A35" t="s">
        <v>13</v>
      </c>
      <c r="B35" t="s">
        <v>93</v>
      </c>
      <c r="C35" t="s">
        <v>81</v>
      </c>
      <c r="D35" t="s">
        <v>101</v>
      </c>
      <c r="E35" t="s">
        <v>73</v>
      </c>
      <c r="F35" t="s">
        <v>74</v>
      </c>
      <c r="G35" t="s">
        <v>102</v>
      </c>
      <c r="H35" t="s">
        <v>84</v>
      </c>
      <c r="I35" s="76" cm="1">
        <f t="array" ref="I35:I37">'SUT_EU27 total'!$J$117:$J$119</f>
        <v>0</v>
      </c>
    </row>
    <row r="36" spans="1:9" x14ac:dyDescent="0.35">
      <c r="A36" t="s">
        <v>13</v>
      </c>
      <c r="B36" t="s">
        <v>93</v>
      </c>
      <c r="C36" t="s">
        <v>81</v>
      </c>
      <c r="D36" t="s">
        <v>104</v>
      </c>
      <c r="E36" t="s">
        <v>73</v>
      </c>
      <c r="F36" t="s">
        <v>74</v>
      </c>
      <c r="G36" t="s">
        <v>102</v>
      </c>
      <c r="H36" t="s">
        <v>84</v>
      </c>
      <c r="I36" s="76">
        <v>0</v>
      </c>
    </row>
    <row r="37" spans="1:9" x14ac:dyDescent="0.35">
      <c r="A37" t="s">
        <v>13</v>
      </c>
      <c r="B37" t="s">
        <v>93</v>
      </c>
      <c r="C37" t="s">
        <v>81</v>
      </c>
      <c r="D37" t="s">
        <v>106</v>
      </c>
      <c r="E37" t="s">
        <v>73</v>
      </c>
      <c r="F37" t="s">
        <v>74</v>
      </c>
      <c r="G37" t="s">
        <v>102</v>
      </c>
      <c r="H37" t="s">
        <v>84</v>
      </c>
      <c r="I37" s="76">
        <v>0</v>
      </c>
    </row>
    <row r="38" spans="1:9" x14ac:dyDescent="0.35">
      <c r="A38" t="s">
        <v>13</v>
      </c>
      <c r="B38" t="s">
        <v>73</v>
      </c>
      <c r="C38" t="s">
        <v>81</v>
      </c>
      <c r="D38" t="s">
        <v>118</v>
      </c>
      <c r="E38" t="s">
        <v>73</v>
      </c>
      <c r="F38" t="s">
        <v>74</v>
      </c>
      <c r="G38" t="s">
        <v>108</v>
      </c>
      <c r="H38" t="s">
        <v>84</v>
      </c>
      <c r="I38" s="76" cm="1">
        <f t="array" ref="I38:I40">'SUT_EU27 total'!$K$21:$K$23</f>
        <v>1.4582562144772118E-3</v>
      </c>
    </row>
    <row r="39" spans="1:9" x14ac:dyDescent="0.35">
      <c r="A39" t="s">
        <v>13</v>
      </c>
      <c r="B39" t="s">
        <v>73</v>
      </c>
      <c r="C39" t="s">
        <v>81</v>
      </c>
      <c r="D39" t="s">
        <v>119</v>
      </c>
      <c r="E39" t="s">
        <v>73</v>
      </c>
      <c r="F39" t="s">
        <v>74</v>
      </c>
      <c r="G39" t="s">
        <v>108</v>
      </c>
      <c r="H39" t="s">
        <v>84</v>
      </c>
      <c r="I39" s="76">
        <v>8.4634636521458274E-4</v>
      </c>
    </row>
    <row r="40" spans="1:9" x14ac:dyDescent="0.35">
      <c r="A40" t="s">
        <v>13</v>
      </c>
      <c r="B40" t="s">
        <v>73</v>
      </c>
      <c r="C40" t="s">
        <v>81</v>
      </c>
      <c r="D40" t="s">
        <v>120</v>
      </c>
      <c r="E40" t="s">
        <v>73</v>
      </c>
      <c r="F40" t="s">
        <v>74</v>
      </c>
      <c r="G40" t="s">
        <v>108</v>
      </c>
      <c r="H40" t="s">
        <v>84</v>
      </c>
      <c r="I40" s="76">
        <v>1.2517329093179335E-4</v>
      </c>
    </row>
    <row r="41" spans="1:9" x14ac:dyDescent="0.35">
      <c r="A41" t="s">
        <v>13</v>
      </c>
      <c r="B41" t="s">
        <v>73</v>
      </c>
      <c r="C41" t="s">
        <v>81</v>
      </c>
      <c r="D41" s="77" t="s">
        <v>121</v>
      </c>
      <c r="E41" t="s">
        <v>73</v>
      </c>
      <c r="F41" t="s">
        <v>74</v>
      </c>
      <c r="G41" t="s">
        <v>108</v>
      </c>
      <c r="H41" t="s">
        <v>84</v>
      </c>
      <c r="I41" s="76">
        <f>'SUT_EU27 total'!$K$25</f>
        <v>6.9749679999999994E-2</v>
      </c>
    </row>
    <row r="42" spans="1:9" x14ac:dyDescent="0.35">
      <c r="A42" t="s">
        <v>13</v>
      </c>
      <c r="B42" t="s">
        <v>73</v>
      </c>
      <c r="C42" t="s">
        <v>81</v>
      </c>
      <c r="D42" t="s">
        <v>117</v>
      </c>
      <c r="E42" t="s">
        <v>73</v>
      </c>
      <c r="F42" t="s">
        <v>74</v>
      </c>
      <c r="G42" t="s">
        <v>108</v>
      </c>
      <c r="H42" t="s">
        <v>84</v>
      </c>
      <c r="I42" s="76">
        <f>'SUT_EU27 total'!$K$27</f>
        <v>1.1932942595726979E-3</v>
      </c>
    </row>
    <row r="43" spans="1:9" x14ac:dyDescent="0.35">
      <c r="A43" t="s">
        <v>13</v>
      </c>
      <c r="B43" t="s">
        <v>73</v>
      </c>
      <c r="C43" t="s">
        <v>81</v>
      </c>
      <c r="D43" t="s">
        <v>122</v>
      </c>
      <c r="E43" t="s">
        <v>73</v>
      </c>
      <c r="F43" t="s">
        <v>74</v>
      </c>
      <c r="G43" t="s">
        <v>108</v>
      </c>
      <c r="H43" t="s">
        <v>84</v>
      </c>
      <c r="I43" s="76">
        <f>'SUT_EU27 total'!$K$30</f>
        <v>1.5965533412604042E-3</v>
      </c>
    </row>
    <row r="44" spans="1:9" x14ac:dyDescent="0.35">
      <c r="A44" t="s">
        <v>13</v>
      </c>
      <c r="B44" t="s">
        <v>73</v>
      </c>
      <c r="C44" t="s">
        <v>81</v>
      </c>
      <c r="D44" t="s">
        <v>101</v>
      </c>
      <c r="E44" t="s">
        <v>73</v>
      </c>
      <c r="F44" t="s">
        <v>74</v>
      </c>
      <c r="G44" t="s">
        <v>108</v>
      </c>
      <c r="H44" t="s">
        <v>84</v>
      </c>
      <c r="I44" s="76" cm="1">
        <f t="array" ref="I44:I46">'SUT_EU27 total'!$K$32:$K$34</f>
        <v>2.4335351040000001E-4</v>
      </c>
    </row>
    <row r="45" spans="1:9" x14ac:dyDescent="0.35">
      <c r="A45" t="s">
        <v>13</v>
      </c>
      <c r="B45" t="s">
        <v>73</v>
      </c>
      <c r="C45" t="s">
        <v>81</v>
      </c>
      <c r="D45" t="s">
        <v>104</v>
      </c>
      <c r="E45" t="s">
        <v>73</v>
      </c>
      <c r="F45" t="s">
        <v>74</v>
      </c>
      <c r="G45" t="s">
        <v>108</v>
      </c>
      <c r="H45" t="s">
        <v>84</v>
      </c>
      <c r="I45" s="76">
        <v>4.6076808959999996E-4</v>
      </c>
    </row>
    <row r="46" spans="1:9" x14ac:dyDescent="0.35">
      <c r="A46" t="s">
        <v>13</v>
      </c>
      <c r="B46" t="s">
        <v>73</v>
      </c>
      <c r="C46" t="s">
        <v>81</v>
      </c>
      <c r="D46" t="s">
        <v>106</v>
      </c>
      <c r="E46" t="s">
        <v>73</v>
      </c>
      <c r="F46" t="s">
        <v>74</v>
      </c>
      <c r="G46" t="s">
        <v>108</v>
      </c>
      <c r="H46" t="s">
        <v>84</v>
      </c>
      <c r="I46" s="76">
        <v>1.5672383999999996E-3</v>
      </c>
    </row>
    <row r="47" spans="1:9" x14ac:dyDescent="0.35">
      <c r="A47" t="s">
        <v>13</v>
      </c>
      <c r="B47" t="s">
        <v>88</v>
      </c>
      <c r="C47" t="s">
        <v>81</v>
      </c>
      <c r="D47" t="s">
        <v>118</v>
      </c>
      <c r="E47" t="s">
        <v>73</v>
      </c>
      <c r="F47" t="s">
        <v>74</v>
      </c>
      <c r="G47" t="s">
        <v>108</v>
      </c>
      <c r="H47" t="s">
        <v>84</v>
      </c>
      <c r="I47" s="76" cm="1">
        <f t="array" ref="I47:I49">'SUT_EU27 total'!$K$38:$K$40</f>
        <v>3.3029309855227888E-2</v>
      </c>
    </row>
    <row r="48" spans="1:9" x14ac:dyDescent="0.35">
      <c r="A48" t="s">
        <v>13</v>
      </c>
      <c r="B48" t="s">
        <v>88</v>
      </c>
      <c r="C48" t="s">
        <v>81</v>
      </c>
      <c r="D48" t="s">
        <v>119</v>
      </c>
      <c r="E48" t="s">
        <v>73</v>
      </c>
      <c r="F48" t="s">
        <v>74</v>
      </c>
      <c r="G48" t="s">
        <v>108</v>
      </c>
      <c r="H48" t="s">
        <v>84</v>
      </c>
      <c r="I48" s="76">
        <v>6.9915569300335089E-3</v>
      </c>
    </row>
    <row r="49" spans="1:9" x14ac:dyDescent="0.35">
      <c r="A49" t="s">
        <v>13</v>
      </c>
      <c r="B49" t="s">
        <v>88</v>
      </c>
      <c r="C49" t="s">
        <v>81</v>
      </c>
      <c r="D49" t="s">
        <v>120</v>
      </c>
      <c r="E49" t="s">
        <v>73</v>
      </c>
      <c r="F49" t="s">
        <v>74</v>
      </c>
      <c r="G49" t="s">
        <v>108</v>
      </c>
      <c r="H49" t="s">
        <v>84</v>
      </c>
      <c r="I49" s="76">
        <v>1.5283979779928203E-3</v>
      </c>
    </row>
    <row r="50" spans="1:9" x14ac:dyDescent="0.35">
      <c r="A50" t="s">
        <v>13</v>
      </c>
      <c r="B50" t="s">
        <v>88</v>
      </c>
      <c r="C50" t="s">
        <v>81</v>
      </c>
      <c r="D50" s="77" t="s">
        <v>121</v>
      </c>
      <c r="E50" t="s">
        <v>73</v>
      </c>
      <c r="F50" t="s">
        <v>74</v>
      </c>
      <c r="G50" t="s">
        <v>108</v>
      </c>
      <c r="H50" t="s">
        <v>84</v>
      </c>
      <c r="I50" s="76">
        <f>'SUT_EU27 total'!$K$42</f>
        <v>0</v>
      </c>
    </row>
    <row r="51" spans="1:9" x14ac:dyDescent="0.35">
      <c r="A51" t="s">
        <v>13</v>
      </c>
      <c r="B51" t="s">
        <v>88</v>
      </c>
      <c r="C51" t="s">
        <v>81</v>
      </c>
      <c r="D51" t="s">
        <v>117</v>
      </c>
      <c r="E51" t="s">
        <v>73</v>
      </c>
      <c r="F51" t="s">
        <v>74</v>
      </c>
      <c r="G51" t="s">
        <v>108</v>
      </c>
      <c r="H51" t="s">
        <v>84</v>
      </c>
      <c r="I51" s="76">
        <f>'SUT_EU27 total'!$K$44</f>
        <v>9.9090099874062521E-4</v>
      </c>
    </row>
    <row r="52" spans="1:9" x14ac:dyDescent="0.35">
      <c r="A52" t="s">
        <v>13</v>
      </c>
      <c r="B52" t="s">
        <v>88</v>
      </c>
      <c r="C52" t="s">
        <v>81</v>
      </c>
      <c r="D52" t="s">
        <v>122</v>
      </c>
      <c r="E52" t="s">
        <v>73</v>
      </c>
      <c r="F52" t="s">
        <v>74</v>
      </c>
      <c r="G52" t="s">
        <v>108</v>
      </c>
      <c r="H52" t="s">
        <v>84</v>
      </c>
      <c r="I52" s="76">
        <f>'SUT_EU27 total'!$K$47</f>
        <v>0</v>
      </c>
    </row>
    <row r="53" spans="1:9" x14ac:dyDescent="0.35">
      <c r="A53" t="s">
        <v>13</v>
      </c>
      <c r="B53" t="s">
        <v>88</v>
      </c>
      <c r="C53" t="s">
        <v>81</v>
      </c>
      <c r="D53" t="s">
        <v>101</v>
      </c>
      <c r="E53" t="s">
        <v>73</v>
      </c>
      <c r="F53" t="s">
        <v>74</v>
      </c>
      <c r="G53" t="s">
        <v>108</v>
      </c>
      <c r="H53" t="s">
        <v>84</v>
      </c>
      <c r="I53" s="76" cm="1">
        <f t="array" ref="I53:I55">'SUT_EU27 total'!$K$49:$K$51</f>
        <v>0</v>
      </c>
    </row>
    <row r="54" spans="1:9" x14ac:dyDescent="0.35">
      <c r="A54" t="s">
        <v>13</v>
      </c>
      <c r="B54" t="s">
        <v>88</v>
      </c>
      <c r="C54" t="s">
        <v>81</v>
      </c>
      <c r="D54" t="s">
        <v>104</v>
      </c>
      <c r="E54" t="s">
        <v>73</v>
      </c>
      <c r="F54" t="s">
        <v>74</v>
      </c>
      <c r="G54" t="s">
        <v>108</v>
      </c>
      <c r="H54" t="s">
        <v>84</v>
      </c>
      <c r="I54" s="76">
        <v>0</v>
      </c>
    </row>
    <row r="55" spans="1:9" x14ac:dyDescent="0.35">
      <c r="A55" t="s">
        <v>13</v>
      </c>
      <c r="B55" t="s">
        <v>88</v>
      </c>
      <c r="C55" t="s">
        <v>81</v>
      </c>
      <c r="D55" t="s">
        <v>106</v>
      </c>
      <c r="E55" t="s">
        <v>73</v>
      </c>
      <c r="F55" t="s">
        <v>74</v>
      </c>
      <c r="G55" t="s">
        <v>108</v>
      </c>
      <c r="H55" t="s">
        <v>84</v>
      </c>
      <c r="I55" s="76">
        <v>0</v>
      </c>
    </row>
    <row r="56" spans="1:9" x14ac:dyDescent="0.35">
      <c r="A56" t="s">
        <v>13</v>
      </c>
      <c r="B56" t="s">
        <v>90</v>
      </c>
      <c r="C56" t="s">
        <v>81</v>
      </c>
      <c r="D56" t="s">
        <v>118</v>
      </c>
      <c r="E56" t="s">
        <v>73</v>
      </c>
      <c r="F56" t="s">
        <v>74</v>
      </c>
      <c r="G56" t="s">
        <v>108</v>
      </c>
      <c r="H56" t="s">
        <v>84</v>
      </c>
      <c r="I56" s="76" cm="1">
        <f t="array" ref="I56:I58">'SUT_EU27 total'!$K$55:$K$57</f>
        <v>4.323194595174263E-3</v>
      </c>
    </row>
    <row r="57" spans="1:9" x14ac:dyDescent="0.35">
      <c r="A57" t="s">
        <v>13</v>
      </c>
      <c r="B57" t="s">
        <v>90</v>
      </c>
      <c r="C57" t="s">
        <v>81</v>
      </c>
      <c r="D57" t="s">
        <v>119</v>
      </c>
      <c r="E57" t="s">
        <v>73</v>
      </c>
      <c r="F57" t="s">
        <v>74</v>
      </c>
      <c r="G57" t="s">
        <v>108</v>
      </c>
      <c r="H57" t="s">
        <v>84</v>
      </c>
      <c r="I57" s="76">
        <v>1.2800331672655335E-3</v>
      </c>
    </row>
    <row r="58" spans="1:9" x14ac:dyDescent="0.35">
      <c r="A58" t="s">
        <v>13</v>
      </c>
      <c r="B58" t="s">
        <v>90</v>
      </c>
      <c r="C58" t="s">
        <v>81</v>
      </c>
      <c r="D58" t="s">
        <v>120</v>
      </c>
      <c r="E58" t="s">
        <v>73</v>
      </c>
      <c r="F58" t="s">
        <v>74</v>
      </c>
      <c r="G58" t="s">
        <v>108</v>
      </c>
      <c r="H58" t="s">
        <v>84</v>
      </c>
      <c r="I58" s="76">
        <v>5.6700291220540041E-3</v>
      </c>
    </row>
    <row r="59" spans="1:9" x14ac:dyDescent="0.35">
      <c r="A59" t="s">
        <v>13</v>
      </c>
      <c r="B59" t="s">
        <v>90</v>
      </c>
      <c r="C59" t="s">
        <v>81</v>
      </c>
      <c r="D59" s="77" t="s">
        <v>121</v>
      </c>
      <c r="E59" t="s">
        <v>73</v>
      </c>
      <c r="F59" t="s">
        <v>74</v>
      </c>
      <c r="G59" t="s">
        <v>108</v>
      </c>
      <c r="H59" t="s">
        <v>84</v>
      </c>
      <c r="I59" s="76">
        <f>'SUT_EU27 total'!$K$59</f>
        <v>0</v>
      </c>
    </row>
    <row r="60" spans="1:9" x14ac:dyDescent="0.35">
      <c r="A60" t="s">
        <v>13</v>
      </c>
      <c r="B60" t="s">
        <v>90</v>
      </c>
      <c r="C60" t="s">
        <v>81</v>
      </c>
      <c r="D60" t="s">
        <v>117</v>
      </c>
      <c r="E60" t="s">
        <v>73</v>
      </c>
      <c r="F60" t="s">
        <v>74</v>
      </c>
      <c r="G60" t="s">
        <v>108</v>
      </c>
      <c r="H60" t="s">
        <v>84</v>
      </c>
      <c r="I60" s="76">
        <f>'SUT_EU27 total'!$K$61</f>
        <v>1.1930979242119881E-3</v>
      </c>
    </row>
    <row r="61" spans="1:9" x14ac:dyDescent="0.35">
      <c r="A61" t="s">
        <v>13</v>
      </c>
      <c r="B61" t="s">
        <v>90</v>
      </c>
      <c r="C61" t="s">
        <v>81</v>
      </c>
      <c r="D61" t="s">
        <v>122</v>
      </c>
      <c r="E61" t="s">
        <v>73</v>
      </c>
      <c r="F61" t="s">
        <v>74</v>
      </c>
      <c r="G61" t="s">
        <v>108</v>
      </c>
      <c r="H61" t="s">
        <v>84</v>
      </c>
      <c r="I61" s="76">
        <f>'SUT_EU27 total'!$K$64</f>
        <v>2.5776238002378116E-3</v>
      </c>
    </row>
    <row r="62" spans="1:9" x14ac:dyDescent="0.35">
      <c r="A62" t="s">
        <v>13</v>
      </c>
      <c r="B62" t="s">
        <v>90</v>
      </c>
      <c r="C62" t="s">
        <v>81</v>
      </c>
      <c r="D62" t="s">
        <v>101</v>
      </c>
      <c r="E62" t="s">
        <v>73</v>
      </c>
      <c r="F62" t="s">
        <v>74</v>
      </c>
      <c r="G62" t="s">
        <v>108</v>
      </c>
      <c r="H62" t="s">
        <v>84</v>
      </c>
      <c r="I62" s="76" cm="1">
        <f t="array" ref="I62:I64">'SUT_EU27 total'!$K$66:$K$68</f>
        <v>0</v>
      </c>
    </row>
    <row r="63" spans="1:9" x14ac:dyDescent="0.35">
      <c r="A63" t="s">
        <v>13</v>
      </c>
      <c r="B63" t="s">
        <v>90</v>
      </c>
      <c r="C63" t="s">
        <v>81</v>
      </c>
      <c r="D63" t="s">
        <v>104</v>
      </c>
      <c r="E63" t="s">
        <v>73</v>
      </c>
      <c r="F63" t="s">
        <v>74</v>
      </c>
      <c r="G63" t="s">
        <v>108</v>
      </c>
      <c r="H63" t="s">
        <v>84</v>
      </c>
      <c r="I63" s="76">
        <v>0</v>
      </c>
    </row>
    <row r="64" spans="1:9" x14ac:dyDescent="0.35">
      <c r="A64" t="s">
        <v>13</v>
      </c>
      <c r="B64" t="s">
        <v>90</v>
      </c>
      <c r="C64" t="s">
        <v>81</v>
      </c>
      <c r="D64" t="s">
        <v>106</v>
      </c>
      <c r="E64" t="s">
        <v>73</v>
      </c>
      <c r="F64" t="s">
        <v>74</v>
      </c>
      <c r="G64" t="s">
        <v>108</v>
      </c>
      <c r="H64" t="s">
        <v>84</v>
      </c>
      <c r="I64" s="76">
        <v>0</v>
      </c>
    </row>
    <row r="65" spans="1:9" x14ac:dyDescent="0.35">
      <c r="A65" t="s">
        <v>13</v>
      </c>
      <c r="B65" t="s">
        <v>91</v>
      </c>
      <c r="C65" t="s">
        <v>81</v>
      </c>
      <c r="D65" t="s">
        <v>118</v>
      </c>
      <c r="E65" t="s">
        <v>73</v>
      </c>
      <c r="F65" t="s">
        <v>74</v>
      </c>
      <c r="G65" t="s">
        <v>108</v>
      </c>
      <c r="H65" t="s">
        <v>84</v>
      </c>
      <c r="I65" s="76" cm="1">
        <f t="array" ref="I65:I67">'SUT_EU27 total'!$K$72:$K$74</f>
        <v>5.3791732332439677E-3</v>
      </c>
    </row>
    <row r="66" spans="1:9" x14ac:dyDescent="0.35">
      <c r="A66" t="s">
        <v>13</v>
      </c>
      <c r="B66" t="s">
        <v>91</v>
      </c>
      <c r="C66" t="s">
        <v>81</v>
      </c>
      <c r="D66" t="s">
        <v>119</v>
      </c>
      <c r="E66" t="s">
        <v>73</v>
      </c>
      <c r="F66" t="s">
        <v>74</v>
      </c>
      <c r="G66" t="s">
        <v>108</v>
      </c>
      <c r="H66" t="s">
        <v>84</v>
      </c>
      <c r="I66" s="76">
        <v>6.5526133182607291E-3</v>
      </c>
    </row>
    <row r="67" spans="1:9" x14ac:dyDescent="0.35">
      <c r="A67" t="s">
        <v>13</v>
      </c>
      <c r="B67" t="s">
        <v>91</v>
      </c>
      <c r="C67" t="s">
        <v>81</v>
      </c>
      <c r="D67" t="s">
        <v>120</v>
      </c>
      <c r="E67" t="s">
        <v>73</v>
      </c>
      <c r="F67" t="s">
        <v>74</v>
      </c>
      <c r="G67" t="s">
        <v>108</v>
      </c>
      <c r="H67" t="s">
        <v>84</v>
      </c>
      <c r="I67" s="76">
        <v>2.464950959887623E-4</v>
      </c>
    </row>
    <row r="68" spans="1:9" x14ac:dyDescent="0.35">
      <c r="A68" t="s">
        <v>13</v>
      </c>
      <c r="B68" t="s">
        <v>91</v>
      </c>
      <c r="C68" t="s">
        <v>81</v>
      </c>
      <c r="D68" s="77" t="s">
        <v>121</v>
      </c>
      <c r="E68" t="s">
        <v>73</v>
      </c>
      <c r="F68" t="s">
        <v>74</v>
      </c>
      <c r="G68" t="s">
        <v>108</v>
      </c>
      <c r="H68" t="s">
        <v>84</v>
      </c>
      <c r="I68" s="76">
        <f>'SUT_EU27 total'!$K$76</f>
        <v>0</v>
      </c>
    </row>
    <row r="69" spans="1:9" x14ac:dyDescent="0.35">
      <c r="A69" t="s">
        <v>13</v>
      </c>
      <c r="B69" t="s">
        <v>91</v>
      </c>
      <c r="C69" t="s">
        <v>81</v>
      </c>
      <c r="D69" t="s">
        <v>117</v>
      </c>
      <c r="E69" t="s">
        <v>73</v>
      </c>
      <c r="F69" t="s">
        <v>74</v>
      </c>
      <c r="G69" t="s">
        <v>108</v>
      </c>
      <c r="H69" t="s">
        <v>84</v>
      </c>
      <c r="I69" s="76">
        <f>'SUT_EU27 total'!$K$78</f>
        <v>1.1485683451306521E-3</v>
      </c>
    </row>
    <row r="70" spans="1:9" x14ac:dyDescent="0.35">
      <c r="A70" t="s">
        <v>13</v>
      </c>
      <c r="B70" t="s">
        <v>91</v>
      </c>
      <c r="C70" t="s">
        <v>81</v>
      </c>
      <c r="D70" t="s">
        <v>122</v>
      </c>
      <c r="E70" t="s">
        <v>73</v>
      </c>
      <c r="F70" t="s">
        <v>74</v>
      </c>
      <c r="G70" t="s">
        <v>108</v>
      </c>
      <c r="H70" t="s">
        <v>84</v>
      </c>
      <c r="I70" s="76">
        <f>'SUT_EU27 total'!$K$81</f>
        <v>0</v>
      </c>
    </row>
    <row r="71" spans="1:9" x14ac:dyDescent="0.35">
      <c r="A71" t="s">
        <v>13</v>
      </c>
      <c r="B71" t="s">
        <v>91</v>
      </c>
      <c r="C71" t="s">
        <v>81</v>
      </c>
      <c r="D71" t="s">
        <v>101</v>
      </c>
      <c r="E71" t="s">
        <v>73</v>
      </c>
      <c r="F71" t="s">
        <v>74</v>
      </c>
      <c r="G71" t="s">
        <v>108</v>
      </c>
      <c r="H71" t="s">
        <v>84</v>
      </c>
      <c r="I71" s="76" cm="1">
        <f t="array" ref="I71:I73">'SUT_EU27 total'!$K$83:$K$85</f>
        <v>0</v>
      </c>
    </row>
    <row r="72" spans="1:9" x14ac:dyDescent="0.35">
      <c r="A72" t="s">
        <v>13</v>
      </c>
      <c r="B72" t="s">
        <v>91</v>
      </c>
      <c r="C72" t="s">
        <v>81</v>
      </c>
      <c r="D72" t="s">
        <v>104</v>
      </c>
      <c r="E72" t="s">
        <v>73</v>
      </c>
      <c r="F72" t="s">
        <v>74</v>
      </c>
      <c r="G72" t="s">
        <v>108</v>
      </c>
      <c r="H72" t="s">
        <v>84</v>
      </c>
      <c r="I72" s="76">
        <v>0</v>
      </c>
    </row>
    <row r="73" spans="1:9" x14ac:dyDescent="0.35">
      <c r="A73" t="s">
        <v>13</v>
      </c>
      <c r="B73" t="s">
        <v>91</v>
      </c>
      <c r="C73" t="s">
        <v>81</v>
      </c>
      <c r="D73" t="s">
        <v>106</v>
      </c>
      <c r="E73" t="s">
        <v>73</v>
      </c>
      <c r="F73" t="s">
        <v>74</v>
      </c>
      <c r="G73" t="s">
        <v>108</v>
      </c>
      <c r="H73" t="s">
        <v>84</v>
      </c>
      <c r="I73" s="76">
        <v>0</v>
      </c>
    </row>
    <row r="74" spans="1:9" x14ac:dyDescent="0.35">
      <c r="A74" t="s">
        <v>13</v>
      </c>
      <c r="B74" t="s">
        <v>92</v>
      </c>
      <c r="C74" t="s">
        <v>81</v>
      </c>
      <c r="D74" t="s">
        <v>118</v>
      </c>
      <c r="E74" t="s">
        <v>73</v>
      </c>
      <c r="F74" t="s">
        <v>74</v>
      </c>
      <c r="G74" t="s">
        <v>108</v>
      </c>
      <c r="H74" t="s">
        <v>84</v>
      </c>
      <c r="I74" s="76" cm="1">
        <f t="array" ref="I74:I76">'SUT_EU27 total'!$K$89:$K$91</f>
        <v>3.3497344343163542E-3</v>
      </c>
    </row>
    <row r="75" spans="1:9" x14ac:dyDescent="0.35">
      <c r="A75" t="s">
        <v>13</v>
      </c>
      <c r="B75" t="s">
        <v>92</v>
      </c>
      <c r="C75" t="s">
        <v>81</v>
      </c>
      <c r="D75" t="s">
        <v>119</v>
      </c>
      <c r="E75" t="s">
        <v>73</v>
      </c>
      <c r="F75" t="s">
        <v>74</v>
      </c>
      <c r="G75" t="s">
        <v>108</v>
      </c>
      <c r="H75" t="s">
        <v>84</v>
      </c>
      <c r="I75" s="76">
        <v>6.0269323460777589E-3</v>
      </c>
    </row>
    <row r="76" spans="1:9" x14ac:dyDescent="0.35">
      <c r="A76" t="s">
        <v>13</v>
      </c>
      <c r="B76" t="s">
        <v>92</v>
      </c>
      <c r="C76" t="s">
        <v>81</v>
      </c>
      <c r="D76" t="s">
        <v>120</v>
      </c>
      <c r="E76" t="s">
        <v>73</v>
      </c>
      <c r="F76" t="s">
        <v>74</v>
      </c>
      <c r="G76" t="s">
        <v>108</v>
      </c>
      <c r="H76" t="s">
        <v>84</v>
      </c>
      <c r="I76" s="76">
        <v>4.0947713992508196E-3</v>
      </c>
    </row>
    <row r="77" spans="1:9" x14ac:dyDescent="0.35">
      <c r="A77" t="s">
        <v>13</v>
      </c>
      <c r="B77" t="s">
        <v>92</v>
      </c>
      <c r="C77" t="s">
        <v>81</v>
      </c>
      <c r="D77" s="77" t="s">
        <v>121</v>
      </c>
      <c r="E77" t="s">
        <v>73</v>
      </c>
      <c r="F77" t="s">
        <v>74</v>
      </c>
      <c r="G77" t="s">
        <v>108</v>
      </c>
      <c r="H77" t="s">
        <v>84</v>
      </c>
      <c r="I77" s="76">
        <f>'SUT_EU27 total'!$K$93</f>
        <v>0</v>
      </c>
    </row>
    <row r="78" spans="1:9" x14ac:dyDescent="0.35">
      <c r="A78" t="s">
        <v>13</v>
      </c>
      <c r="B78" t="s">
        <v>92</v>
      </c>
      <c r="C78" t="s">
        <v>81</v>
      </c>
      <c r="D78" t="s">
        <v>117</v>
      </c>
      <c r="E78" t="s">
        <v>73</v>
      </c>
      <c r="F78" t="s">
        <v>74</v>
      </c>
      <c r="G78" t="s">
        <v>108</v>
      </c>
      <c r="H78" t="s">
        <v>84</v>
      </c>
      <c r="I78" s="76">
        <f>'SUT_EU27 total'!$K$95</f>
        <v>0</v>
      </c>
    </row>
    <row r="79" spans="1:9" x14ac:dyDescent="0.35">
      <c r="A79" t="s">
        <v>13</v>
      </c>
      <c r="B79" t="s">
        <v>92</v>
      </c>
      <c r="C79" t="s">
        <v>81</v>
      </c>
      <c r="D79" t="s">
        <v>122</v>
      </c>
      <c r="E79" t="s">
        <v>73</v>
      </c>
      <c r="F79" t="s">
        <v>74</v>
      </c>
      <c r="G79" t="s">
        <v>108</v>
      </c>
      <c r="H79" t="s">
        <v>84</v>
      </c>
      <c r="I79" s="76">
        <f>'SUT_EU27 total'!$K$98</f>
        <v>0</v>
      </c>
    </row>
    <row r="80" spans="1:9" x14ac:dyDescent="0.35">
      <c r="A80" t="s">
        <v>13</v>
      </c>
      <c r="B80" t="s">
        <v>92</v>
      </c>
      <c r="C80" t="s">
        <v>81</v>
      </c>
      <c r="D80" t="s">
        <v>101</v>
      </c>
      <c r="E80" t="s">
        <v>73</v>
      </c>
      <c r="F80" t="s">
        <v>74</v>
      </c>
      <c r="G80" t="s">
        <v>108</v>
      </c>
      <c r="H80" t="s">
        <v>84</v>
      </c>
      <c r="I80" s="76" cm="1">
        <f t="array" ref="I80:I82">'SUT_EU27 total'!$K$100:$K$102</f>
        <v>0</v>
      </c>
    </row>
    <row r="81" spans="1:9" x14ac:dyDescent="0.35">
      <c r="A81" t="s">
        <v>13</v>
      </c>
      <c r="B81" t="s">
        <v>92</v>
      </c>
      <c r="C81" t="s">
        <v>81</v>
      </c>
      <c r="D81" t="s">
        <v>104</v>
      </c>
      <c r="E81" t="s">
        <v>73</v>
      </c>
      <c r="F81" t="s">
        <v>74</v>
      </c>
      <c r="G81" t="s">
        <v>108</v>
      </c>
      <c r="H81" t="s">
        <v>84</v>
      </c>
      <c r="I81" s="76">
        <v>0</v>
      </c>
    </row>
    <row r="82" spans="1:9" x14ac:dyDescent="0.35">
      <c r="A82" t="s">
        <v>13</v>
      </c>
      <c r="B82" t="s">
        <v>92</v>
      </c>
      <c r="C82" t="s">
        <v>81</v>
      </c>
      <c r="D82" t="s">
        <v>106</v>
      </c>
      <c r="E82" t="s">
        <v>73</v>
      </c>
      <c r="F82" t="s">
        <v>74</v>
      </c>
      <c r="G82" t="s">
        <v>108</v>
      </c>
      <c r="H82" t="s">
        <v>84</v>
      </c>
      <c r="I82" s="76">
        <v>0</v>
      </c>
    </row>
    <row r="83" spans="1:9" x14ac:dyDescent="0.35">
      <c r="A83" t="s">
        <v>13</v>
      </c>
      <c r="B83" t="s">
        <v>93</v>
      </c>
      <c r="C83" t="s">
        <v>81</v>
      </c>
      <c r="D83" t="s">
        <v>118</v>
      </c>
      <c r="E83" t="s">
        <v>73</v>
      </c>
      <c r="F83" t="s">
        <v>74</v>
      </c>
      <c r="G83" t="s">
        <v>108</v>
      </c>
      <c r="H83" t="s">
        <v>84</v>
      </c>
      <c r="I83" s="76" cm="1">
        <f t="array" ref="I83:I85">'SUT_EU27 total'!$K$106:$K$108</f>
        <v>1.4980971667560324E-2</v>
      </c>
    </row>
    <row r="84" spans="1:9" x14ac:dyDescent="0.35">
      <c r="A84" t="s">
        <v>13</v>
      </c>
      <c r="B84" t="s">
        <v>93</v>
      </c>
      <c r="C84" t="s">
        <v>81</v>
      </c>
      <c r="D84" t="s">
        <v>119</v>
      </c>
      <c r="E84" t="s">
        <v>73</v>
      </c>
      <c r="F84" t="s">
        <v>74</v>
      </c>
      <c r="G84" t="s">
        <v>108</v>
      </c>
      <c r="H84" t="s">
        <v>84</v>
      </c>
      <c r="I84" s="76">
        <v>4.3405477873147885E-2</v>
      </c>
    </row>
    <row r="85" spans="1:9" x14ac:dyDescent="0.35">
      <c r="A85" t="s">
        <v>13</v>
      </c>
      <c r="B85" t="s">
        <v>93</v>
      </c>
      <c r="C85" t="s">
        <v>81</v>
      </c>
      <c r="D85" t="s">
        <v>120</v>
      </c>
      <c r="E85" t="s">
        <v>73</v>
      </c>
      <c r="F85" t="s">
        <v>74</v>
      </c>
      <c r="G85" t="s">
        <v>108</v>
      </c>
      <c r="H85" t="s">
        <v>84</v>
      </c>
      <c r="I85" s="76">
        <v>2.1237093113781802E-2</v>
      </c>
    </row>
    <row r="86" spans="1:9" x14ac:dyDescent="0.35">
      <c r="A86" t="s">
        <v>13</v>
      </c>
      <c r="B86" t="s">
        <v>93</v>
      </c>
      <c r="C86" t="s">
        <v>81</v>
      </c>
      <c r="D86" s="77" t="s">
        <v>121</v>
      </c>
      <c r="E86" t="s">
        <v>73</v>
      </c>
      <c r="F86" t="s">
        <v>74</v>
      </c>
      <c r="G86" t="s">
        <v>108</v>
      </c>
      <c r="H86" t="s">
        <v>84</v>
      </c>
      <c r="I86" s="76">
        <f>'SUT_EU27 total'!$K$110</f>
        <v>0</v>
      </c>
    </row>
    <row r="87" spans="1:9" x14ac:dyDescent="0.35">
      <c r="A87" t="s">
        <v>13</v>
      </c>
      <c r="B87" t="s">
        <v>93</v>
      </c>
      <c r="C87" t="s">
        <v>81</v>
      </c>
      <c r="D87" t="s">
        <v>117</v>
      </c>
      <c r="E87" t="s">
        <v>73</v>
      </c>
      <c r="F87" t="s">
        <v>74</v>
      </c>
      <c r="G87" t="s">
        <v>108</v>
      </c>
      <c r="H87" t="s">
        <v>84</v>
      </c>
      <c r="I87" s="76">
        <f>'SUT_EU27 total'!$K$112</f>
        <v>1.1930984723440377E-3</v>
      </c>
    </row>
    <row r="88" spans="1:9" x14ac:dyDescent="0.35">
      <c r="A88" t="s">
        <v>13</v>
      </c>
      <c r="B88" t="s">
        <v>93</v>
      </c>
      <c r="C88" t="s">
        <v>81</v>
      </c>
      <c r="D88" t="s">
        <v>122</v>
      </c>
      <c r="E88" t="s">
        <v>73</v>
      </c>
      <c r="F88" t="s">
        <v>74</v>
      </c>
      <c r="G88" t="s">
        <v>108</v>
      </c>
      <c r="H88" t="s">
        <v>84</v>
      </c>
      <c r="I88" s="76">
        <f>'SUT_EU27 total'!$K$115</f>
        <v>8.7987828585017833E-3</v>
      </c>
    </row>
    <row r="89" spans="1:9" x14ac:dyDescent="0.35">
      <c r="A89" t="s">
        <v>13</v>
      </c>
      <c r="B89" t="s">
        <v>93</v>
      </c>
      <c r="C89" t="s">
        <v>81</v>
      </c>
      <c r="D89" t="s">
        <v>101</v>
      </c>
      <c r="E89" t="s">
        <v>73</v>
      </c>
      <c r="F89" t="s">
        <v>74</v>
      </c>
      <c r="G89" t="s">
        <v>108</v>
      </c>
      <c r="H89" t="s">
        <v>84</v>
      </c>
      <c r="I89" s="76" cm="1">
        <f t="array" ref="I89:I91">'SUT_EU27 total'!$K$117:$K$119</f>
        <v>0</v>
      </c>
    </row>
    <row r="90" spans="1:9" x14ac:dyDescent="0.35">
      <c r="A90" t="s">
        <v>13</v>
      </c>
      <c r="B90" t="s">
        <v>93</v>
      </c>
      <c r="C90" t="s">
        <v>81</v>
      </c>
      <c r="D90" t="s">
        <v>104</v>
      </c>
      <c r="E90" t="s">
        <v>73</v>
      </c>
      <c r="F90" t="s">
        <v>74</v>
      </c>
      <c r="G90" t="s">
        <v>108</v>
      </c>
      <c r="H90" t="s">
        <v>84</v>
      </c>
      <c r="I90" s="76">
        <v>0</v>
      </c>
    </row>
    <row r="91" spans="1:9" x14ac:dyDescent="0.35">
      <c r="A91" t="s">
        <v>13</v>
      </c>
      <c r="B91" t="s">
        <v>93</v>
      </c>
      <c r="C91" t="s">
        <v>81</v>
      </c>
      <c r="D91" t="s">
        <v>106</v>
      </c>
      <c r="E91" t="s">
        <v>73</v>
      </c>
      <c r="F91" t="s">
        <v>74</v>
      </c>
      <c r="G91" t="s">
        <v>108</v>
      </c>
      <c r="H91" t="s">
        <v>84</v>
      </c>
      <c r="I91" s="76">
        <v>0</v>
      </c>
    </row>
    <row r="92" spans="1:9" x14ac:dyDescent="0.35">
      <c r="A92" t="s">
        <v>13</v>
      </c>
      <c r="B92" t="s">
        <v>73</v>
      </c>
      <c r="C92" t="s">
        <v>81</v>
      </c>
      <c r="D92" t="s">
        <v>119</v>
      </c>
      <c r="E92" t="s">
        <v>73</v>
      </c>
      <c r="F92" t="s">
        <v>74</v>
      </c>
      <c r="G92" t="s">
        <v>123</v>
      </c>
      <c r="H92" t="s">
        <v>84</v>
      </c>
      <c r="I92" s="76">
        <f>'SUT_EU27 total'!$L$22</f>
        <v>1.9500181678711294E-2</v>
      </c>
    </row>
    <row r="93" spans="1:9" x14ac:dyDescent="0.35">
      <c r="A93" t="s">
        <v>13</v>
      </c>
      <c r="B93" t="s">
        <v>73</v>
      </c>
      <c r="C93" t="s">
        <v>81</v>
      </c>
      <c r="D93" t="s">
        <v>124</v>
      </c>
      <c r="E93" t="s">
        <v>73</v>
      </c>
      <c r="F93" t="s">
        <v>74</v>
      </c>
      <c r="G93" t="s">
        <v>123</v>
      </c>
      <c r="H93" t="s">
        <v>84</v>
      </c>
      <c r="I93" s="76" cm="1">
        <f t="array" ref="I93:I101">'SUT_EU27 total'!$L$26:$L$34</f>
        <v>1.9404661061278542E-3</v>
      </c>
    </row>
    <row r="94" spans="1:9" x14ac:dyDescent="0.35">
      <c r="A94" t="s">
        <v>13</v>
      </c>
      <c r="B94" t="s">
        <v>73</v>
      </c>
      <c r="C94" t="s">
        <v>81</v>
      </c>
      <c r="D94" t="s">
        <v>117</v>
      </c>
      <c r="E94" t="s">
        <v>73</v>
      </c>
      <c r="F94" t="s">
        <v>74</v>
      </c>
      <c r="G94" t="s">
        <v>123</v>
      </c>
      <c r="H94" t="s">
        <v>84</v>
      </c>
      <c r="I94" s="76">
        <v>5.8423628191201782E-3</v>
      </c>
    </row>
    <row r="95" spans="1:9" x14ac:dyDescent="0.35">
      <c r="A95" t="s">
        <v>13</v>
      </c>
      <c r="B95" t="s">
        <v>73</v>
      </c>
      <c r="C95" t="s">
        <v>81</v>
      </c>
      <c r="D95" t="s">
        <v>82</v>
      </c>
      <c r="E95" t="s">
        <v>73</v>
      </c>
      <c r="F95" t="s">
        <v>74</v>
      </c>
      <c r="G95" t="s">
        <v>123</v>
      </c>
      <c r="H95" t="s">
        <v>84</v>
      </c>
      <c r="I95" s="76">
        <v>4.8981233243967828E-4</v>
      </c>
    </row>
    <row r="96" spans="1:9" x14ac:dyDescent="0.35">
      <c r="A96" t="s">
        <v>13</v>
      </c>
      <c r="B96" t="s">
        <v>73</v>
      </c>
      <c r="C96" t="s">
        <v>81</v>
      </c>
      <c r="D96" t="s">
        <v>125</v>
      </c>
      <c r="E96" t="s">
        <v>73</v>
      </c>
      <c r="F96" t="s">
        <v>74</v>
      </c>
      <c r="G96" t="s">
        <v>123</v>
      </c>
      <c r="H96" t="s">
        <v>84</v>
      </c>
      <c r="I96" s="76">
        <v>2.4658201215687387E-3</v>
      </c>
    </row>
    <row r="97" spans="1:9" x14ac:dyDescent="0.35">
      <c r="A97" t="s">
        <v>13</v>
      </c>
      <c r="B97" t="s">
        <v>73</v>
      </c>
      <c r="C97" t="s">
        <v>81</v>
      </c>
      <c r="D97" t="s">
        <v>122</v>
      </c>
      <c r="E97" t="s">
        <v>73</v>
      </c>
      <c r="F97" t="s">
        <v>74</v>
      </c>
      <c r="G97" t="s">
        <v>123</v>
      </c>
      <c r="H97" t="s">
        <v>84</v>
      </c>
      <c r="I97" s="76">
        <v>4.922711058263972E-4</v>
      </c>
    </row>
    <row r="98" spans="1:9" x14ac:dyDescent="0.35">
      <c r="A98" t="s">
        <v>13</v>
      </c>
      <c r="B98" t="s">
        <v>73</v>
      </c>
      <c r="C98" t="s">
        <v>81</v>
      </c>
      <c r="D98" t="s">
        <v>126</v>
      </c>
      <c r="E98" t="s">
        <v>73</v>
      </c>
      <c r="F98" t="s">
        <v>74</v>
      </c>
      <c r="G98" t="s">
        <v>123</v>
      </c>
      <c r="H98" t="s">
        <v>84</v>
      </c>
      <c r="I98" s="76">
        <v>0</v>
      </c>
    </row>
    <row r="99" spans="1:9" x14ac:dyDescent="0.35">
      <c r="A99" t="s">
        <v>13</v>
      </c>
      <c r="B99" t="s">
        <v>73</v>
      </c>
      <c r="C99" t="s">
        <v>81</v>
      </c>
      <c r="D99" t="s">
        <v>101</v>
      </c>
      <c r="E99" t="s">
        <v>73</v>
      </c>
      <c r="F99" t="s">
        <v>74</v>
      </c>
      <c r="G99" t="s">
        <v>123</v>
      </c>
      <c r="H99" t="s">
        <v>84</v>
      </c>
      <c r="I99" s="76">
        <v>3.7860913795851507E-4</v>
      </c>
    </row>
    <row r="100" spans="1:9" x14ac:dyDescent="0.35">
      <c r="A100" t="s">
        <v>13</v>
      </c>
      <c r="B100" t="s">
        <v>73</v>
      </c>
      <c r="C100" t="s">
        <v>81</v>
      </c>
      <c r="D100" t="s">
        <v>104</v>
      </c>
      <c r="E100" t="s">
        <v>73</v>
      </c>
      <c r="F100" t="s">
        <v>74</v>
      </c>
      <c r="G100" t="s">
        <v>123</v>
      </c>
      <c r="H100" t="s">
        <v>84</v>
      </c>
      <c r="I100" s="76">
        <v>7.1686251377883477E-4</v>
      </c>
    </row>
    <row r="101" spans="1:9" x14ac:dyDescent="0.35">
      <c r="A101" t="s">
        <v>13</v>
      </c>
      <c r="B101" t="s">
        <v>73</v>
      </c>
      <c r="C101" t="s">
        <v>81</v>
      </c>
      <c r="D101" t="s">
        <v>106</v>
      </c>
      <c r="E101" t="s">
        <v>73</v>
      </c>
      <c r="F101" t="s">
        <v>74</v>
      </c>
      <c r="G101" t="s">
        <v>123</v>
      </c>
      <c r="H101" t="s">
        <v>84</v>
      </c>
      <c r="I101" s="76">
        <v>2.438307869996036E-3</v>
      </c>
    </row>
    <row r="102" spans="1:9" x14ac:dyDescent="0.35">
      <c r="A102" t="s">
        <v>13</v>
      </c>
      <c r="B102" t="s">
        <v>88</v>
      </c>
      <c r="C102" t="s">
        <v>81</v>
      </c>
      <c r="D102" t="s">
        <v>119</v>
      </c>
      <c r="E102" t="s">
        <v>73</v>
      </c>
      <c r="F102" t="s">
        <v>74</v>
      </c>
      <c r="G102" t="s">
        <v>123</v>
      </c>
      <c r="H102" t="s">
        <v>84</v>
      </c>
      <c r="I102" s="76">
        <f>'SUT_EU27 total'!$L$39</f>
        <v>0.16108845734587587</v>
      </c>
    </row>
    <row r="103" spans="1:9" x14ac:dyDescent="0.35">
      <c r="A103" t="s">
        <v>13</v>
      </c>
      <c r="B103" t="s">
        <v>88</v>
      </c>
      <c r="C103" t="s">
        <v>81</v>
      </c>
      <c r="D103" t="s">
        <v>124</v>
      </c>
      <c r="E103" t="s">
        <v>73</v>
      </c>
      <c r="F103" t="s">
        <v>74</v>
      </c>
      <c r="G103" t="s">
        <v>123</v>
      </c>
      <c r="H103" t="s">
        <v>84</v>
      </c>
      <c r="I103" s="76" cm="1">
        <f t="array" ref="I103:I111">'SUT_EU27 total'!$M$43:$M$51</f>
        <v>5.0558836222750793E-4</v>
      </c>
    </row>
    <row r="104" spans="1:9" x14ac:dyDescent="0.35">
      <c r="A104" t="s">
        <v>13</v>
      </c>
      <c r="B104" t="s">
        <v>88</v>
      </c>
      <c r="C104" t="s">
        <v>81</v>
      </c>
      <c r="D104" t="s">
        <v>117</v>
      </c>
      <c r="E104" t="s">
        <v>73</v>
      </c>
      <c r="F104" t="s">
        <v>74</v>
      </c>
      <c r="G104" t="s">
        <v>123</v>
      </c>
      <c r="H104" t="s">
        <v>84</v>
      </c>
      <c r="I104" s="76">
        <v>4.8514464106651379E-3</v>
      </c>
    </row>
    <row r="105" spans="1:9" x14ac:dyDescent="0.35">
      <c r="A105" t="s">
        <v>13</v>
      </c>
      <c r="B105" t="s">
        <v>88</v>
      </c>
      <c r="C105" t="s">
        <v>81</v>
      </c>
      <c r="D105" t="s">
        <v>82</v>
      </c>
      <c r="E105" t="s">
        <v>73</v>
      </c>
      <c r="F105" t="s">
        <v>74</v>
      </c>
      <c r="G105" t="s">
        <v>123</v>
      </c>
      <c r="H105" t="s">
        <v>84</v>
      </c>
      <c r="I105" s="76">
        <v>1.109418436791091E-2</v>
      </c>
    </row>
    <row r="106" spans="1:9" x14ac:dyDescent="0.35">
      <c r="A106" t="s">
        <v>13</v>
      </c>
      <c r="B106" t="s">
        <v>88</v>
      </c>
      <c r="C106" t="s">
        <v>81</v>
      </c>
      <c r="D106" t="s">
        <v>125</v>
      </c>
      <c r="E106" t="s">
        <v>73</v>
      </c>
      <c r="F106" t="s">
        <v>74</v>
      </c>
      <c r="G106" t="s">
        <v>123</v>
      </c>
      <c r="H106" t="s">
        <v>84</v>
      </c>
      <c r="I106" s="76">
        <v>2.890870278990243E-5</v>
      </c>
    </row>
    <row r="107" spans="1:9" x14ac:dyDescent="0.35">
      <c r="A107" t="s">
        <v>13</v>
      </c>
      <c r="B107" t="s">
        <v>88</v>
      </c>
      <c r="C107" t="s">
        <v>81</v>
      </c>
      <c r="D107" t="s">
        <v>122</v>
      </c>
      <c r="E107" t="s">
        <v>73</v>
      </c>
      <c r="F107" t="s">
        <v>74</v>
      </c>
      <c r="G107" t="s">
        <v>123</v>
      </c>
      <c r="H107" t="s">
        <v>84</v>
      </c>
      <c r="I107" s="76">
        <v>0</v>
      </c>
    </row>
    <row r="108" spans="1:9" x14ac:dyDescent="0.35">
      <c r="A108" t="s">
        <v>13</v>
      </c>
      <c r="B108" t="s">
        <v>88</v>
      </c>
      <c r="C108" t="s">
        <v>81</v>
      </c>
      <c r="D108" t="s">
        <v>126</v>
      </c>
      <c r="E108" t="s">
        <v>73</v>
      </c>
      <c r="F108" t="s">
        <v>74</v>
      </c>
      <c r="G108" t="s">
        <v>123</v>
      </c>
      <c r="H108" t="s">
        <v>84</v>
      </c>
      <c r="I108" s="76">
        <v>2.8514320987501449E-3</v>
      </c>
    </row>
    <row r="109" spans="1:9" x14ac:dyDescent="0.35">
      <c r="A109" t="s">
        <v>13</v>
      </c>
      <c r="B109" t="s">
        <v>88</v>
      </c>
      <c r="C109" t="s">
        <v>81</v>
      </c>
      <c r="D109" t="s">
        <v>101</v>
      </c>
      <c r="E109" t="s">
        <v>73</v>
      </c>
      <c r="F109" t="s">
        <v>74</v>
      </c>
      <c r="G109" t="s">
        <v>123</v>
      </c>
      <c r="H109" t="s">
        <v>84</v>
      </c>
      <c r="I109" s="76">
        <v>0</v>
      </c>
    </row>
    <row r="110" spans="1:9" x14ac:dyDescent="0.35">
      <c r="A110" t="s">
        <v>13</v>
      </c>
      <c r="B110" t="s">
        <v>88</v>
      </c>
      <c r="C110" t="s">
        <v>81</v>
      </c>
      <c r="D110" t="s">
        <v>104</v>
      </c>
      <c r="E110" t="s">
        <v>73</v>
      </c>
      <c r="F110" t="s">
        <v>74</v>
      </c>
      <c r="G110" t="s">
        <v>123</v>
      </c>
      <c r="H110" t="s">
        <v>84</v>
      </c>
      <c r="I110" s="76">
        <v>0</v>
      </c>
    </row>
    <row r="111" spans="1:9" x14ac:dyDescent="0.35">
      <c r="A111" t="s">
        <v>13</v>
      </c>
      <c r="B111" t="s">
        <v>88</v>
      </c>
      <c r="C111" t="s">
        <v>81</v>
      </c>
      <c r="D111" t="s">
        <v>106</v>
      </c>
      <c r="E111" t="s">
        <v>73</v>
      </c>
      <c r="F111" t="s">
        <v>74</v>
      </c>
      <c r="G111" t="s">
        <v>123</v>
      </c>
      <c r="H111" t="s">
        <v>84</v>
      </c>
      <c r="I111" s="76">
        <v>0</v>
      </c>
    </row>
    <row r="112" spans="1:9" x14ac:dyDescent="0.35">
      <c r="A112" t="s">
        <v>13</v>
      </c>
      <c r="B112" t="s">
        <v>90</v>
      </c>
      <c r="C112" t="s">
        <v>81</v>
      </c>
      <c r="D112" t="s">
        <v>119</v>
      </c>
      <c r="E112" t="s">
        <v>73</v>
      </c>
      <c r="F112" t="s">
        <v>74</v>
      </c>
      <c r="G112" t="s">
        <v>123</v>
      </c>
      <c r="H112" t="s">
        <v>84</v>
      </c>
      <c r="I112" s="76">
        <f>'SUT_EU27 total'!$M$56</f>
        <v>2.949251079979006E-2</v>
      </c>
    </row>
    <row r="113" spans="1:9" x14ac:dyDescent="0.35">
      <c r="A113" t="s">
        <v>13</v>
      </c>
      <c r="B113" t="s">
        <v>90</v>
      </c>
      <c r="C113" t="s">
        <v>81</v>
      </c>
      <c r="D113" t="s">
        <v>124</v>
      </c>
      <c r="E113" t="s">
        <v>73</v>
      </c>
      <c r="F113" t="s">
        <v>74</v>
      </c>
      <c r="G113" t="s">
        <v>123</v>
      </c>
      <c r="H113" t="s">
        <v>84</v>
      </c>
      <c r="I113" s="76" cm="1">
        <f t="array" ref="I113:I121">'SUT_EU27 total'!$L$60:$L$68</f>
        <v>2.1047443073980527E-5</v>
      </c>
    </row>
    <row r="114" spans="1:9" x14ac:dyDescent="0.35">
      <c r="A114" t="s">
        <v>13</v>
      </c>
      <c r="B114" t="s">
        <v>90</v>
      </c>
      <c r="C114" t="s">
        <v>81</v>
      </c>
      <c r="D114" t="s">
        <v>117</v>
      </c>
      <c r="E114" t="s">
        <v>73</v>
      </c>
      <c r="F114" t="s">
        <v>74</v>
      </c>
      <c r="G114" t="s">
        <v>123</v>
      </c>
      <c r="H114" t="s">
        <v>84</v>
      </c>
      <c r="I114" s="76">
        <v>5.8414015621608938E-3</v>
      </c>
    </row>
    <row r="115" spans="1:9" x14ac:dyDescent="0.35">
      <c r="A115" t="s">
        <v>13</v>
      </c>
      <c r="B115" t="s">
        <v>90</v>
      </c>
      <c r="C115" t="s">
        <v>81</v>
      </c>
      <c r="D115" t="s">
        <v>82</v>
      </c>
      <c r="E115" t="s">
        <v>73</v>
      </c>
      <c r="F115" t="s">
        <v>74</v>
      </c>
      <c r="G115" t="s">
        <v>123</v>
      </c>
      <c r="H115" t="s">
        <v>84</v>
      </c>
      <c r="I115" s="76">
        <v>1.4521138379047227E-3</v>
      </c>
    </row>
    <row r="116" spans="1:9" x14ac:dyDescent="0.35">
      <c r="A116" t="s">
        <v>13</v>
      </c>
      <c r="B116" t="s">
        <v>90</v>
      </c>
      <c r="C116" t="s">
        <v>81</v>
      </c>
      <c r="D116" t="s">
        <v>125</v>
      </c>
      <c r="E116" t="s">
        <v>73</v>
      </c>
      <c r="F116" t="s">
        <v>74</v>
      </c>
      <c r="G116" t="s">
        <v>123</v>
      </c>
      <c r="H116" t="s">
        <v>84</v>
      </c>
      <c r="I116" s="76">
        <v>6.5130870114372285E-5</v>
      </c>
    </row>
    <row r="117" spans="1:9" x14ac:dyDescent="0.35">
      <c r="A117" t="s">
        <v>13</v>
      </c>
      <c r="B117" t="s">
        <v>90</v>
      </c>
      <c r="C117" t="s">
        <v>81</v>
      </c>
      <c r="D117" t="s">
        <v>122</v>
      </c>
      <c r="E117" t="s">
        <v>73</v>
      </c>
      <c r="F117" t="s">
        <v>74</v>
      </c>
      <c r="G117" t="s">
        <v>123</v>
      </c>
      <c r="H117" t="s">
        <v>84</v>
      </c>
      <c r="I117" s="76">
        <v>7.9476813317479189E-4</v>
      </c>
    </row>
    <row r="118" spans="1:9" x14ac:dyDescent="0.35">
      <c r="A118" t="s">
        <v>13</v>
      </c>
      <c r="B118" t="s">
        <v>90</v>
      </c>
      <c r="C118" t="s">
        <v>81</v>
      </c>
      <c r="D118" t="s">
        <v>126</v>
      </c>
      <c r="E118" t="s">
        <v>73</v>
      </c>
      <c r="F118" t="s">
        <v>74</v>
      </c>
      <c r="G118" t="s">
        <v>123</v>
      </c>
      <c r="H118" t="s">
        <v>84</v>
      </c>
      <c r="I118" s="76">
        <v>8.4821183458843076E-3</v>
      </c>
    </row>
    <row r="119" spans="1:9" x14ac:dyDescent="0.35">
      <c r="A119" t="s">
        <v>13</v>
      </c>
      <c r="B119" t="s">
        <v>90</v>
      </c>
      <c r="C119" t="s">
        <v>81</v>
      </c>
      <c r="D119" t="s">
        <v>101</v>
      </c>
      <c r="E119" t="s">
        <v>73</v>
      </c>
      <c r="F119" t="s">
        <v>74</v>
      </c>
      <c r="G119" t="s">
        <v>123</v>
      </c>
      <c r="H119" t="s">
        <v>84</v>
      </c>
      <c r="I119" s="76">
        <v>0</v>
      </c>
    </row>
    <row r="120" spans="1:9" x14ac:dyDescent="0.35">
      <c r="A120" t="s">
        <v>13</v>
      </c>
      <c r="B120" t="s">
        <v>90</v>
      </c>
      <c r="C120" t="s">
        <v>81</v>
      </c>
      <c r="D120" t="s">
        <v>104</v>
      </c>
      <c r="E120" t="s">
        <v>73</v>
      </c>
      <c r="F120" t="s">
        <v>74</v>
      </c>
      <c r="G120" t="s">
        <v>123</v>
      </c>
      <c r="H120" t="s">
        <v>84</v>
      </c>
      <c r="I120" s="76">
        <v>0</v>
      </c>
    </row>
    <row r="121" spans="1:9" x14ac:dyDescent="0.35">
      <c r="A121" t="s">
        <v>13</v>
      </c>
      <c r="B121" t="s">
        <v>90</v>
      </c>
      <c r="C121" t="s">
        <v>81</v>
      </c>
      <c r="D121" t="s">
        <v>106</v>
      </c>
      <c r="E121" t="s">
        <v>73</v>
      </c>
      <c r="F121" t="s">
        <v>74</v>
      </c>
      <c r="G121" t="s">
        <v>123</v>
      </c>
      <c r="H121" t="s">
        <v>84</v>
      </c>
      <c r="I121" s="76">
        <v>0</v>
      </c>
    </row>
    <row r="122" spans="1:9" x14ac:dyDescent="0.35">
      <c r="A122" t="s">
        <v>13</v>
      </c>
      <c r="B122" t="s">
        <v>91</v>
      </c>
      <c r="C122" t="s">
        <v>81</v>
      </c>
      <c r="D122" t="s">
        <v>119</v>
      </c>
      <c r="E122" t="s">
        <v>73</v>
      </c>
      <c r="F122" t="s">
        <v>74</v>
      </c>
      <c r="G122" t="s">
        <v>123</v>
      </c>
      <c r="H122" t="s">
        <v>84</v>
      </c>
      <c r="I122" s="76">
        <f>'SUT_EU27 total'!$L$73</f>
        <v>0.15097500908393557</v>
      </c>
    </row>
    <row r="123" spans="1:9" x14ac:dyDescent="0.35">
      <c r="A123" t="s">
        <v>13</v>
      </c>
      <c r="B123" t="s">
        <v>91</v>
      </c>
      <c r="C123" t="s">
        <v>81</v>
      </c>
      <c r="D123" t="s">
        <v>124</v>
      </c>
      <c r="E123" t="s">
        <v>73</v>
      </c>
      <c r="F123" t="s">
        <v>74</v>
      </c>
      <c r="G123" t="s">
        <v>123</v>
      </c>
      <c r="H123" t="s">
        <v>84</v>
      </c>
      <c r="I123" s="76" cm="1">
        <f t="array" ref="I123:I131">'SUT_EU27 total'!$L$77:$L$85</f>
        <v>6.7728942399646885E-5</v>
      </c>
    </row>
    <row r="124" spans="1:9" x14ac:dyDescent="0.35">
      <c r="A124" t="s">
        <v>13</v>
      </c>
      <c r="B124" t="s">
        <v>91</v>
      </c>
      <c r="C124" t="s">
        <v>81</v>
      </c>
      <c r="D124" t="s">
        <v>117</v>
      </c>
      <c r="E124" t="s">
        <v>73</v>
      </c>
      <c r="F124" t="s">
        <v>74</v>
      </c>
      <c r="G124" t="s">
        <v>123</v>
      </c>
      <c r="H124" t="s">
        <v>84</v>
      </c>
      <c r="I124" s="76">
        <v>5.6233849622410815E-3</v>
      </c>
    </row>
    <row r="125" spans="1:9" x14ac:dyDescent="0.35">
      <c r="A125" t="s">
        <v>13</v>
      </c>
      <c r="B125" t="s">
        <v>91</v>
      </c>
      <c r="C125" t="s">
        <v>81</v>
      </c>
      <c r="D125" t="s">
        <v>82</v>
      </c>
      <c r="E125" t="s">
        <v>73</v>
      </c>
      <c r="F125" t="s">
        <v>74</v>
      </c>
      <c r="G125" t="s">
        <v>123</v>
      </c>
      <c r="H125" t="s">
        <v>84</v>
      </c>
      <c r="I125" s="76">
        <v>1.8068055269127655E-3</v>
      </c>
    </row>
    <row r="126" spans="1:9" x14ac:dyDescent="0.35">
      <c r="A126" t="s">
        <v>13</v>
      </c>
      <c r="B126" t="s">
        <v>91</v>
      </c>
      <c r="C126" t="s">
        <v>81</v>
      </c>
      <c r="D126" t="s">
        <v>125</v>
      </c>
      <c r="E126" t="s">
        <v>73</v>
      </c>
      <c r="F126" t="s">
        <v>74</v>
      </c>
      <c r="G126" t="s">
        <v>123</v>
      </c>
      <c r="H126" t="s">
        <v>84</v>
      </c>
      <c r="I126" s="76">
        <v>5.6492118062760293E-6</v>
      </c>
    </row>
    <row r="127" spans="1:9" x14ac:dyDescent="0.35">
      <c r="A127" t="s">
        <v>13</v>
      </c>
      <c r="B127" t="s">
        <v>91</v>
      </c>
      <c r="C127" t="s">
        <v>81</v>
      </c>
      <c r="D127" t="s">
        <v>122</v>
      </c>
      <c r="E127" t="s">
        <v>73</v>
      </c>
      <c r="F127" t="s">
        <v>74</v>
      </c>
      <c r="G127" t="s">
        <v>123</v>
      </c>
      <c r="H127" t="s">
        <v>84</v>
      </c>
      <c r="I127" s="76">
        <v>0</v>
      </c>
    </row>
    <row r="128" spans="1:9" x14ac:dyDescent="0.35">
      <c r="A128" t="s">
        <v>13</v>
      </c>
      <c r="B128" t="s">
        <v>91</v>
      </c>
      <c r="C128" t="s">
        <v>81</v>
      </c>
      <c r="D128" t="s">
        <v>126</v>
      </c>
      <c r="E128" t="s">
        <v>73</v>
      </c>
      <c r="F128" t="s">
        <v>74</v>
      </c>
      <c r="G128" t="s">
        <v>123</v>
      </c>
      <c r="H128" t="s">
        <v>84</v>
      </c>
      <c r="I128" s="76">
        <v>8.1093795177776388E-4</v>
      </c>
    </row>
    <row r="129" spans="1:9" x14ac:dyDescent="0.35">
      <c r="A129" t="s">
        <v>13</v>
      </c>
      <c r="B129" t="s">
        <v>91</v>
      </c>
      <c r="C129" t="s">
        <v>81</v>
      </c>
      <c r="D129" t="s">
        <v>101</v>
      </c>
      <c r="E129" t="s">
        <v>73</v>
      </c>
      <c r="F129" t="s">
        <v>74</v>
      </c>
      <c r="G129" t="s">
        <v>123</v>
      </c>
      <c r="H129" t="s">
        <v>84</v>
      </c>
      <c r="I129" s="76">
        <v>0</v>
      </c>
    </row>
    <row r="130" spans="1:9" x14ac:dyDescent="0.35">
      <c r="A130" t="s">
        <v>13</v>
      </c>
      <c r="B130" t="s">
        <v>91</v>
      </c>
      <c r="C130" t="s">
        <v>81</v>
      </c>
      <c r="D130" t="s">
        <v>104</v>
      </c>
      <c r="E130" t="s">
        <v>73</v>
      </c>
      <c r="F130" t="s">
        <v>74</v>
      </c>
      <c r="G130" t="s">
        <v>123</v>
      </c>
      <c r="H130" t="s">
        <v>84</v>
      </c>
      <c r="I130" s="76">
        <v>0</v>
      </c>
    </row>
    <row r="131" spans="1:9" x14ac:dyDescent="0.35">
      <c r="A131" t="s">
        <v>13</v>
      </c>
      <c r="B131" t="s">
        <v>91</v>
      </c>
      <c r="C131" t="s">
        <v>81</v>
      </c>
      <c r="D131" t="s">
        <v>106</v>
      </c>
      <c r="E131" t="s">
        <v>73</v>
      </c>
      <c r="F131" t="s">
        <v>74</v>
      </c>
      <c r="G131" t="s">
        <v>123</v>
      </c>
      <c r="H131" t="s">
        <v>84</v>
      </c>
      <c r="I131" s="76">
        <v>0</v>
      </c>
    </row>
    <row r="132" spans="1:9" x14ac:dyDescent="0.35">
      <c r="A132" t="s">
        <v>13</v>
      </c>
      <c r="B132" t="s">
        <v>92</v>
      </c>
      <c r="C132" t="s">
        <v>81</v>
      </c>
      <c r="D132" t="s">
        <v>119</v>
      </c>
      <c r="E132" t="s">
        <v>73</v>
      </c>
      <c r="F132" t="s">
        <v>74</v>
      </c>
      <c r="G132" t="s">
        <v>123</v>
      </c>
      <c r="H132" t="s">
        <v>84</v>
      </c>
      <c r="I132" s="76">
        <f>'SUT_EU27 total'!$L$90</f>
        <v>0.13886309499777949</v>
      </c>
    </row>
    <row r="133" spans="1:9" x14ac:dyDescent="0.35">
      <c r="A133" t="s">
        <v>13</v>
      </c>
      <c r="B133" t="s">
        <v>92</v>
      </c>
      <c r="C133" t="s">
        <v>81</v>
      </c>
      <c r="D133" t="s">
        <v>124</v>
      </c>
      <c r="E133" t="s">
        <v>73</v>
      </c>
      <c r="F133" t="s">
        <v>74</v>
      </c>
      <c r="G133" t="s">
        <v>123</v>
      </c>
      <c r="H133" t="s">
        <v>84</v>
      </c>
      <c r="I133" s="76" cm="1">
        <f t="array" ref="I133:I141">'SUT_EU27 total'!$L$94:$L$102</f>
        <v>9.2968907089085616E-5</v>
      </c>
    </row>
    <row r="134" spans="1:9" x14ac:dyDescent="0.35">
      <c r="A134" t="s">
        <v>13</v>
      </c>
      <c r="B134" t="s">
        <v>92</v>
      </c>
      <c r="C134" t="s">
        <v>81</v>
      </c>
      <c r="D134" t="s">
        <v>117</v>
      </c>
      <c r="E134" t="s">
        <v>73</v>
      </c>
      <c r="F134" t="s">
        <v>74</v>
      </c>
      <c r="G134" t="s">
        <v>123</v>
      </c>
      <c r="H134" t="s">
        <v>84</v>
      </c>
      <c r="I134" s="76">
        <v>0</v>
      </c>
    </row>
    <row r="135" spans="1:9" x14ac:dyDescent="0.35">
      <c r="A135" t="s">
        <v>13</v>
      </c>
      <c r="B135" t="s">
        <v>92</v>
      </c>
      <c r="C135" t="s">
        <v>81</v>
      </c>
      <c r="D135" t="s">
        <v>82</v>
      </c>
      <c r="E135" t="s">
        <v>73</v>
      </c>
      <c r="F135" t="s">
        <v>74</v>
      </c>
      <c r="G135" t="s">
        <v>123</v>
      </c>
      <c r="H135" t="s">
        <v>84</v>
      </c>
      <c r="I135" s="76">
        <v>1.1251392039595793E-3</v>
      </c>
    </row>
    <row r="136" spans="1:9" x14ac:dyDescent="0.35">
      <c r="A136" t="s">
        <v>13</v>
      </c>
      <c r="B136" t="s">
        <v>92</v>
      </c>
      <c r="C136" t="s">
        <v>81</v>
      </c>
      <c r="D136" t="s">
        <v>125</v>
      </c>
      <c r="E136" t="s">
        <v>73</v>
      </c>
      <c r="F136" t="s">
        <v>74</v>
      </c>
      <c r="G136" t="s">
        <v>123</v>
      </c>
      <c r="H136" t="s">
        <v>84</v>
      </c>
      <c r="I136" s="76">
        <v>5.0048817841215026E-7</v>
      </c>
    </row>
    <row r="137" spans="1:9" x14ac:dyDescent="0.35">
      <c r="A137" t="s">
        <v>13</v>
      </c>
      <c r="B137" t="s">
        <v>92</v>
      </c>
      <c r="C137" t="s">
        <v>81</v>
      </c>
      <c r="D137" t="s">
        <v>122</v>
      </c>
      <c r="E137" t="s">
        <v>73</v>
      </c>
      <c r="F137" t="s">
        <v>74</v>
      </c>
      <c r="G137" t="s">
        <v>123</v>
      </c>
      <c r="H137" t="s">
        <v>84</v>
      </c>
      <c r="I137" s="76">
        <v>0</v>
      </c>
    </row>
    <row r="138" spans="1:9" x14ac:dyDescent="0.35">
      <c r="A138" t="s">
        <v>13</v>
      </c>
      <c r="B138" t="s">
        <v>92</v>
      </c>
      <c r="C138" t="s">
        <v>81</v>
      </c>
      <c r="D138" t="s">
        <v>126</v>
      </c>
      <c r="E138" t="s">
        <v>73</v>
      </c>
      <c r="F138" t="s">
        <v>74</v>
      </c>
      <c r="G138" t="s">
        <v>123</v>
      </c>
      <c r="H138" t="s">
        <v>84</v>
      </c>
      <c r="I138" s="76">
        <v>0</v>
      </c>
    </row>
    <row r="139" spans="1:9" x14ac:dyDescent="0.35">
      <c r="A139" t="s">
        <v>13</v>
      </c>
      <c r="B139" t="s">
        <v>92</v>
      </c>
      <c r="C139" t="s">
        <v>81</v>
      </c>
      <c r="D139" t="s">
        <v>101</v>
      </c>
      <c r="E139" t="s">
        <v>73</v>
      </c>
      <c r="F139" t="s">
        <v>74</v>
      </c>
      <c r="G139" t="s">
        <v>123</v>
      </c>
      <c r="H139" t="s">
        <v>84</v>
      </c>
      <c r="I139" s="76">
        <v>0</v>
      </c>
    </row>
    <row r="140" spans="1:9" x14ac:dyDescent="0.35">
      <c r="A140" t="s">
        <v>13</v>
      </c>
      <c r="B140" t="s">
        <v>92</v>
      </c>
      <c r="C140" t="s">
        <v>81</v>
      </c>
      <c r="D140" t="s">
        <v>104</v>
      </c>
      <c r="E140" t="s">
        <v>73</v>
      </c>
      <c r="F140" t="s">
        <v>74</v>
      </c>
      <c r="G140" t="s">
        <v>123</v>
      </c>
      <c r="H140" t="s">
        <v>84</v>
      </c>
      <c r="I140" s="76">
        <v>0</v>
      </c>
    </row>
    <row r="141" spans="1:9" x14ac:dyDescent="0.35">
      <c r="A141" t="s">
        <v>13</v>
      </c>
      <c r="B141" t="s">
        <v>92</v>
      </c>
      <c r="C141" t="s">
        <v>81</v>
      </c>
      <c r="D141" t="s">
        <v>106</v>
      </c>
      <c r="E141" t="s">
        <v>73</v>
      </c>
      <c r="F141" t="s">
        <v>74</v>
      </c>
      <c r="G141" t="s">
        <v>123</v>
      </c>
      <c r="H141" t="s">
        <v>84</v>
      </c>
      <c r="I141" s="76">
        <v>0</v>
      </c>
    </row>
    <row r="142" spans="1:9" x14ac:dyDescent="0.35">
      <c r="A142" t="s">
        <v>13</v>
      </c>
      <c r="B142" t="s">
        <v>93</v>
      </c>
      <c r="C142" t="s">
        <v>81</v>
      </c>
      <c r="D142" t="s">
        <v>119</v>
      </c>
      <c r="E142" t="s">
        <v>73</v>
      </c>
      <c r="F142" t="s">
        <v>74</v>
      </c>
      <c r="G142" t="s">
        <v>123</v>
      </c>
      <c r="H142" t="s">
        <v>84</v>
      </c>
      <c r="I142" s="76">
        <f>'SUT_EU27 total'!$L$107</f>
        <v>1.0000807460939076</v>
      </c>
    </row>
    <row r="143" spans="1:9" x14ac:dyDescent="0.35">
      <c r="A143" t="s">
        <v>13</v>
      </c>
      <c r="B143" t="s">
        <v>93</v>
      </c>
      <c r="C143" t="s">
        <v>81</v>
      </c>
      <c r="D143" t="s">
        <v>124</v>
      </c>
      <c r="E143" t="s">
        <v>73</v>
      </c>
      <c r="F143" t="s">
        <v>74</v>
      </c>
      <c r="G143" t="s">
        <v>123</v>
      </c>
      <c r="H143" t="s">
        <v>84</v>
      </c>
      <c r="I143" s="76" cm="1">
        <f t="array" ref="I143:I151">'SUT_EU27 total'!$L$111:$L$119</f>
        <v>3.7052409430862396E-4</v>
      </c>
    </row>
    <row r="144" spans="1:9" x14ac:dyDescent="0.35">
      <c r="A144" t="s">
        <v>13</v>
      </c>
      <c r="B144" t="s">
        <v>93</v>
      </c>
      <c r="C144" t="s">
        <v>81</v>
      </c>
      <c r="D144" t="s">
        <v>117</v>
      </c>
      <c r="E144" t="s">
        <v>73</v>
      </c>
      <c r="F144" t="s">
        <v>74</v>
      </c>
      <c r="G144" t="s">
        <v>123</v>
      </c>
      <c r="H144" t="s">
        <v>84</v>
      </c>
      <c r="I144" s="76">
        <v>5.8414042458127093E-3</v>
      </c>
    </row>
    <row r="145" spans="1:9" x14ac:dyDescent="0.35">
      <c r="A145" t="s">
        <v>13</v>
      </c>
      <c r="B145" t="s">
        <v>93</v>
      </c>
      <c r="C145" t="s">
        <v>81</v>
      </c>
      <c r="D145" t="s">
        <v>82</v>
      </c>
      <c r="E145" t="s">
        <v>73</v>
      </c>
      <c r="F145" t="s">
        <v>74</v>
      </c>
      <c r="G145" t="s">
        <v>123</v>
      </c>
      <c r="H145" t="s">
        <v>84</v>
      </c>
      <c r="I145" s="76">
        <v>5.0319447308723453E-3</v>
      </c>
    </row>
    <row r="146" spans="1:9" x14ac:dyDescent="0.35">
      <c r="A146" t="s">
        <v>13</v>
      </c>
      <c r="B146" t="s">
        <v>93</v>
      </c>
      <c r="C146" t="s">
        <v>81</v>
      </c>
      <c r="D146" t="s">
        <v>125</v>
      </c>
      <c r="E146" t="s">
        <v>73</v>
      </c>
      <c r="F146" t="s">
        <v>74</v>
      </c>
      <c r="G146" t="s">
        <v>123</v>
      </c>
      <c r="H146" t="s">
        <v>84</v>
      </c>
      <c r="I146" s="76">
        <v>4.336096678710085E-4</v>
      </c>
    </row>
    <row r="147" spans="1:9" x14ac:dyDescent="0.35">
      <c r="A147" t="s">
        <v>13</v>
      </c>
      <c r="B147" t="s">
        <v>93</v>
      </c>
      <c r="C147" t="s">
        <v>81</v>
      </c>
      <c r="D147" t="s">
        <v>122</v>
      </c>
      <c r="E147" t="s">
        <v>73</v>
      </c>
      <c r="F147" t="s">
        <v>74</v>
      </c>
      <c r="G147" t="s">
        <v>123</v>
      </c>
      <c r="H147" t="s">
        <v>84</v>
      </c>
      <c r="I147" s="76">
        <v>2.7129607609988112E-3</v>
      </c>
    </row>
    <row r="148" spans="1:9" x14ac:dyDescent="0.35">
      <c r="A148" t="s">
        <v>13</v>
      </c>
      <c r="B148" t="s">
        <v>93</v>
      </c>
      <c r="C148" t="s">
        <v>81</v>
      </c>
      <c r="D148" t="s">
        <v>126</v>
      </c>
      <c r="E148" t="s">
        <v>73</v>
      </c>
      <c r="F148" t="s">
        <v>74</v>
      </c>
      <c r="G148" t="s">
        <v>123</v>
      </c>
      <c r="H148" t="s">
        <v>84</v>
      </c>
      <c r="I148" s="76">
        <v>4.3855511603587784E-2</v>
      </c>
    </row>
    <row r="149" spans="1:9" x14ac:dyDescent="0.35">
      <c r="A149" t="s">
        <v>13</v>
      </c>
      <c r="B149" t="s">
        <v>93</v>
      </c>
      <c r="C149" t="s">
        <v>81</v>
      </c>
      <c r="D149" t="s">
        <v>101</v>
      </c>
      <c r="E149" t="s">
        <v>73</v>
      </c>
      <c r="F149" t="s">
        <v>74</v>
      </c>
      <c r="G149" t="s">
        <v>123</v>
      </c>
      <c r="H149" t="s">
        <v>84</v>
      </c>
      <c r="I149" s="76">
        <v>0</v>
      </c>
    </row>
    <row r="150" spans="1:9" x14ac:dyDescent="0.35">
      <c r="A150" t="s">
        <v>13</v>
      </c>
      <c r="B150" t="s">
        <v>93</v>
      </c>
      <c r="C150" t="s">
        <v>81</v>
      </c>
      <c r="D150" t="s">
        <v>104</v>
      </c>
      <c r="E150" t="s">
        <v>73</v>
      </c>
      <c r="F150" t="s">
        <v>74</v>
      </c>
      <c r="G150" t="s">
        <v>123</v>
      </c>
      <c r="H150" t="s">
        <v>84</v>
      </c>
      <c r="I150" s="76">
        <v>0</v>
      </c>
    </row>
    <row r="151" spans="1:9" x14ac:dyDescent="0.35">
      <c r="A151" t="s">
        <v>13</v>
      </c>
      <c r="B151" t="s">
        <v>93</v>
      </c>
      <c r="C151" t="s">
        <v>81</v>
      </c>
      <c r="D151" t="s">
        <v>106</v>
      </c>
      <c r="E151" t="s">
        <v>73</v>
      </c>
      <c r="F151" t="s">
        <v>74</v>
      </c>
      <c r="G151" t="s">
        <v>123</v>
      </c>
      <c r="H151" t="s">
        <v>84</v>
      </c>
      <c r="I151" s="76">
        <v>0</v>
      </c>
    </row>
    <row r="152" spans="1:9" x14ac:dyDescent="0.35">
      <c r="A152" t="s">
        <v>13</v>
      </c>
      <c r="B152" t="s">
        <v>73</v>
      </c>
      <c r="C152" t="s">
        <v>81</v>
      </c>
      <c r="D152" t="s">
        <v>119</v>
      </c>
      <c r="E152" t="s">
        <v>73</v>
      </c>
      <c r="F152" t="s">
        <v>74</v>
      </c>
      <c r="G152" t="s">
        <v>127</v>
      </c>
      <c r="H152" t="s">
        <v>84</v>
      </c>
      <c r="I152" s="76">
        <f>'SUT_EU27 total'!$M$22</f>
        <v>1.9500181678711294E-2</v>
      </c>
    </row>
    <row r="153" spans="1:9" x14ac:dyDescent="0.35">
      <c r="A153" t="s">
        <v>13</v>
      </c>
      <c r="B153" t="s">
        <v>73</v>
      </c>
      <c r="C153" t="s">
        <v>81</v>
      </c>
      <c r="D153" t="s">
        <v>124</v>
      </c>
      <c r="E153" t="s">
        <v>73</v>
      </c>
      <c r="F153" t="s">
        <v>74</v>
      </c>
      <c r="G153" t="s">
        <v>127</v>
      </c>
      <c r="H153" t="s">
        <v>84</v>
      </c>
      <c r="I153" s="76" cm="1">
        <f t="array" ref="I153:I161">'SUT_EU27 total'!$M$26:$M$34</f>
        <v>1.9404661061278542E-3</v>
      </c>
    </row>
    <row r="154" spans="1:9" x14ac:dyDescent="0.35">
      <c r="A154" t="s">
        <v>13</v>
      </c>
      <c r="B154" t="s">
        <v>73</v>
      </c>
      <c r="C154" t="s">
        <v>81</v>
      </c>
      <c r="D154" t="s">
        <v>117</v>
      </c>
      <c r="E154" t="s">
        <v>73</v>
      </c>
      <c r="F154" t="s">
        <v>74</v>
      </c>
      <c r="G154" t="s">
        <v>127</v>
      </c>
      <c r="H154" t="s">
        <v>84</v>
      </c>
      <c r="I154" s="76">
        <v>5.8423628191201782E-3</v>
      </c>
    </row>
    <row r="155" spans="1:9" x14ac:dyDescent="0.35">
      <c r="A155" t="s">
        <v>13</v>
      </c>
      <c r="B155" t="s">
        <v>73</v>
      </c>
      <c r="C155" t="s">
        <v>81</v>
      </c>
      <c r="D155" t="s">
        <v>82</v>
      </c>
      <c r="E155" t="s">
        <v>73</v>
      </c>
      <c r="F155" t="s">
        <v>74</v>
      </c>
      <c r="G155" t="s">
        <v>127</v>
      </c>
      <c r="H155" t="s">
        <v>84</v>
      </c>
      <c r="I155" s="76">
        <v>4.8981233243967828E-4</v>
      </c>
    </row>
    <row r="156" spans="1:9" x14ac:dyDescent="0.35">
      <c r="A156" t="s">
        <v>13</v>
      </c>
      <c r="B156" t="s">
        <v>73</v>
      </c>
      <c r="C156" t="s">
        <v>81</v>
      </c>
      <c r="D156" t="s">
        <v>125</v>
      </c>
      <c r="E156" t="s">
        <v>73</v>
      </c>
      <c r="F156" t="s">
        <v>74</v>
      </c>
      <c r="G156" t="s">
        <v>127</v>
      </c>
      <c r="H156" t="s">
        <v>84</v>
      </c>
      <c r="I156" s="76">
        <v>2.4658201215687387E-3</v>
      </c>
    </row>
    <row r="157" spans="1:9" x14ac:dyDescent="0.35">
      <c r="A157" t="s">
        <v>13</v>
      </c>
      <c r="B157" t="s">
        <v>73</v>
      </c>
      <c r="C157" t="s">
        <v>81</v>
      </c>
      <c r="D157" t="s">
        <v>122</v>
      </c>
      <c r="E157" t="s">
        <v>73</v>
      </c>
      <c r="F157" t="s">
        <v>74</v>
      </c>
      <c r="G157" t="s">
        <v>127</v>
      </c>
      <c r="H157" t="s">
        <v>84</v>
      </c>
      <c r="I157" s="76">
        <v>4.922711058263972E-4</v>
      </c>
    </row>
    <row r="158" spans="1:9" x14ac:dyDescent="0.35">
      <c r="A158" t="s">
        <v>13</v>
      </c>
      <c r="B158" t="s">
        <v>73</v>
      </c>
      <c r="C158" t="s">
        <v>81</v>
      </c>
      <c r="D158" t="s">
        <v>126</v>
      </c>
      <c r="E158" t="s">
        <v>73</v>
      </c>
      <c r="F158" t="s">
        <v>74</v>
      </c>
      <c r="G158" t="s">
        <v>127</v>
      </c>
      <c r="H158" t="s">
        <v>84</v>
      </c>
      <c r="I158" s="76">
        <v>0</v>
      </c>
    </row>
    <row r="159" spans="1:9" x14ac:dyDescent="0.35">
      <c r="A159" t="s">
        <v>13</v>
      </c>
      <c r="B159" t="s">
        <v>73</v>
      </c>
      <c r="C159" t="s">
        <v>81</v>
      </c>
      <c r="D159" t="s">
        <v>101</v>
      </c>
      <c r="E159" t="s">
        <v>73</v>
      </c>
      <c r="F159" t="s">
        <v>74</v>
      </c>
      <c r="G159" t="s">
        <v>127</v>
      </c>
      <c r="H159" t="s">
        <v>84</v>
      </c>
      <c r="I159" s="76">
        <v>3.6586167200000007E-4</v>
      </c>
    </row>
    <row r="160" spans="1:9" x14ac:dyDescent="0.35">
      <c r="A160" t="s">
        <v>13</v>
      </c>
      <c r="B160" t="s">
        <v>73</v>
      </c>
      <c r="C160" t="s">
        <v>81</v>
      </c>
      <c r="D160" t="s">
        <v>104</v>
      </c>
      <c r="E160" t="s">
        <v>73</v>
      </c>
      <c r="F160" t="s">
        <v>74</v>
      </c>
      <c r="G160" t="s">
        <v>127</v>
      </c>
      <c r="H160" t="s">
        <v>84</v>
      </c>
      <c r="I160" s="76">
        <v>6.9272632800000005E-4</v>
      </c>
    </row>
    <row r="161" spans="1:9" x14ac:dyDescent="0.35">
      <c r="A161" t="s">
        <v>13</v>
      </c>
      <c r="B161" t="s">
        <v>73</v>
      </c>
      <c r="C161" t="s">
        <v>81</v>
      </c>
      <c r="D161" t="s">
        <v>106</v>
      </c>
      <c r="E161" t="s">
        <v>73</v>
      </c>
      <c r="F161" t="s">
        <v>74</v>
      </c>
      <c r="G161" t="s">
        <v>127</v>
      </c>
      <c r="H161" t="s">
        <v>84</v>
      </c>
      <c r="I161" s="76">
        <v>2.3562119999999999E-3</v>
      </c>
    </row>
    <row r="162" spans="1:9" x14ac:dyDescent="0.35">
      <c r="A162" t="s">
        <v>13</v>
      </c>
      <c r="B162" t="s">
        <v>88</v>
      </c>
      <c r="C162" t="s">
        <v>81</v>
      </c>
      <c r="D162" t="s">
        <v>119</v>
      </c>
      <c r="E162" t="s">
        <v>73</v>
      </c>
      <c r="F162" t="s">
        <v>74</v>
      </c>
      <c r="G162" t="s">
        <v>127</v>
      </c>
      <c r="H162" t="s">
        <v>84</v>
      </c>
      <c r="I162" s="76">
        <f>'SUT_EU27 total'!$M$39</f>
        <v>0.16108845734587587</v>
      </c>
    </row>
    <row r="163" spans="1:9" x14ac:dyDescent="0.35">
      <c r="A163" t="s">
        <v>13</v>
      </c>
      <c r="B163" t="s">
        <v>88</v>
      </c>
      <c r="C163" t="s">
        <v>81</v>
      </c>
      <c r="D163" t="s">
        <v>124</v>
      </c>
      <c r="E163" t="s">
        <v>73</v>
      </c>
      <c r="F163" t="s">
        <v>74</v>
      </c>
      <c r="G163" t="s">
        <v>127</v>
      </c>
      <c r="H163" t="s">
        <v>84</v>
      </c>
      <c r="I163" s="76" cm="1">
        <f t="array" ref="I163:I171">'SUT_EU27 total'!$L$43:$L$51</f>
        <v>5.0558836222750793E-4</v>
      </c>
    </row>
    <row r="164" spans="1:9" x14ac:dyDescent="0.35">
      <c r="A164" t="s">
        <v>13</v>
      </c>
      <c r="B164" t="s">
        <v>88</v>
      </c>
      <c r="C164" t="s">
        <v>81</v>
      </c>
      <c r="D164" t="s">
        <v>117</v>
      </c>
      <c r="E164" t="s">
        <v>73</v>
      </c>
      <c r="F164" t="s">
        <v>74</v>
      </c>
      <c r="G164" t="s">
        <v>127</v>
      </c>
      <c r="H164" t="s">
        <v>84</v>
      </c>
      <c r="I164" s="76">
        <v>4.8514464106651379E-3</v>
      </c>
    </row>
    <row r="165" spans="1:9" x14ac:dyDescent="0.35">
      <c r="A165" t="s">
        <v>13</v>
      </c>
      <c r="B165" t="s">
        <v>88</v>
      </c>
      <c r="C165" t="s">
        <v>81</v>
      </c>
      <c r="D165" t="s">
        <v>82</v>
      </c>
      <c r="E165" t="s">
        <v>73</v>
      </c>
      <c r="F165" t="s">
        <v>74</v>
      </c>
      <c r="G165" t="s">
        <v>127</v>
      </c>
      <c r="H165" t="s">
        <v>84</v>
      </c>
      <c r="I165" s="76">
        <v>1.109418436791091E-2</v>
      </c>
    </row>
    <row r="166" spans="1:9" x14ac:dyDescent="0.35">
      <c r="A166" t="s">
        <v>13</v>
      </c>
      <c r="B166" t="s">
        <v>88</v>
      </c>
      <c r="C166" t="s">
        <v>81</v>
      </c>
      <c r="D166" t="s">
        <v>125</v>
      </c>
      <c r="E166" t="s">
        <v>73</v>
      </c>
      <c r="F166" t="s">
        <v>74</v>
      </c>
      <c r="G166" t="s">
        <v>127</v>
      </c>
      <c r="H166" t="s">
        <v>84</v>
      </c>
      <c r="I166" s="76">
        <v>2.890870278990243E-5</v>
      </c>
    </row>
    <row r="167" spans="1:9" x14ac:dyDescent="0.35">
      <c r="A167" t="s">
        <v>13</v>
      </c>
      <c r="B167" t="s">
        <v>88</v>
      </c>
      <c r="C167" t="s">
        <v>81</v>
      </c>
      <c r="D167" t="s">
        <v>122</v>
      </c>
      <c r="E167" t="s">
        <v>73</v>
      </c>
      <c r="F167" t="s">
        <v>74</v>
      </c>
      <c r="G167" t="s">
        <v>127</v>
      </c>
      <c r="H167" t="s">
        <v>84</v>
      </c>
      <c r="I167" s="76">
        <v>0</v>
      </c>
    </row>
    <row r="168" spans="1:9" x14ac:dyDescent="0.35">
      <c r="A168" t="s">
        <v>13</v>
      </c>
      <c r="B168" t="s">
        <v>88</v>
      </c>
      <c r="C168" t="s">
        <v>81</v>
      </c>
      <c r="D168" t="s">
        <v>126</v>
      </c>
      <c r="E168" t="s">
        <v>73</v>
      </c>
      <c r="F168" t="s">
        <v>74</v>
      </c>
      <c r="G168" t="s">
        <v>127</v>
      </c>
      <c r="H168" t="s">
        <v>84</v>
      </c>
      <c r="I168" s="76">
        <v>2.8514320987501449E-3</v>
      </c>
    </row>
    <row r="169" spans="1:9" x14ac:dyDescent="0.35">
      <c r="A169" t="s">
        <v>13</v>
      </c>
      <c r="B169" t="s">
        <v>88</v>
      </c>
      <c r="C169" t="s">
        <v>81</v>
      </c>
      <c r="D169" t="s">
        <v>101</v>
      </c>
      <c r="E169" t="s">
        <v>73</v>
      </c>
      <c r="F169" t="s">
        <v>74</v>
      </c>
      <c r="G169" t="s">
        <v>127</v>
      </c>
      <c r="H169" t="s">
        <v>84</v>
      </c>
      <c r="I169" s="76">
        <v>0</v>
      </c>
    </row>
    <row r="170" spans="1:9" x14ac:dyDescent="0.35">
      <c r="A170" t="s">
        <v>13</v>
      </c>
      <c r="B170" t="s">
        <v>88</v>
      </c>
      <c r="C170" t="s">
        <v>81</v>
      </c>
      <c r="D170" t="s">
        <v>104</v>
      </c>
      <c r="E170" t="s">
        <v>73</v>
      </c>
      <c r="F170" t="s">
        <v>74</v>
      </c>
      <c r="G170" t="s">
        <v>127</v>
      </c>
      <c r="H170" t="s">
        <v>84</v>
      </c>
      <c r="I170" s="76">
        <v>0</v>
      </c>
    </row>
    <row r="171" spans="1:9" x14ac:dyDescent="0.35">
      <c r="A171" t="s">
        <v>13</v>
      </c>
      <c r="B171" t="s">
        <v>88</v>
      </c>
      <c r="C171" t="s">
        <v>81</v>
      </c>
      <c r="D171" t="s">
        <v>106</v>
      </c>
      <c r="E171" t="s">
        <v>73</v>
      </c>
      <c r="F171" t="s">
        <v>74</v>
      </c>
      <c r="G171" t="s">
        <v>127</v>
      </c>
      <c r="H171" t="s">
        <v>84</v>
      </c>
      <c r="I171" s="76">
        <v>0</v>
      </c>
    </row>
    <row r="172" spans="1:9" x14ac:dyDescent="0.35">
      <c r="A172" t="s">
        <v>13</v>
      </c>
      <c r="B172" t="s">
        <v>90</v>
      </c>
      <c r="C172" t="s">
        <v>81</v>
      </c>
      <c r="D172" t="s">
        <v>119</v>
      </c>
      <c r="E172" t="s">
        <v>73</v>
      </c>
      <c r="F172" t="s">
        <v>74</v>
      </c>
      <c r="G172" t="s">
        <v>127</v>
      </c>
      <c r="H172" t="s">
        <v>84</v>
      </c>
      <c r="I172" s="76">
        <f>'SUT_EU27 total'!$M$56</f>
        <v>2.949251079979006E-2</v>
      </c>
    </row>
    <row r="173" spans="1:9" x14ac:dyDescent="0.35">
      <c r="A173" t="s">
        <v>13</v>
      </c>
      <c r="B173" t="s">
        <v>90</v>
      </c>
      <c r="C173" t="s">
        <v>81</v>
      </c>
      <c r="D173" t="s">
        <v>124</v>
      </c>
      <c r="E173" t="s">
        <v>73</v>
      </c>
      <c r="F173" t="s">
        <v>74</v>
      </c>
      <c r="G173" t="s">
        <v>127</v>
      </c>
      <c r="H173" t="s">
        <v>84</v>
      </c>
      <c r="I173" s="76" cm="1">
        <f t="array" ref="I173:I181">'SUT_EU27 total'!$M$60:$M$68</f>
        <v>2.1047443073980527E-5</v>
      </c>
    </row>
    <row r="174" spans="1:9" x14ac:dyDescent="0.35">
      <c r="A174" t="s">
        <v>13</v>
      </c>
      <c r="B174" t="s">
        <v>90</v>
      </c>
      <c r="C174" t="s">
        <v>81</v>
      </c>
      <c r="D174" t="s">
        <v>117</v>
      </c>
      <c r="E174" t="s">
        <v>73</v>
      </c>
      <c r="F174" t="s">
        <v>74</v>
      </c>
      <c r="G174" t="s">
        <v>127</v>
      </c>
      <c r="H174" t="s">
        <v>84</v>
      </c>
      <c r="I174" s="76">
        <v>5.8414015621608938E-3</v>
      </c>
    </row>
    <row r="175" spans="1:9" x14ac:dyDescent="0.35">
      <c r="A175" t="s">
        <v>13</v>
      </c>
      <c r="B175" t="s">
        <v>90</v>
      </c>
      <c r="C175" t="s">
        <v>81</v>
      </c>
      <c r="D175" t="s">
        <v>82</v>
      </c>
      <c r="E175" t="s">
        <v>73</v>
      </c>
      <c r="F175" t="s">
        <v>74</v>
      </c>
      <c r="G175" t="s">
        <v>127</v>
      </c>
      <c r="H175" t="s">
        <v>84</v>
      </c>
      <c r="I175" s="76">
        <v>1.4521138379047227E-3</v>
      </c>
    </row>
    <row r="176" spans="1:9" x14ac:dyDescent="0.35">
      <c r="A176" t="s">
        <v>13</v>
      </c>
      <c r="B176" t="s">
        <v>90</v>
      </c>
      <c r="C176" t="s">
        <v>81</v>
      </c>
      <c r="D176" t="s">
        <v>125</v>
      </c>
      <c r="E176" t="s">
        <v>73</v>
      </c>
      <c r="F176" t="s">
        <v>74</v>
      </c>
      <c r="G176" t="s">
        <v>127</v>
      </c>
      <c r="H176" t="s">
        <v>84</v>
      </c>
      <c r="I176" s="76">
        <v>6.5130870114372285E-5</v>
      </c>
    </row>
    <row r="177" spans="1:9" x14ac:dyDescent="0.35">
      <c r="A177" t="s">
        <v>13</v>
      </c>
      <c r="B177" t="s">
        <v>90</v>
      </c>
      <c r="C177" t="s">
        <v>81</v>
      </c>
      <c r="D177" t="s">
        <v>122</v>
      </c>
      <c r="E177" t="s">
        <v>73</v>
      </c>
      <c r="F177" t="s">
        <v>74</v>
      </c>
      <c r="G177" t="s">
        <v>127</v>
      </c>
      <c r="H177" t="s">
        <v>84</v>
      </c>
      <c r="I177" s="76">
        <v>7.9476813317479189E-4</v>
      </c>
    </row>
    <row r="178" spans="1:9" x14ac:dyDescent="0.35">
      <c r="A178" t="s">
        <v>13</v>
      </c>
      <c r="B178" t="s">
        <v>90</v>
      </c>
      <c r="C178" t="s">
        <v>81</v>
      </c>
      <c r="D178" t="s">
        <v>126</v>
      </c>
      <c r="E178" t="s">
        <v>73</v>
      </c>
      <c r="F178" t="s">
        <v>74</v>
      </c>
      <c r="G178" t="s">
        <v>127</v>
      </c>
      <c r="H178" t="s">
        <v>84</v>
      </c>
      <c r="I178" s="76">
        <v>8.4821183458843076E-3</v>
      </c>
    </row>
    <row r="179" spans="1:9" x14ac:dyDescent="0.35">
      <c r="A179" t="s">
        <v>13</v>
      </c>
      <c r="B179" t="s">
        <v>90</v>
      </c>
      <c r="C179" t="s">
        <v>81</v>
      </c>
      <c r="D179" t="s">
        <v>101</v>
      </c>
      <c r="E179" t="s">
        <v>73</v>
      </c>
      <c r="F179" t="s">
        <v>74</v>
      </c>
      <c r="G179" t="s">
        <v>127</v>
      </c>
      <c r="H179" t="s">
        <v>84</v>
      </c>
      <c r="I179" s="76">
        <v>0</v>
      </c>
    </row>
    <row r="180" spans="1:9" x14ac:dyDescent="0.35">
      <c r="A180" t="s">
        <v>13</v>
      </c>
      <c r="B180" t="s">
        <v>90</v>
      </c>
      <c r="C180" t="s">
        <v>81</v>
      </c>
      <c r="D180" t="s">
        <v>104</v>
      </c>
      <c r="E180" t="s">
        <v>73</v>
      </c>
      <c r="F180" t="s">
        <v>74</v>
      </c>
      <c r="G180" t="s">
        <v>127</v>
      </c>
      <c r="H180" t="s">
        <v>84</v>
      </c>
      <c r="I180" s="76">
        <v>0</v>
      </c>
    </row>
    <row r="181" spans="1:9" x14ac:dyDescent="0.35">
      <c r="A181" t="s">
        <v>13</v>
      </c>
      <c r="B181" t="s">
        <v>90</v>
      </c>
      <c r="C181" t="s">
        <v>81</v>
      </c>
      <c r="D181" t="s">
        <v>106</v>
      </c>
      <c r="E181" t="s">
        <v>73</v>
      </c>
      <c r="F181" t="s">
        <v>74</v>
      </c>
      <c r="G181" t="s">
        <v>127</v>
      </c>
      <c r="H181" t="s">
        <v>84</v>
      </c>
      <c r="I181" s="76">
        <v>0</v>
      </c>
    </row>
    <row r="182" spans="1:9" x14ac:dyDescent="0.35">
      <c r="A182" t="s">
        <v>13</v>
      </c>
      <c r="B182" t="s">
        <v>91</v>
      </c>
      <c r="C182" t="s">
        <v>81</v>
      </c>
      <c r="D182" t="s">
        <v>119</v>
      </c>
      <c r="E182" t="s">
        <v>73</v>
      </c>
      <c r="F182" t="s">
        <v>74</v>
      </c>
      <c r="G182" t="s">
        <v>127</v>
      </c>
      <c r="H182" t="s">
        <v>84</v>
      </c>
      <c r="I182" s="76">
        <f>'SUT_EU27 total'!$M$73</f>
        <v>0.15097500908393557</v>
      </c>
    </row>
    <row r="183" spans="1:9" x14ac:dyDescent="0.35">
      <c r="A183" t="s">
        <v>13</v>
      </c>
      <c r="B183" t="s">
        <v>91</v>
      </c>
      <c r="C183" t="s">
        <v>81</v>
      </c>
      <c r="D183" t="s">
        <v>124</v>
      </c>
      <c r="E183" t="s">
        <v>73</v>
      </c>
      <c r="F183" t="s">
        <v>74</v>
      </c>
      <c r="G183" t="s">
        <v>127</v>
      </c>
      <c r="H183" t="s">
        <v>84</v>
      </c>
      <c r="I183" s="76" cm="1">
        <f t="array" ref="I183:I191">'SUT_EU27 total'!$M$77:$M$85</f>
        <v>6.7728942399646885E-5</v>
      </c>
    </row>
    <row r="184" spans="1:9" x14ac:dyDescent="0.35">
      <c r="A184" t="s">
        <v>13</v>
      </c>
      <c r="B184" t="s">
        <v>91</v>
      </c>
      <c r="C184" t="s">
        <v>81</v>
      </c>
      <c r="D184" t="s">
        <v>117</v>
      </c>
      <c r="E184" t="s">
        <v>73</v>
      </c>
      <c r="F184" t="s">
        <v>74</v>
      </c>
      <c r="G184" t="s">
        <v>127</v>
      </c>
      <c r="H184" t="s">
        <v>84</v>
      </c>
      <c r="I184" s="76">
        <v>5.6233849622410815E-3</v>
      </c>
    </row>
    <row r="185" spans="1:9" x14ac:dyDescent="0.35">
      <c r="A185" t="s">
        <v>13</v>
      </c>
      <c r="B185" t="s">
        <v>91</v>
      </c>
      <c r="C185" t="s">
        <v>81</v>
      </c>
      <c r="D185" t="s">
        <v>82</v>
      </c>
      <c r="E185" t="s">
        <v>73</v>
      </c>
      <c r="F185" t="s">
        <v>74</v>
      </c>
      <c r="G185" t="s">
        <v>127</v>
      </c>
      <c r="H185" t="s">
        <v>84</v>
      </c>
      <c r="I185" s="76">
        <v>1.8068055269127655E-3</v>
      </c>
    </row>
    <row r="186" spans="1:9" x14ac:dyDescent="0.35">
      <c r="A186" t="s">
        <v>13</v>
      </c>
      <c r="B186" t="s">
        <v>91</v>
      </c>
      <c r="C186" t="s">
        <v>81</v>
      </c>
      <c r="D186" t="s">
        <v>125</v>
      </c>
      <c r="E186" t="s">
        <v>73</v>
      </c>
      <c r="F186" t="s">
        <v>74</v>
      </c>
      <c r="G186" t="s">
        <v>127</v>
      </c>
      <c r="H186" t="s">
        <v>84</v>
      </c>
      <c r="I186" s="76">
        <v>5.6492118062760293E-6</v>
      </c>
    </row>
    <row r="187" spans="1:9" x14ac:dyDescent="0.35">
      <c r="A187" t="s">
        <v>13</v>
      </c>
      <c r="B187" t="s">
        <v>91</v>
      </c>
      <c r="C187" t="s">
        <v>81</v>
      </c>
      <c r="D187" t="s">
        <v>122</v>
      </c>
      <c r="E187" t="s">
        <v>73</v>
      </c>
      <c r="F187" t="s">
        <v>74</v>
      </c>
      <c r="G187" t="s">
        <v>127</v>
      </c>
      <c r="H187" t="s">
        <v>84</v>
      </c>
      <c r="I187" s="76">
        <v>0</v>
      </c>
    </row>
    <row r="188" spans="1:9" x14ac:dyDescent="0.35">
      <c r="A188" t="s">
        <v>13</v>
      </c>
      <c r="B188" t="s">
        <v>91</v>
      </c>
      <c r="C188" t="s">
        <v>81</v>
      </c>
      <c r="D188" t="s">
        <v>126</v>
      </c>
      <c r="E188" t="s">
        <v>73</v>
      </c>
      <c r="F188" t="s">
        <v>74</v>
      </c>
      <c r="G188" t="s">
        <v>127</v>
      </c>
      <c r="H188" t="s">
        <v>84</v>
      </c>
      <c r="I188" s="76">
        <v>8.1093795177776388E-4</v>
      </c>
    </row>
    <row r="189" spans="1:9" x14ac:dyDescent="0.35">
      <c r="A189" t="s">
        <v>13</v>
      </c>
      <c r="B189" t="s">
        <v>91</v>
      </c>
      <c r="C189" t="s">
        <v>81</v>
      </c>
      <c r="D189" t="s">
        <v>101</v>
      </c>
      <c r="E189" t="s">
        <v>73</v>
      </c>
      <c r="F189" t="s">
        <v>74</v>
      </c>
      <c r="G189" t="s">
        <v>127</v>
      </c>
      <c r="H189" t="s">
        <v>84</v>
      </c>
      <c r="I189" s="76">
        <v>0</v>
      </c>
    </row>
    <row r="190" spans="1:9" x14ac:dyDescent="0.35">
      <c r="A190" t="s">
        <v>13</v>
      </c>
      <c r="B190" t="s">
        <v>91</v>
      </c>
      <c r="C190" t="s">
        <v>81</v>
      </c>
      <c r="D190" t="s">
        <v>104</v>
      </c>
      <c r="E190" t="s">
        <v>73</v>
      </c>
      <c r="F190" t="s">
        <v>74</v>
      </c>
      <c r="G190" t="s">
        <v>127</v>
      </c>
      <c r="H190" t="s">
        <v>84</v>
      </c>
      <c r="I190" s="76">
        <v>0</v>
      </c>
    </row>
    <row r="191" spans="1:9" x14ac:dyDescent="0.35">
      <c r="A191" t="s">
        <v>13</v>
      </c>
      <c r="B191" t="s">
        <v>91</v>
      </c>
      <c r="C191" t="s">
        <v>81</v>
      </c>
      <c r="D191" t="s">
        <v>106</v>
      </c>
      <c r="E191" t="s">
        <v>73</v>
      </c>
      <c r="F191" t="s">
        <v>74</v>
      </c>
      <c r="G191" t="s">
        <v>127</v>
      </c>
      <c r="H191" t="s">
        <v>84</v>
      </c>
      <c r="I191" s="76">
        <v>0</v>
      </c>
    </row>
    <row r="192" spans="1:9" x14ac:dyDescent="0.35">
      <c r="A192" t="s">
        <v>13</v>
      </c>
      <c r="B192" t="s">
        <v>92</v>
      </c>
      <c r="C192" t="s">
        <v>81</v>
      </c>
      <c r="D192" t="s">
        <v>119</v>
      </c>
      <c r="E192" t="s">
        <v>73</v>
      </c>
      <c r="F192" t="s">
        <v>74</v>
      </c>
      <c r="G192" t="s">
        <v>127</v>
      </c>
      <c r="H192" t="s">
        <v>84</v>
      </c>
      <c r="I192" s="76">
        <f>'SUT_EU27 total'!$M$90</f>
        <v>0.13886309499777949</v>
      </c>
    </row>
    <row r="193" spans="1:9" x14ac:dyDescent="0.35">
      <c r="A193" t="s">
        <v>13</v>
      </c>
      <c r="B193" t="s">
        <v>92</v>
      </c>
      <c r="C193" t="s">
        <v>81</v>
      </c>
      <c r="D193" t="s">
        <v>124</v>
      </c>
      <c r="E193" t="s">
        <v>73</v>
      </c>
      <c r="F193" t="s">
        <v>74</v>
      </c>
      <c r="G193" t="s">
        <v>127</v>
      </c>
      <c r="H193" t="s">
        <v>84</v>
      </c>
      <c r="I193" s="76" cm="1">
        <f t="array" ref="I193:I201">'SUT_EU27 total'!$M$94:$M$102</f>
        <v>9.2968907089085616E-5</v>
      </c>
    </row>
    <row r="194" spans="1:9" x14ac:dyDescent="0.35">
      <c r="A194" t="s">
        <v>13</v>
      </c>
      <c r="B194" t="s">
        <v>92</v>
      </c>
      <c r="C194" t="s">
        <v>81</v>
      </c>
      <c r="D194" t="s">
        <v>117</v>
      </c>
      <c r="E194" t="s">
        <v>73</v>
      </c>
      <c r="F194" t="s">
        <v>74</v>
      </c>
      <c r="G194" t="s">
        <v>127</v>
      </c>
      <c r="H194" t="s">
        <v>84</v>
      </c>
      <c r="I194" s="76">
        <v>0</v>
      </c>
    </row>
    <row r="195" spans="1:9" x14ac:dyDescent="0.35">
      <c r="A195" t="s">
        <v>13</v>
      </c>
      <c r="B195" t="s">
        <v>92</v>
      </c>
      <c r="C195" t="s">
        <v>81</v>
      </c>
      <c r="D195" t="s">
        <v>82</v>
      </c>
      <c r="E195" t="s">
        <v>73</v>
      </c>
      <c r="F195" t="s">
        <v>74</v>
      </c>
      <c r="G195" t="s">
        <v>127</v>
      </c>
      <c r="H195" t="s">
        <v>84</v>
      </c>
      <c r="I195" s="76">
        <v>1.1251392039595793E-3</v>
      </c>
    </row>
    <row r="196" spans="1:9" x14ac:dyDescent="0.35">
      <c r="A196" t="s">
        <v>13</v>
      </c>
      <c r="B196" t="s">
        <v>92</v>
      </c>
      <c r="C196" t="s">
        <v>81</v>
      </c>
      <c r="D196" t="s">
        <v>125</v>
      </c>
      <c r="E196" t="s">
        <v>73</v>
      </c>
      <c r="F196" t="s">
        <v>74</v>
      </c>
      <c r="G196" t="s">
        <v>127</v>
      </c>
      <c r="H196" t="s">
        <v>84</v>
      </c>
      <c r="I196" s="76">
        <v>5.0048817841215026E-7</v>
      </c>
    </row>
    <row r="197" spans="1:9" x14ac:dyDescent="0.35">
      <c r="A197" t="s">
        <v>13</v>
      </c>
      <c r="B197" t="s">
        <v>92</v>
      </c>
      <c r="C197" t="s">
        <v>81</v>
      </c>
      <c r="D197" t="s">
        <v>122</v>
      </c>
      <c r="E197" t="s">
        <v>73</v>
      </c>
      <c r="F197" t="s">
        <v>74</v>
      </c>
      <c r="G197" t="s">
        <v>127</v>
      </c>
      <c r="H197" t="s">
        <v>84</v>
      </c>
      <c r="I197" s="76">
        <v>0</v>
      </c>
    </row>
    <row r="198" spans="1:9" x14ac:dyDescent="0.35">
      <c r="A198" t="s">
        <v>13</v>
      </c>
      <c r="B198" t="s">
        <v>92</v>
      </c>
      <c r="C198" t="s">
        <v>81</v>
      </c>
      <c r="D198" t="s">
        <v>126</v>
      </c>
      <c r="E198" t="s">
        <v>73</v>
      </c>
      <c r="F198" t="s">
        <v>74</v>
      </c>
      <c r="G198" t="s">
        <v>127</v>
      </c>
      <c r="H198" t="s">
        <v>84</v>
      </c>
      <c r="I198" s="76">
        <v>0</v>
      </c>
    </row>
    <row r="199" spans="1:9" x14ac:dyDescent="0.35">
      <c r="A199" t="s">
        <v>13</v>
      </c>
      <c r="B199" t="s">
        <v>92</v>
      </c>
      <c r="C199" t="s">
        <v>81</v>
      </c>
      <c r="D199" t="s">
        <v>101</v>
      </c>
      <c r="E199" t="s">
        <v>73</v>
      </c>
      <c r="F199" t="s">
        <v>74</v>
      </c>
      <c r="G199" t="s">
        <v>127</v>
      </c>
      <c r="H199" t="s">
        <v>84</v>
      </c>
      <c r="I199" s="76">
        <v>0</v>
      </c>
    </row>
    <row r="200" spans="1:9" x14ac:dyDescent="0.35">
      <c r="A200" t="s">
        <v>13</v>
      </c>
      <c r="B200" t="s">
        <v>92</v>
      </c>
      <c r="C200" t="s">
        <v>81</v>
      </c>
      <c r="D200" t="s">
        <v>104</v>
      </c>
      <c r="E200" t="s">
        <v>73</v>
      </c>
      <c r="F200" t="s">
        <v>74</v>
      </c>
      <c r="G200" t="s">
        <v>127</v>
      </c>
      <c r="H200" t="s">
        <v>84</v>
      </c>
      <c r="I200" s="76">
        <v>0</v>
      </c>
    </row>
    <row r="201" spans="1:9" x14ac:dyDescent="0.35">
      <c r="A201" t="s">
        <v>13</v>
      </c>
      <c r="B201" t="s">
        <v>92</v>
      </c>
      <c r="C201" t="s">
        <v>81</v>
      </c>
      <c r="D201" t="s">
        <v>106</v>
      </c>
      <c r="E201" t="s">
        <v>73</v>
      </c>
      <c r="F201" t="s">
        <v>74</v>
      </c>
      <c r="G201" t="s">
        <v>127</v>
      </c>
      <c r="H201" t="s">
        <v>84</v>
      </c>
      <c r="I201" s="76">
        <v>0</v>
      </c>
    </row>
    <row r="202" spans="1:9" x14ac:dyDescent="0.35">
      <c r="A202" t="s">
        <v>13</v>
      </c>
      <c r="B202" t="s">
        <v>93</v>
      </c>
      <c r="C202" t="s">
        <v>81</v>
      </c>
      <c r="D202" t="s">
        <v>119</v>
      </c>
      <c r="E202" t="s">
        <v>73</v>
      </c>
      <c r="F202" t="s">
        <v>74</v>
      </c>
      <c r="G202" t="s">
        <v>127</v>
      </c>
      <c r="H202" t="s">
        <v>84</v>
      </c>
      <c r="I202" s="76">
        <f>'SUT_EU27 total'!$M$107</f>
        <v>1.0000807460939076</v>
      </c>
    </row>
    <row r="203" spans="1:9" x14ac:dyDescent="0.35">
      <c r="A203" t="s">
        <v>13</v>
      </c>
      <c r="B203" t="s">
        <v>93</v>
      </c>
      <c r="C203" t="s">
        <v>81</v>
      </c>
      <c r="D203" t="s">
        <v>124</v>
      </c>
      <c r="E203" t="s">
        <v>73</v>
      </c>
      <c r="F203" t="s">
        <v>74</v>
      </c>
      <c r="G203" t="s">
        <v>127</v>
      </c>
      <c r="H203" t="s">
        <v>84</v>
      </c>
      <c r="I203" s="76" cm="1">
        <f t="array" ref="I203:I211">'SUT_EU27 total'!$M$111:$M$119</f>
        <v>3.7052409430862396E-4</v>
      </c>
    </row>
    <row r="204" spans="1:9" x14ac:dyDescent="0.35">
      <c r="A204" t="s">
        <v>13</v>
      </c>
      <c r="B204" t="s">
        <v>93</v>
      </c>
      <c r="C204" t="s">
        <v>81</v>
      </c>
      <c r="D204" t="s">
        <v>117</v>
      </c>
      <c r="E204" t="s">
        <v>73</v>
      </c>
      <c r="F204" t="s">
        <v>74</v>
      </c>
      <c r="G204" t="s">
        <v>127</v>
      </c>
      <c r="H204" t="s">
        <v>84</v>
      </c>
      <c r="I204" s="76">
        <v>5.8414042458127093E-3</v>
      </c>
    </row>
    <row r="205" spans="1:9" x14ac:dyDescent="0.35">
      <c r="A205" t="s">
        <v>13</v>
      </c>
      <c r="B205" t="s">
        <v>93</v>
      </c>
      <c r="C205" t="s">
        <v>81</v>
      </c>
      <c r="D205" t="s">
        <v>82</v>
      </c>
      <c r="E205" t="s">
        <v>73</v>
      </c>
      <c r="F205" t="s">
        <v>74</v>
      </c>
      <c r="G205" t="s">
        <v>127</v>
      </c>
      <c r="H205" t="s">
        <v>84</v>
      </c>
      <c r="I205" s="76">
        <v>5.0319447308723453E-3</v>
      </c>
    </row>
    <row r="206" spans="1:9" x14ac:dyDescent="0.35">
      <c r="A206" t="s">
        <v>13</v>
      </c>
      <c r="B206" t="s">
        <v>93</v>
      </c>
      <c r="C206" t="s">
        <v>81</v>
      </c>
      <c r="D206" t="s">
        <v>125</v>
      </c>
      <c r="E206" t="s">
        <v>73</v>
      </c>
      <c r="F206" t="s">
        <v>74</v>
      </c>
      <c r="G206" t="s">
        <v>127</v>
      </c>
      <c r="H206" t="s">
        <v>84</v>
      </c>
      <c r="I206" s="76">
        <v>4.336096678710085E-4</v>
      </c>
    </row>
    <row r="207" spans="1:9" x14ac:dyDescent="0.35">
      <c r="A207" t="s">
        <v>13</v>
      </c>
      <c r="B207" t="s">
        <v>93</v>
      </c>
      <c r="C207" t="s">
        <v>81</v>
      </c>
      <c r="D207" t="s">
        <v>122</v>
      </c>
      <c r="E207" t="s">
        <v>73</v>
      </c>
      <c r="F207" t="s">
        <v>74</v>
      </c>
      <c r="G207" t="s">
        <v>127</v>
      </c>
      <c r="H207" t="s">
        <v>84</v>
      </c>
      <c r="I207" s="76">
        <v>2.7129607609988112E-3</v>
      </c>
    </row>
    <row r="208" spans="1:9" x14ac:dyDescent="0.35">
      <c r="A208" t="s">
        <v>13</v>
      </c>
      <c r="B208" t="s">
        <v>93</v>
      </c>
      <c r="C208" t="s">
        <v>81</v>
      </c>
      <c r="D208" t="s">
        <v>126</v>
      </c>
      <c r="E208" t="s">
        <v>73</v>
      </c>
      <c r="F208" t="s">
        <v>74</v>
      </c>
      <c r="G208" t="s">
        <v>127</v>
      </c>
      <c r="H208" t="s">
        <v>84</v>
      </c>
      <c r="I208" s="76">
        <v>4.3855511603587784E-2</v>
      </c>
    </row>
    <row r="209" spans="1:9" x14ac:dyDescent="0.35">
      <c r="A209" t="s">
        <v>13</v>
      </c>
      <c r="B209" t="s">
        <v>93</v>
      </c>
      <c r="C209" t="s">
        <v>81</v>
      </c>
      <c r="D209" t="s">
        <v>101</v>
      </c>
      <c r="E209" t="s">
        <v>73</v>
      </c>
      <c r="F209" t="s">
        <v>74</v>
      </c>
      <c r="G209" t="s">
        <v>127</v>
      </c>
      <c r="H209" t="s">
        <v>84</v>
      </c>
      <c r="I209" s="76">
        <v>0</v>
      </c>
    </row>
    <row r="210" spans="1:9" x14ac:dyDescent="0.35">
      <c r="A210" t="s">
        <v>13</v>
      </c>
      <c r="B210" t="s">
        <v>93</v>
      </c>
      <c r="C210" t="s">
        <v>81</v>
      </c>
      <c r="D210" t="s">
        <v>104</v>
      </c>
      <c r="E210" t="s">
        <v>73</v>
      </c>
      <c r="F210" t="s">
        <v>74</v>
      </c>
      <c r="G210" t="s">
        <v>127</v>
      </c>
      <c r="H210" t="s">
        <v>84</v>
      </c>
      <c r="I210" s="76">
        <v>0</v>
      </c>
    </row>
    <row r="211" spans="1:9" x14ac:dyDescent="0.35">
      <c r="A211" t="s">
        <v>13</v>
      </c>
      <c r="B211" t="s">
        <v>93</v>
      </c>
      <c r="C211" t="s">
        <v>81</v>
      </c>
      <c r="D211" t="s">
        <v>106</v>
      </c>
      <c r="E211" t="s">
        <v>73</v>
      </c>
      <c r="F211" t="s">
        <v>74</v>
      </c>
      <c r="G211" t="s">
        <v>127</v>
      </c>
      <c r="H211" t="s">
        <v>84</v>
      </c>
      <c r="I211" s="76">
        <v>0</v>
      </c>
    </row>
    <row r="212" spans="1:9" x14ac:dyDescent="0.35">
      <c r="A212" t="s">
        <v>13</v>
      </c>
      <c r="B212" t="s">
        <v>73</v>
      </c>
      <c r="C212" t="s">
        <v>81</v>
      </c>
      <c r="D212" t="s">
        <v>82</v>
      </c>
      <c r="E212" t="s">
        <v>73</v>
      </c>
      <c r="F212" t="s">
        <v>74</v>
      </c>
      <c r="G212" t="s">
        <v>128</v>
      </c>
      <c r="H212" t="s">
        <v>84</v>
      </c>
      <c r="I212" s="76">
        <f>'SUT_EU27 total'!$N$28</f>
        <v>1.4658301341380521E-2</v>
      </c>
    </row>
    <row r="213" spans="1:9" x14ac:dyDescent="0.35">
      <c r="A213" t="s">
        <v>13</v>
      </c>
      <c r="B213" t="s">
        <v>73</v>
      </c>
      <c r="C213" t="s">
        <v>81</v>
      </c>
      <c r="D213" t="s">
        <v>86</v>
      </c>
      <c r="E213" t="s">
        <v>73</v>
      </c>
      <c r="F213" t="s">
        <v>74</v>
      </c>
      <c r="G213" t="s">
        <v>128</v>
      </c>
      <c r="H213" t="s">
        <v>84</v>
      </c>
      <c r="I213" s="76">
        <f>'SUT_EU27 total'!$N$35</f>
        <v>3.0740776778828832E-3</v>
      </c>
    </row>
    <row r="214" spans="1:9" x14ac:dyDescent="0.35">
      <c r="A214" t="s">
        <v>13</v>
      </c>
      <c r="B214" t="s">
        <v>88</v>
      </c>
      <c r="C214" t="s">
        <v>81</v>
      </c>
      <c r="D214" t="s">
        <v>82</v>
      </c>
      <c r="E214" t="s">
        <v>73</v>
      </c>
      <c r="F214" t="s">
        <v>74</v>
      </c>
      <c r="G214" t="s">
        <v>128</v>
      </c>
      <c r="H214" t="s">
        <v>84</v>
      </c>
      <c r="I214" s="76">
        <f>'SUT_EU27 total'!$N$45</f>
        <v>9.2276548594747033E-3</v>
      </c>
    </row>
    <row r="215" spans="1:9" x14ac:dyDescent="0.35">
      <c r="A215" t="s">
        <v>13</v>
      </c>
      <c r="B215" t="s">
        <v>88</v>
      </c>
      <c r="C215" t="s">
        <v>81</v>
      </c>
      <c r="D215" t="s">
        <v>86</v>
      </c>
      <c r="E215" t="s">
        <v>73</v>
      </c>
      <c r="F215" t="s">
        <v>74</v>
      </c>
      <c r="G215" t="s">
        <v>128</v>
      </c>
      <c r="H215" t="s">
        <v>84</v>
      </c>
      <c r="I215" s="76">
        <f>'SUT_EU27 total'!$N$52</f>
        <v>6.9627451701437512E-2</v>
      </c>
    </row>
    <row r="216" spans="1:9" x14ac:dyDescent="0.35">
      <c r="A216" t="s">
        <v>13</v>
      </c>
      <c r="B216" t="s">
        <v>90</v>
      </c>
      <c r="C216" t="s">
        <v>81</v>
      </c>
      <c r="D216" t="s">
        <v>82</v>
      </c>
      <c r="E216" t="s">
        <v>73</v>
      </c>
      <c r="F216" t="s">
        <v>74</v>
      </c>
      <c r="G216" t="s">
        <v>128</v>
      </c>
      <c r="H216" t="s">
        <v>84</v>
      </c>
      <c r="I216" s="76">
        <f>'SUT_EU27 total'!$N$62</f>
        <v>2.2200107734217647E-6</v>
      </c>
    </row>
    <row r="217" spans="1:9" x14ac:dyDescent="0.35">
      <c r="A217" t="s">
        <v>13</v>
      </c>
      <c r="B217" t="s">
        <v>90</v>
      </c>
      <c r="C217" t="s">
        <v>81</v>
      </c>
      <c r="D217" t="s">
        <v>86</v>
      </c>
      <c r="E217" t="s">
        <v>73</v>
      </c>
      <c r="F217" t="s">
        <v>74</v>
      </c>
      <c r="G217" t="s">
        <v>128</v>
      </c>
      <c r="H217" t="s">
        <v>84</v>
      </c>
      <c r="I217" s="76">
        <f>'SUT_EU27 total'!$N$69</f>
        <v>9.1135123377023061E-3</v>
      </c>
    </row>
    <row r="218" spans="1:9" x14ac:dyDescent="0.35">
      <c r="A218" t="s">
        <v>13</v>
      </c>
      <c r="B218" t="s">
        <v>91</v>
      </c>
      <c r="C218" t="s">
        <v>81</v>
      </c>
      <c r="D218" t="s">
        <v>82</v>
      </c>
      <c r="E218" t="s">
        <v>73</v>
      </c>
      <c r="F218" t="s">
        <v>74</v>
      </c>
      <c r="G218" t="s">
        <v>128</v>
      </c>
      <c r="H218" t="s">
        <v>84</v>
      </c>
      <c r="I218" s="76">
        <f>'SUT_EU27 total'!$N$79</f>
        <v>4.3195382907628159E-4</v>
      </c>
    </row>
    <row r="219" spans="1:9" x14ac:dyDescent="0.35">
      <c r="A219" t="s">
        <v>13</v>
      </c>
      <c r="B219" t="s">
        <v>91</v>
      </c>
      <c r="C219" t="s">
        <v>81</v>
      </c>
      <c r="D219" t="s">
        <v>86</v>
      </c>
      <c r="E219" t="s">
        <v>73</v>
      </c>
      <c r="F219" t="s">
        <v>74</v>
      </c>
      <c r="G219" t="s">
        <v>128</v>
      </c>
      <c r="H219" t="s">
        <v>84</v>
      </c>
      <c r="I219" s="76">
        <f>'SUT_EU27 total'!$N$86</f>
        <v>1.1339568587203704E-2</v>
      </c>
    </row>
    <row r="220" spans="1:9" x14ac:dyDescent="0.35">
      <c r="A220" t="s">
        <v>13</v>
      </c>
      <c r="B220" t="s">
        <v>92</v>
      </c>
      <c r="C220" t="s">
        <v>81</v>
      </c>
      <c r="D220" t="s">
        <v>82</v>
      </c>
      <c r="E220" t="s">
        <v>73</v>
      </c>
      <c r="F220" t="s">
        <v>74</v>
      </c>
      <c r="G220" t="s">
        <v>128</v>
      </c>
      <c r="H220" t="s">
        <v>84</v>
      </c>
      <c r="I220" s="76">
        <f>'SUT_EU27 total'!$N$96</f>
        <v>5.9963902402539811E-4</v>
      </c>
    </row>
    <row r="221" spans="1:9" x14ac:dyDescent="0.35">
      <c r="A221" t="s">
        <v>13</v>
      </c>
      <c r="B221" t="s">
        <v>92</v>
      </c>
      <c r="C221" t="s">
        <v>81</v>
      </c>
      <c r="D221" t="s">
        <v>86</v>
      </c>
      <c r="E221" t="s">
        <v>73</v>
      </c>
      <c r="F221" t="s">
        <v>74</v>
      </c>
      <c r="G221" t="s">
        <v>128</v>
      </c>
      <c r="H221" t="s">
        <v>84</v>
      </c>
      <c r="I221" s="76">
        <f>'SUT_EU27 total'!$N$103</f>
        <v>7.0614092017150581E-3</v>
      </c>
    </row>
    <row r="222" spans="1:9" x14ac:dyDescent="0.35">
      <c r="A222" t="s">
        <v>13</v>
      </c>
      <c r="B222" t="s">
        <v>93</v>
      </c>
      <c r="C222" t="s">
        <v>81</v>
      </c>
      <c r="D222" t="s">
        <v>82</v>
      </c>
      <c r="E222" t="s">
        <v>73</v>
      </c>
      <c r="F222" t="s">
        <v>74</v>
      </c>
      <c r="G222" t="s">
        <v>128</v>
      </c>
      <c r="H222" t="s">
        <v>84</v>
      </c>
      <c r="I222" s="76">
        <f>'SUT_EU27 total'!$N$113</f>
        <v>2.4854239602480213E-3</v>
      </c>
    </row>
    <row r="223" spans="1:9" x14ac:dyDescent="0.35">
      <c r="A223" t="s">
        <v>13</v>
      </c>
      <c r="B223" t="s">
        <v>93</v>
      </c>
      <c r="C223" t="s">
        <v>81</v>
      </c>
      <c r="D223" t="s">
        <v>86</v>
      </c>
      <c r="E223" t="s">
        <v>73</v>
      </c>
      <c r="F223" t="s">
        <v>74</v>
      </c>
      <c r="G223" t="s">
        <v>128</v>
      </c>
      <c r="H223" t="s">
        <v>84</v>
      </c>
      <c r="I223" s="76">
        <f>'SUT_EU27 total'!$N$120</f>
        <v>3.1580644155014347E-2</v>
      </c>
    </row>
    <row r="224" spans="1:9" x14ac:dyDescent="0.35">
      <c r="A224" t="s">
        <v>13</v>
      </c>
      <c r="B224" t="s">
        <v>73</v>
      </c>
      <c r="C224" t="s">
        <v>81</v>
      </c>
      <c r="D224" t="s">
        <v>82</v>
      </c>
      <c r="E224" t="s">
        <v>73</v>
      </c>
      <c r="F224" t="s">
        <v>74</v>
      </c>
      <c r="G224" t="s">
        <v>129</v>
      </c>
      <c r="H224" t="s">
        <v>84</v>
      </c>
      <c r="I224" s="76">
        <f>'SUT_EU27 total'!$O$28</f>
        <v>1.4658301341380521E-2</v>
      </c>
    </row>
    <row r="225" spans="1:9" x14ac:dyDescent="0.35">
      <c r="A225" t="s">
        <v>13</v>
      </c>
      <c r="B225" t="s">
        <v>73</v>
      </c>
      <c r="C225" t="s">
        <v>81</v>
      </c>
      <c r="D225" t="s">
        <v>86</v>
      </c>
      <c r="E225" t="s">
        <v>73</v>
      </c>
      <c r="F225" t="s">
        <v>74</v>
      </c>
      <c r="G225" t="s">
        <v>129</v>
      </c>
      <c r="H225" t="s">
        <v>84</v>
      </c>
      <c r="I225" s="76">
        <f>'SUT_EU27 total'!$O$35</f>
        <v>3.0740776778828832E-3</v>
      </c>
    </row>
    <row r="226" spans="1:9" x14ac:dyDescent="0.35">
      <c r="A226" t="s">
        <v>13</v>
      </c>
      <c r="B226" t="s">
        <v>88</v>
      </c>
      <c r="C226" t="s">
        <v>81</v>
      </c>
      <c r="D226" t="s">
        <v>82</v>
      </c>
      <c r="E226" t="s">
        <v>73</v>
      </c>
      <c r="F226" t="s">
        <v>74</v>
      </c>
      <c r="G226" t="s">
        <v>129</v>
      </c>
      <c r="H226" t="s">
        <v>84</v>
      </c>
      <c r="I226" s="76">
        <f>'SUT_EU27 total'!$O$45</f>
        <v>9.2276548594747033E-3</v>
      </c>
    </row>
    <row r="227" spans="1:9" x14ac:dyDescent="0.35">
      <c r="A227" t="s">
        <v>13</v>
      </c>
      <c r="B227" t="s">
        <v>88</v>
      </c>
      <c r="C227" t="s">
        <v>81</v>
      </c>
      <c r="D227" t="s">
        <v>86</v>
      </c>
      <c r="E227" t="s">
        <v>73</v>
      </c>
      <c r="F227" t="s">
        <v>74</v>
      </c>
      <c r="G227" t="s">
        <v>129</v>
      </c>
      <c r="H227" t="s">
        <v>84</v>
      </c>
      <c r="I227" s="76">
        <f>'SUT_EU27 total'!$O$52</f>
        <v>6.9627451701437512E-2</v>
      </c>
    </row>
    <row r="228" spans="1:9" x14ac:dyDescent="0.35">
      <c r="A228" t="s">
        <v>13</v>
      </c>
      <c r="B228" t="s">
        <v>90</v>
      </c>
      <c r="C228" t="s">
        <v>81</v>
      </c>
      <c r="D228" t="s">
        <v>82</v>
      </c>
      <c r="E228" t="s">
        <v>73</v>
      </c>
      <c r="F228" t="s">
        <v>74</v>
      </c>
      <c r="G228" t="s">
        <v>129</v>
      </c>
      <c r="H228" t="s">
        <v>84</v>
      </c>
      <c r="I228" s="76">
        <f>'SUT_EU27 total'!$O$62</f>
        <v>2.2200107734217647E-6</v>
      </c>
    </row>
    <row r="229" spans="1:9" x14ac:dyDescent="0.35">
      <c r="A229" t="s">
        <v>13</v>
      </c>
      <c r="B229" t="s">
        <v>90</v>
      </c>
      <c r="C229" t="s">
        <v>81</v>
      </c>
      <c r="D229" t="s">
        <v>86</v>
      </c>
      <c r="E229" t="s">
        <v>73</v>
      </c>
      <c r="F229" t="s">
        <v>74</v>
      </c>
      <c r="G229" t="s">
        <v>129</v>
      </c>
      <c r="H229" t="s">
        <v>84</v>
      </c>
      <c r="I229" s="76">
        <f>'SUT_EU27 total'!$O$69</f>
        <v>9.1135123377023061E-3</v>
      </c>
    </row>
    <row r="230" spans="1:9" x14ac:dyDescent="0.35">
      <c r="A230" t="s">
        <v>13</v>
      </c>
      <c r="B230" t="s">
        <v>91</v>
      </c>
      <c r="C230" t="s">
        <v>81</v>
      </c>
      <c r="D230" t="s">
        <v>82</v>
      </c>
      <c r="E230" t="s">
        <v>73</v>
      </c>
      <c r="F230" t="s">
        <v>74</v>
      </c>
      <c r="G230" t="s">
        <v>129</v>
      </c>
      <c r="H230" t="s">
        <v>84</v>
      </c>
      <c r="I230" s="76">
        <f>'SUT_EU27 total'!$O$79</f>
        <v>4.3195382907628159E-4</v>
      </c>
    </row>
    <row r="231" spans="1:9" x14ac:dyDescent="0.35">
      <c r="A231" t="s">
        <v>13</v>
      </c>
      <c r="B231" t="s">
        <v>91</v>
      </c>
      <c r="C231" t="s">
        <v>81</v>
      </c>
      <c r="D231" t="s">
        <v>86</v>
      </c>
      <c r="E231" t="s">
        <v>73</v>
      </c>
      <c r="F231" t="s">
        <v>74</v>
      </c>
      <c r="G231" t="s">
        <v>129</v>
      </c>
      <c r="H231" t="s">
        <v>84</v>
      </c>
      <c r="I231" s="76">
        <f>'SUT_EU27 total'!$O$86</f>
        <v>1.1339568587203704E-2</v>
      </c>
    </row>
    <row r="232" spans="1:9" x14ac:dyDescent="0.35">
      <c r="A232" t="s">
        <v>13</v>
      </c>
      <c r="B232" t="s">
        <v>92</v>
      </c>
      <c r="C232" t="s">
        <v>81</v>
      </c>
      <c r="D232" t="s">
        <v>82</v>
      </c>
      <c r="E232" t="s">
        <v>73</v>
      </c>
      <c r="F232" t="s">
        <v>74</v>
      </c>
      <c r="G232" t="s">
        <v>129</v>
      </c>
      <c r="H232" t="s">
        <v>84</v>
      </c>
      <c r="I232" s="76">
        <f>'SUT_EU27 total'!$O$96</f>
        <v>5.9963902402539811E-4</v>
      </c>
    </row>
    <row r="233" spans="1:9" x14ac:dyDescent="0.35">
      <c r="A233" t="s">
        <v>13</v>
      </c>
      <c r="B233" t="s">
        <v>92</v>
      </c>
      <c r="C233" t="s">
        <v>81</v>
      </c>
      <c r="D233" t="s">
        <v>86</v>
      </c>
      <c r="E233" t="s">
        <v>73</v>
      </c>
      <c r="F233" t="s">
        <v>74</v>
      </c>
      <c r="G233" t="s">
        <v>129</v>
      </c>
      <c r="H233" t="s">
        <v>84</v>
      </c>
      <c r="I233" s="76">
        <f>'SUT_EU27 total'!$O$103</f>
        <v>7.0614092017150581E-3</v>
      </c>
    </row>
    <row r="234" spans="1:9" x14ac:dyDescent="0.35">
      <c r="A234" t="s">
        <v>13</v>
      </c>
      <c r="B234" t="s">
        <v>93</v>
      </c>
      <c r="C234" t="s">
        <v>81</v>
      </c>
      <c r="D234" t="s">
        <v>82</v>
      </c>
      <c r="E234" t="s">
        <v>73</v>
      </c>
      <c r="F234" t="s">
        <v>74</v>
      </c>
      <c r="G234" t="s">
        <v>129</v>
      </c>
      <c r="H234" t="s">
        <v>84</v>
      </c>
      <c r="I234" s="76">
        <f>'SUT_EU27 total'!$O$113</f>
        <v>2.4854239602480213E-3</v>
      </c>
    </row>
    <row r="235" spans="1:9" x14ac:dyDescent="0.35">
      <c r="A235" t="s">
        <v>13</v>
      </c>
      <c r="B235" t="s">
        <v>93</v>
      </c>
      <c r="C235" t="s">
        <v>81</v>
      </c>
      <c r="D235" t="s">
        <v>86</v>
      </c>
      <c r="E235" t="s">
        <v>73</v>
      </c>
      <c r="F235" t="s">
        <v>74</v>
      </c>
      <c r="G235" t="s">
        <v>129</v>
      </c>
      <c r="H235" t="s">
        <v>84</v>
      </c>
      <c r="I235" s="76">
        <f>'SUT_EU27 total'!$O$120</f>
        <v>3.1580644155014347E-2</v>
      </c>
    </row>
    <row r="236" spans="1:9" x14ac:dyDescent="0.35">
      <c r="A236" t="s">
        <v>13</v>
      </c>
      <c r="B236" t="s">
        <v>73</v>
      </c>
      <c r="C236" t="s">
        <v>81</v>
      </c>
      <c r="D236" t="s">
        <v>82</v>
      </c>
      <c r="E236" t="s">
        <v>73</v>
      </c>
      <c r="F236" t="s">
        <v>74</v>
      </c>
      <c r="G236" t="s">
        <v>130</v>
      </c>
      <c r="H236" t="s">
        <v>84</v>
      </c>
      <c r="I236" s="76">
        <f>'SUT_EU27 total'!$Q$28</f>
        <v>7.0611384178638645E-2</v>
      </c>
    </row>
    <row r="237" spans="1:9" x14ac:dyDescent="0.35">
      <c r="A237" t="s">
        <v>13</v>
      </c>
      <c r="B237" t="s">
        <v>88</v>
      </c>
      <c r="C237" t="s">
        <v>81</v>
      </c>
      <c r="D237" t="s">
        <v>82</v>
      </c>
      <c r="E237" t="s">
        <v>73</v>
      </c>
      <c r="F237" t="s">
        <v>74</v>
      </c>
      <c r="G237" t="s">
        <v>130</v>
      </c>
      <c r="H237" t="s">
        <v>84</v>
      </c>
      <c r="I237" s="76">
        <f>'SUT_EU27 total'!$Q$45</f>
        <v>4.4451090694311274E-2</v>
      </c>
    </row>
    <row r="238" spans="1:9" x14ac:dyDescent="0.35">
      <c r="A238" t="s">
        <v>13</v>
      </c>
      <c r="B238" t="s">
        <v>90</v>
      </c>
      <c r="C238" t="s">
        <v>81</v>
      </c>
      <c r="D238" t="s">
        <v>82</v>
      </c>
      <c r="E238" t="s">
        <v>73</v>
      </c>
      <c r="F238" t="s">
        <v>74</v>
      </c>
      <c r="G238" t="s">
        <v>130</v>
      </c>
      <c r="H238" t="s">
        <v>84</v>
      </c>
      <c r="I238" s="76">
        <f>'SUT_EU27 total'!$Q$62</f>
        <v>1.0694147292515508E-5</v>
      </c>
    </row>
    <row r="239" spans="1:9" x14ac:dyDescent="0.35">
      <c r="A239" t="s">
        <v>13</v>
      </c>
      <c r="B239" t="s">
        <v>91</v>
      </c>
      <c r="C239" t="s">
        <v>81</v>
      </c>
      <c r="D239" t="s">
        <v>82</v>
      </c>
      <c r="E239" t="s">
        <v>73</v>
      </c>
      <c r="F239" t="s">
        <v>74</v>
      </c>
      <c r="G239" t="s">
        <v>130</v>
      </c>
      <c r="H239" t="s">
        <v>84</v>
      </c>
      <c r="I239" s="76">
        <f>'SUT_EU27 total'!$Q$79</f>
        <v>2.0807907452574416E-3</v>
      </c>
    </row>
    <row r="240" spans="1:9" x14ac:dyDescent="0.35">
      <c r="A240" t="s">
        <v>13</v>
      </c>
      <c r="B240" t="s">
        <v>92</v>
      </c>
      <c r="C240" t="s">
        <v>81</v>
      </c>
      <c r="D240" t="s">
        <v>82</v>
      </c>
      <c r="E240" t="s">
        <v>73</v>
      </c>
      <c r="F240" t="s">
        <v>74</v>
      </c>
      <c r="G240" t="s">
        <v>130</v>
      </c>
      <c r="H240" t="s">
        <v>84</v>
      </c>
      <c r="I240" s="76">
        <f>'SUT_EU27 total'!$Q$96</f>
        <v>2.8885571737041122E-3</v>
      </c>
    </row>
    <row r="241" spans="1:9" x14ac:dyDescent="0.35">
      <c r="A241" t="s">
        <v>13</v>
      </c>
      <c r="B241" t="s">
        <v>93</v>
      </c>
      <c r="C241" t="s">
        <v>81</v>
      </c>
      <c r="D241" t="s">
        <v>82</v>
      </c>
      <c r="E241" t="s">
        <v>73</v>
      </c>
      <c r="F241" t="s">
        <v>74</v>
      </c>
      <c r="G241" t="s">
        <v>130</v>
      </c>
      <c r="H241" t="s">
        <v>84</v>
      </c>
      <c r="I241" s="76">
        <f>'SUT_EU27 total'!$Q$113</f>
        <v>1.1972685102906883E-2</v>
      </c>
    </row>
    <row r="242" spans="1:9" x14ac:dyDescent="0.35">
      <c r="A242" t="s">
        <v>13</v>
      </c>
      <c r="B242" t="s">
        <v>73</v>
      </c>
      <c r="C242" t="s">
        <v>81</v>
      </c>
      <c r="D242" t="s">
        <v>131</v>
      </c>
      <c r="E242" t="s">
        <v>73</v>
      </c>
      <c r="F242" t="s">
        <v>74</v>
      </c>
      <c r="G242" t="s">
        <v>112</v>
      </c>
      <c r="H242" t="s">
        <v>84</v>
      </c>
      <c r="I242" s="76">
        <f>'SUT_EU27 total'!$R$24</f>
        <v>4.0146105919003111E-8</v>
      </c>
    </row>
    <row r="243" spans="1:9" x14ac:dyDescent="0.35">
      <c r="A243" t="s">
        <v>13</v>
      </c>
      <c r="B243" t="s">
        <v>73</v>
      </c>
      <c r="C243" t="s">
        <v>81</v>
      </c>
      <c r="D243" t="s">
        <v>122</v>
      </c>
      <c r="E243" t="s">
        <v>73</v>
      </c>
      <c r="F243" t="s">
        <v>74</v>
      </c>
      <c r="G243" t="s">
        <v>112</v>
      </c>
      <c r="H243" t="s">
        <v>84</v>
      </c>
      <c r="I243" s="76">
        <f>'SUT_EU27 total'!$R$30</f>
        <v>3.9708116569218732E-4</v>
      </c>
    </row>
    <row r="244" spans="1:9" x14ac:dyDescent="0.35">
      <c r="A244" t="s">
        <v>13</v>
      </c>
      <c r="B244" t="s">
        <v>73</v>
      </c>
      <c r="C244" t="s">
        <v>81</v>
      </c>
      <c r="D244" t="s">
        <v>101</v>
      </c>
      <c r="E244" t="s">
        <v>73</v>
      </c>
      <c r="F244" t="s">
        <v>74</v>
      </c>
      <c r="G244" t="s">
        <v>112</v>
      </c>
      <c r="H244" t="s">
        <v>84</v>
      </c>
      <c r="I244" s="76" cm="1">
        <f t="array" ref="I244:I246">'SUT_EU27 total'!$R$32:$R$34</f>
        <v>1.2183459827918709E-7</v>
      </c>
    </row>
    <row r="245" spans="1:9" x14ac:dyDescent="0.35">
      <c r="A245" t="s">
        <v>13</v>
      </c>
      <c r="B245" t="s">
        <v>73</v>
      </c>
      <c r="C245" t="s">
        <v>81</v>
      </c>
      <c r="D245" t="s">
        <v>104</v>
      </c>
      <c r="E245" t="s">
        <v>73</v>
      </c>
      <c r="F245" t="s">
        <v>74</v>
      </c>
      <c r="G245" t="s">
        <v>112</v>
      </c>
      <c r="H245" t="s">
        <v>84</v>
      </c>
      <c r="I245" s="76">
        <v>2.3068290654205609E-7</v>
      </c>
    </row>
    <row r="246" spans="1:9" x14ac:dyDescent="0.35">
      <c r="A246" t="s">
        <v>13</v>
      </c>
      <c r="B246" t="s">
        <v>73</v>
      </c>
      <c r="C246" t="s">
        <v>81</v>
      </c>
      <c r="D246" t="s">
        <v>106</v>
      </c>
      <c r="E246" t="s">
        <v>73</v>
      </c>
      <c r="F246" t="s">
        <v>74</v>
      </c>
      <c r="G246" t="s">
        <v>112</v>
      </c>
      <c r="H246" t="s">
        <v>84</v>
      </c>
      <c r="I246" s="76">
        <v>7.8463573653760568E-7</v>
      </c>
    </row>
    <row r="247" spans="1:9" x14ac:dyDescent="0.35">
      <c r="A247" t="s">
        <v>13</v>
      </c>
      <c r="B247" t="s">
        <v>88</v>
      </c>
      <c r="C247" t="s">
        <v>81</v>
      </c>
      <c r="D247" t="s">
        <v>131</v>
      </c>
      <c r="E247" t="s">
        <v>73</v>
      </c>
      <c r="F247" t="s">
        <v>74</v>
      </c>
      <c r="G247" t="s">
        <v>112</v>
      </c>
      <c r="H247" t="s">
        <v>84</v>
      </c>
      <c r="I247" s="76">
        <f>'SUT_EU27 total'!$R$41</f>
        <v>0</v>
      </c>
    </row>
    <row r="248" spans="1:9" x14ac:dyDescent="0.35">
      <c r="A248" t="s">
        <v>13</v>
      </c>
      <c r="B248" t="s">
        <v>88</v>
      </c>
      <c r="C248" t="s">
        <v>81</v>
      </c>
      <c r="D248" t="s">
        <v>122</v>
      </c>
      <c r="E248" t="s">
        <v>73</v>
      </c>
      <c r="F248" t="s">
        <v>74</v>
      </c>
      <c r="G248" t="s">
        <v>112</v>
      </c>
      <c r="H248" t="s">
        <v>84</v>
      </c>
      <c r="I248" s="76">
        <f>'SUT_EU27 total'!$R$47</f>
        <v>0</v>
      </c>
    </row>
    <row r="249" spans="1:9" x14ac:dyDescent="0.35">
      <c r="A249" t="s">
        <v>13</v>
      </c>
      <c r="B249" t="s">
        <v>88</v>
      </c>
      <c r="C249" t="s">
        <v>81</v>
      </c>
      <c r="D249" t="s">
        <v>101</v>
      </c>
      <c r="E249" t="s">
        <v>73</v>
      </c>
      <c r="F249" t="s">
        <v>74</v>
      </c>
      <c r="G249" t="s">
        <v>112</v>
      </c>
      <c r="H249" t="s">
        <v>84</v>
      </c>
      <c r="I249" s="76" cm="1">
        <f t="array" ref="I249:I251">'SUT_EU27 total'!$R$49:$R$51</f>
        <v>0</v>
      </c>
    </row>
    <row r="250" spans="1:9" x14ac:dyDescent="0.35">
      <c r="A250" t="s">
        <v>13</v>
      </c>
      <c r="B250" t="s">
        <v>88</v>
      </c>
      <c r="C250" t="s">
        <v>81</v>
      </c>
      <c r="D250" t="s">
        <v>104</v>
      </c>
      <c r="E250" t="s">
        <v>73</v>
      </c>
      <c r="F250" t="s">
        <v>74</v>
      </c>
      <c r="G250" t="s">
        <v>112</v>
      </c>
      <c r="H250" t="s">
        <v>84</v>
      </c>
      <c r="I250" s="76">
        <v>0</v>
      </c>
    </row>
    <row r="251" spans="1:9" x14ac:dyDescent="0.35">
      <c r="A251" t="s">
        <v>13</v>
      </c>
      <c r="B251" t="s">
        <v>88</v>
      </c>
      <c r="C251" t="s">
        <v>81</v>
      </c>
      <c r="D251" t="s">
        <v>106</v>
      </c>
      <c r="E251" t="s">
        <v>73</v>
      </c>
      <c r="F251" t="s">
        <v>74</v>
      </c>
      <c r="G251" t="s">
        <v>112</v>
      </c>
      <c r="H251" t="s">
        <v>84</v>
      </c>
      <c r="I251" s="76">
        <v>0</v>
      </c>
    </row>
    <row r="252" spans="1:9" x14ac:dyDescent="0.35">
      <c r="A252" t="s">
        <v>13</v>
      </c>
      <c r="B252" t="s">
        <v>90</v>
      </c>
      <c r="C252" t="s">
        <v>81</v>
      </c>
      <c r="D252" t="s">
        <v>131</v>
      </c>
      <c r="E252" t="s">
        <v>73</v>
      </c>
      <c r="F252" t="s">
        <v>74</v>
      </c>
      <c r="G252" t="s">
        <v>112</v>
      </c>
      <c r="H252" t="s">
        <v>84</v>
      </c>
      <c r="I252" s="76">
        <f>'SUT_EU27 total'!$R$58</f>
        <v>0</v>
      </c>
    </row>
    <row r="253" spans="1:9" x14ac:dyDescent="0.35">
      <c r="A253" t="s">
        <v>13</v>
      </c>
      <c r="B253" t="s">
        <v>90</v>
      </c>
      <c r="C253" t="s">
        <v>81</v>
      </c>
      <c r="D253" t="s">
        <v>122</v>
      </c>
      <c r="E253" t="s">
        <v>73</v>
      </c>
      <c r="F253" t="s">
        <v>74</v>
      </c>
      <c r="G253" t="s">
        <v>112</v>
      </c>
      <c r="H253" t="s">
        <v>84</v>
      </c>
      <c r="I253" s="76">
        <f>'SUT_EU27 total'!$R$64</f>
        <v>6.4108466461028498E-4</v>
      </c>
    </row>
    <row r="254" spans="1:9" x14ac:dyDescent="0.35">
      <c r="A254" t="s">
        <v>13</v>
      </c>
      <c r="B254" t="s">
        <v>90</v>
      </c>
      <c r="C254" t="s">
        <v>81</v>
      </c>
      <c r="D254" t="s">
        <v>101</v>
      </c>
      <c r="E254" t="s">
        <v>73</v>
      </c>
      <c r="F254" t="s">
        <v>74</v>
      </c>
      <c r="G254" t="s">
        <v>112</v>
      </c>
      <c r="H254" t="s">
        <v>84</v>
      </c>
      <c r="I254" s="76" cm="1">
        <f t="array" ref="I254:I256">'SUT_EU27 total'!$R$66:$R$68</f>
        <v>0</v>
      </c>
    </row>
    <row r="255" spans="1:9" x14ac:dyDescent="0.35">
      <c r="A255" t="s">
        <v>13</v>
      </c>
      <c r="B255" t="s">
        <v>90</v>
      </c>
      <c r="C255" t="s">
        <v>81</v>
      </c>
      <c r="D255" t="s">
        <v>104</v>
      </c>
      <c r="E255" t="s">
        <v>73</v>
      </c>
      <c r="F255" t="s">
        <v>74</v>
      </c>
      <c r="G255" t="s">
        <v>112</v>
      </c>
      <c r="H255" t="s">
        <v>84</v>
      </c>
      <c r="I255" s="76">
        <v>0</v>
      </c>
    </row>
    <row r="256" spans="1:9" x14ac:dyDescent="0.35">
      <c r="A256" t="s">
        <v>13</v>
      </c>
      <c r="B256" t="s">
        <v>90</v>
      </c>
      <c r="C256" t="s">
        <v>81</v>
      </c>
      <c r="D256" t="s">
        <v>106</v>
      </c>
      <c r="E256" t="s">
        <v>73</v>
      </c>
      <c r="F256" t="s">
        <v>74</v>
      </c>
      <c r="G256" t="s">
        <v>112</v>
      </c>
      <c r="H256" t="s">
        <v>84</v>
      </c>
      <c r="I256" s="76">
        <v>0</v>
      </c>
    </row>
    <row r="257" spans="1:9" x14ac:dyDescent="0.35">
      <c r="A257" t="s">
        <v>13</v>
      </c>
      <c r="B257" t="s">
        <v>91</v>
      </c>
      <c r="C257" t="s">
        <v>81</v>
      </c>
      <c r="D257" t="s">
        <v>131</v>
      </c>
      <c r="E257" t="s">
        <v>73</v>
      </c>
      <c r="F257" t="s">
        <v>74</v>
      </c>
      <c r="G257" t="s">
        <v>112</v>
      </c>
      <c r="H257" t="s">
        <v>84</v>
      </c>
      <c r="I257" s="76">
        <f>'SUT_EU27 total'!$R$75</f>
        <v>0</v>
      </c>
    </row>
    <row r="258" spans="1:9" x14ac:dyDescent="0.35">
      <c r="A258" t="s">
        <v>13</v>
      </c>
      <c r="B258" t="s">
        <v>91</v>
      </c>
      <c r="C258" t="s">
        <v>81</v>
      </c>
      <c r="D258" t="s">
        <v>122</v>
      </c>
      <c r="E258" t="s">
        <v>73</v>
      </c>
      <c r="F258" t="s">
        <v>74</v>
      </c>
      <c r="G258" t="s">
        <v>112</v>
      </c>
      <c r="H258" t="s">
        <v>84</v>
      </c>
      <c r="I258" s="76">
        <f>'SUT_EU27 total'!$R$81</f>
        <v>0</v>
      </c>
    </row>
    <row r="259" spans="1:9" x14ac:dyDescent="0.35">
      <c r="A259" t="s">
        <v>13</v>
      </c>
      <c r="B259" t="s">
        <v>91</v>
      </c>
      <c r="C259" t="s">
        <v>81</v>
      </c>
      <c r="D259" t="s">
        <v>101</v>
      </c>
      <c r="E259" t="s">
        <v>73</v>
      </c>
      <c r="F259" t="s">
        <v>74</v>
      </c>
      <c r="G259" t="s">
        <v>112</v>
      </c>
      <c r="H259" t="s">
        <v>84</v>
      </c>
      <c r="I259" s="76" cm="1">
        <f t="array" ref="I259:I261">'SUT_EU27 total'!$R$83:$R$85</f>
        <v>0</v>
      </c>
    </row>
    <row r="260" spans="1:9" x14ac:dyDescent="0.35">
      <c r="A260" t="s">
        <v>13</v>
      </c>
      <c r="B260" t="s">
        <v>91</v>
      </c>
      <c r="C260" t="s">
        <v>81</v>
      </c>
      <c r="D260" t="s">
        <v>104</v>
      </c>
      <c r="E260" t="s">
        <v>73</v>
      </c>
      <c r="F260" t="s">
        <v>74</v>
      </c>
      <c r="G260" t="s">
        <v>112</v>
      </c>
      <c r="H260" t="s">
        <v>84</v>
      </c>
      <c r="I260" s="76">
        <v>0</v>
      </c>
    </row>
    <row r="261" spans="1:9" x14ac:dyDescent="0.35">
      <c r="A261" t="s">
        <v>13</v>
      </c>
      <c r="B261" t="s">
        <v>91</v>
      </c>
      <c r="C261" t="s">
        <v>81</v>
      </c>
      <c r="D261" t="s">
        <v>106</v>
      </c>
      <c r="E261" t="s">
        <v>73</v>
      </c>
      <c r="F261" t="s">
        <v>74</v>
      </c>
      <c r="G261" t="s">
        <v>112</v>
      </c>
      <c r="H261" t="s">
        <v>84</v>
      </c>
      <c r="I261" s="76">
        <v>0</v>
      </c>
    </row>
    <row r="262" spans="1:9" x14ac:dyDescent="0.35">
      <c r="A262" t="s">
        <v>13</v>
      </c>
      <c r="B262" t="s">
        <v>92</v>
      </c>
      <c r="C262" t="s">
        <v>81</v>
      </c>
      <c r="D262" t="s">
        <v>131</v>
      </c>
      <c r="E262" t="s">
        <v>73</v>
      </c>
      <c r="F262" t="s">
        <v>74</v>
      </c>
      <c r="G262" t="s">
        <v>112</v>
      </c>
      <c r="H262" t="s">
        <v>84</v>
      </c>
      <c r="I262" s="76">
        <f>'SUT_EU27 total'!$R$92</f>
        <v>0</v>
      </c>
    </row>
    <row r="263" spans="1:9" x14ac:dyDescent="0.35">
      <c r="A263" t="s">
        <v>13</v>
      </c>
      <c r="B263" t="s">
        <v>92</v>
      </c>
      <c r="C263" t="s">
        <v>81</v>
      </c>
      <c r="D263" t="s">
        <v>122</v>
      </c>
      <c r="E263" t="s">
        <v>73</v>
      </c>
      <c r="F263" t="s">
        <v>74</v>
      </c>
      <c r="G263" t="s">
        <v>112</v>
      </c>
      <c r="H263" t="s">
        <v>84</v>
      </c>
      <c r="I263" s="76">
        <f>'SUT_EU27 total'!$R$98</f>
        <v>0</v>
      </c>
    </row>
    <row r="264" spans="1:9" x14ac:dyDescent="0.35">
      <c r="A264" t="s">
        <v>13</v>
      </c>
      <c r="B264" t="s">
        <v>92</v>
      </c>
      <c r="C264" t="s">
        <v>81</v>
      </c>
      <c r="D264" t="s">
        <v>101</v>
      </c>
      <c r="E264" t="s">
        <v>73</v>
      </c>
      <c r="F264" t="s">
        <v>74</v>
      </c>
      <c r="G264" t="s">
        <v>112</v>
      </c>
      <c r="H264" t="s">
        <v>84</v>
      </c>
      <c r="I264" s="76" cm="1">
        <f t="array" ref="I264:I266">'SUT_EU27 total'!$R$100:$R$102</f>
        <v>0</v>
      </c>
    </row>
    <row r="265" spans="1:9" x14ac:dyDescent="0.35">
      <c r="A265" t="s">
        <v>13</v>
      </c>
      <c r="B265" t="s">
        <v>92</v>
      </c>
      <c r="C265" t="s">
        <v>81</v>
      </c>
      <c r="D265" t="s">
        <v>104</v>
      </c>
      <c r="E265" t="s">
        <v>73</v>
      </c>
      <c r="F265" t="s">
        <v>74</v>
      </c>
      <c r="G265" t="s">
        <v>112</v>
      </c>
      <c r="H265" t="s">
        <v>84</v>
      </c>
      <c r="I265" s="76">
        <v>0</v>
      </c>
    </row>
    <row r="266" spans="1:9" x14ac:dyDescent="0.35">
      <c r="A266" t="s">
        <v>13</v>
      </c>
      <c r="B266" t="s">
        <v>92</v>
      </c>
      <c r="C266" t="s">
        <v>81</v>
      </c>
      <c r="D266" t="s">
        <v>106</v>
      </c>
      <c r="E266" t="s">
        <v>73</v>
      </c>
      <c r="F266" t="s">
        <v>74</v>
      </c>
      <c r="G266" t="s">
        <v>112</v>
      </c>
      <c r="H266" t="s">
        <v>84</v>
      </c>
      <c r="I266" s="76">
        <v>0</v>
      </c>
    </row>
    <row r="267" spans="1:9" x14ac:dyDescent="0.35">
      <c r="A267" t="s">
        <v>13</v>
      </c>
      <c r="B267" t="s">
        <v>93</v>
      </c>
      <c r="C267" t="s">
        <v>81</v>
      </c>
      <c r="D267" t="s">
        <v>131</v>
      </c>
      <c r="E267" t="s">
        <v>73</v>
      </c>
      <c r="F267" t="s">
        <v>74</v>
      </c>
      <c r="G267" t="s">
        <v>112</v>
      </c>
      <c r="H267" t="s">
        <v>84</v>
      </c>
      <c r="I267" s="76">
        <f>'SUT_EU27 total'!$R$109</f>
        <v>0</v>
      </c>
    </row>
    <row r="268" spans="1:9" x14ac:dyDescent="0.35">
      <c r="A268" t="s">
        <v>13</v>
      </c>
      <c r="B268" t="s">
        <v>93</v>
      </c>
      <c r="C268" t="s">
        <v>81</v>
      </c>
      <c r="D268" t="s">
        <v>122</v>
      </c>
      <c r="E268" t="s">
        <v>73</v>
      </c>
      <c r="F268" t="s">
        <v>74</v>
      </c>
      <c r="G268" t="s">
        <v>112</v>
      </c>
      <c r="H268" t="s">
        <v>84</v>
      </c>
      <c r="I268" s="76">
        <f>'SUT_EU27 total'!$R$115</f>
        <v>2.188358424259166E-3</v>
      </c>
    </row>
    <row r="269" spans="1:9" x14ac:dyDescent="0.35">
      <c r="A269" t="s">
        <v>13</v>
      </c>
      <c r="B269" t="s">
        <v>93</v>
      </c>
      <c r="C269" t="s">
        <v>81</v>
      </c>
      <c r="D269" t="s">
        <v>101</v>
      </c>
      <c r="E269" t="s">
        <v>73</v>
      </c>
      <c r="F269" t="s">
        <v>74</v>
      </c>
      <c r="G269" t="s">
        <v>112</v>
      </c>
      <c r="H269" t="s">
        <v>84</v>
      </c>
      <c r="I269" s="76" cm="1">
        <f t="array" ref="I269:I271">'SUT_EU27 total'!$R$117:$R$119</f>
        <v>0</v>
      </c>
    </row>
    <row r="270" spans="1:9" x14ac:dyDescent="0.35">
      <c r="A270" t="s">
        <v>13</v>
      </c>
      <c r="B270" t="s">
        <v>93</v>
      </c>
      <c r="C270" t="s">
        <v>81</v>
      </c>
      <c r="D270" t="s">
        <v>104</v>
      </c>
      <c r="E270" t="s">
        <v>73</v>
      </c>
      <c r="F270" t="s">
        <v>74</v>
      </c>
      <c r="G270" t="s">
        <v>112</v>
      </c>
      <c r="H270" t="s">
        <v>84</v>
      </c>
      <c r="I270" s="76">
        <v>0</v>
      </c>
    </row>
    <row r="271" spans="1:9" x14ac:dyDescent="0.35">
      <c r="A271" t="s">
        <v>13</v>
      </c>
      <c r="B271" t="s">
        <v>93</v>
      </c>
      <c r="C271" t="s">
        <v>81</v>
      </c>
      <c r="D271" t="s">
        <v>106</v>
      </c>
      <c r="E271" t="s">
        <v>73</v>
      </c>
      <c r="F271" t="s">
        <v>74</v>
      </c>
      <c r="G271" t="s">
        <v>112</v>
      </c>
      <c r="H271" t="s">
        <v>84</v>
      </c>
      <c r="I271" s="76">
        <v>0</v>
      </c>
    </row>
    <row r="272" spans="1:9" x14ac:dyDescent="0.35">
      <c r="A272" t="s">
        <v>13</v>
      </c>
      <c r="B272" t="s">
        <v>73</v>
      </c>
      <c r="C272" t="s">
        <v>81</v>
      </c>
      <c r="D272" t="s">
        <v>131</v>
      </c>
      <c r="E272" t="s">
        <v>73</v>
      </c>
      <c r="F272" t="s">
        <v>74</v>
      </c>
      <c r="G272" t="s">
        <v>113</v>
      </c>
      <c r="H272" t="s">
        <v>84</v>
      </c>
      <c r="I272" s="76">
        <f>'SUT_EU27 total'!$S$24</f>
        <v>5.0294789999999994E-8</v>
      </c>
    </row>
    <row r="273" spans="1:9" x14ac:dyDescent="0.35">
      <c r="A273" t="s">
        <v>13</v>
      </c>
      <c r="B273" t="s">
        <v>73</v>
      </c>
      <c r="C273" t="s">
        <v>81</v>
      </c>
      <c r="D273" t="s">
        <v>101</v>
      </c>
      <c r="E273" t="s">
        <v>73</v>
      </c>
      <c r="F273" t="s">
        <v>74</v>
      </c>
      <c r="G273" t="s">
        <v>113</v>
      </c>
      <c r="H273" t="s">
        <v>84</v>
      </c>
      <c r="I273" s="76" cm="1">
        <f t="array" ref="I273:I275">'SUT_EU27 total'!$S$32:$S$34</f>
        <v>1.7883556705882356E-5</v>
      </c>
    </row>
    <row r="274" spans="1:9" x14ac:dyDescent="0.35">
      <c r="A274" t="s">
        <v>13</v>
      </c>
      <c r="B274" t="s">
        <v>73</v>
      </c>
      <c r="C274" t="s">
        <v>81</v>
      </c>
      <c r="D274" t="s">
        <v>104</v>
      </c>
      <c r="E274" t="s">
        <v>73</v>
      </c>
      <c r="F274" t="s">
        <v>74</v>
      </c>
      <c r="G274" t="s">
        <v>113</v>
      </c>
      <c r="H274" t="s">
        <v>84</v>
      </c>
      <c r="I274" s="76">
        <v>3.3860913882352942E-5</v>
      </c>
    </row>
    <row r="275" spans="1:9" x14ac:dyDescent="0.35">
      <c r="A275" t="s">
        <v>13</v>
      </c>
      <c r="B275" t="s">
        <v>73</v>
      </c>
      <c r="C275" t="s">
        <v>81</v>
      </c>
      <c r="D275" t="s">
        <v>106</v>
      </c>
      <c r="E275" t="s">
        <v>73</v>
      </c>
      <c r="F275" t="s">
        <v>74</v>
      </c>
      <c r="G275" t="s">
        <v>113</v>
      </c>
      <c r="H275" t="s">
        <v>84</v>
      </c>
      <c r="I275" s="76">
        <v>1.1517317647058823E-4</v>
      </c>
    </row>
    <row r="276" spans="1:9" x14ac:dyDescent="0.35">
      <c r="A276" t="s">
        <v>13</v>
      </c>
      <c r="B276" t="s">
        <v>88</v>
      </c>
      <c r="C276" t="s">
        <v>81</v>
      </c>
      <c r="D276" t="s">
        <v>131</v>
      </c>
      <c r="E276" t="s">
        <v>73</v>
      </c>
      <c r="F276" t="s">
        <v>74</v>
      </c>
      <c r="G276" t="s">
        <v>113</v>
      </c>
      <c r="H276" t="s">
        <v>84</v>
      </c>
      <c r="I276" s="76">
        <f>'SUT_EU27 total'!$S$41</f>
        <v>0</v>
      </c>
    </row>
    <row r="277" spans="1:9" x14ac:dyDescent="0.35">
      <c r="A277" t="s">
        <v>13</v>
      </c>
      <c r="B277" t="s">
        <v>88</v>
      </c>
      <c r="C277" t="s">
        <v>81</v>
      </c>
      <c r="D277" t="s">
        <v>101</v>
      </c>
      <c r="E277" t="s">
        <v>73</v>
      </c>
      <c r="F277" t="s">
        <v>74</v>
      </c>
      <c r="G277" t="s">
        <v>113</v>
      </c>
      <c r="H277" t="s">
        <v>84</v>
      </c>
      <c r="I277" s="76" cm="1">
        <f t="array" ref="I277:I279">'SUT_EU27 total'!$S$49:$S$51</f>
        <v>0</v>
      </c>
    </row>
    <row r="278" spans="1:9" x14ac:dyDescent="0.35">
      <c r="A278" t="s">
        <v>13</v>
      </c>
      <c r="B278" t="s">
        <v>88</v>
      </c>
      <c r="C278" t="s">
        <v>81</v>
      </c>
      <c r="D278" t="s">
        <v>104</v>
      </c>
      <c r="E278" t="s">
        <v>73</v>
      </c>
      <c r="F278" t="s">
        <v>74</v>
      </c>
      <c r="G278" t="s">
        <v>113</v>
      </c>
      <c r="H278" t="s">
        <v>84</v>
      </c>
      <c r="I278" s="76">
        <v>0</v>
      </c>
    </row>
    <row r="279" spans="1:9" x14ac:dyDescent="0.35">
      <c r="A279" t="s">
        <v>13</v>
      </c>
      <c r="B279" t="s">
        <v>88</v>
      </c>
      <c r="C279" t="s">
        <v>81</v>
      </c>
      <c r="D279" t="s">
        <v>106</v>
      </c>
      <c r="E279" t="s">
        <v>73</v>
      </c>
      <c r="F279" t="s">
        <v>74</v>
      </c>
      <c r="G279" t="s">
        <v>113</v>
      </c>
      <c r="H279" t="s">
        <v>84</v>
      </c>
      <c r="I279" s="76">
        <v>0</v>
      </c>
    </row>
    <row r="280" spans="1:9" x14ac:dyDescent="0.35">
      <c r="A280" t="s">
        <v>13</v>
      </c>
      <c r="B280" t="s">
        <v>90</v>
      </c>
      <c r="C280" t="s">
        <v>81</v>
      </c>
      <c r="D280" t="s">
        <v>131</v>
      </c>
      <c r="E280" t="s">
        <v>73</v>
      </c>
      <c r="F280" t="s">
        <v>74</v>
      </c>
      <c r="G280" t="s">
        <v>113</v>
      </c>
      <c r="H280" t="s">
        <v>84</v>
      </c>
      <c r="I280" s="76">
        <f>'SUT_EU27 total'!$S$58</f>
        <v>0</v>
      </c>
    </row>
    <row r="281" spans="1:9" x14ac:dyDescent="0.35">
      <c r="A281" t="s">
        <v>13</v>
      </c>
      <c r="B281" t="s">
        <v>90</v>
      </c>
      <c r="C281" t="s">
        <v>81</v>
      </c>
      <c r="D281" t="s">
        <v>101</v>
      </c>
      <c r="E281" t="s">
        <v>73</v>
      </c>
      <c r="F281" t="s">
        <v>74</v>
      </c>
      <c r="G281" t="s">
        <v>113</v>
      </c>
      <c r="H281" t="s">
        <v>84</v>
      </c>
      <c r="I281" s="76" cm="1">
        <f t="array" ref="I281:I283">'SUT_EU27 total'!$S$66:$S$68</f>
        <v>0</v>
      </c>
    </row>
    <row r="282" spans="1:9" x14ac:dyDescent="0.35">
      <c r="A282" t="s">
        <v>13</v>
      </c>
      <c r="B282" t="s">
        <v>90</v>
      </c>
      <c r="C282" t="s">
        <v>81</v>
      </c>
      <c r="D282" t="s">
        <v>104</v>
      </c>
      <c r="E282" t="s">
        <v>73</v>
      </c>
      <c r="F282" t="s">
        <v>74</v>
      </c>
      <c r="G282" t="s">
        <v>113</v>
      </c>
      <c r="H282" t="s">
        <v>84</v>
      </c>
      <c r="I282" s="76">
        <v>0</v>
      </c>
    </row>
    <row r="283" spans="1:9" x14ac:dyDescent="0.35">
      <c r="A283" t="s">
        <v>13</v>
      </c>
      <c r="B283" t="s">
        <v>90</v>
      </c>
      <c r="C283" t="s">
        <v>81</v>
      </c>
      <c r="D283" t="s">
        <v>106</v>
      </c>
      <c r="E283" t="s">
        <v>73</v>
      </c>
      <c r="F283" t="s">
        <v>74</v>
      </c>
      <c r="G283" t="s">
        <v>113</v>
      </c>
      <c r="H283" t="s">
        <v>84</v>
      </c>
      <c r="I283" s="76">
        <v>0</v>
      </c>
    </row>
    <row r="284" spans="1:9" x14ac:dyDescent="0.35">
      <c r="A284" t="s">
        <v>13</v>
      </c>
      <c r="B284" t="s">
        <v>91</v>
      </c>
      <c r="C284" t="s">
        <v>81</v>
      </c>
      <c r="D284" t="s">
        <v>131</v>
      </c>
      <c r="E284" t="s">
        <v>73</v>
      </c>
      <c r="F284" t="s">
        <v>74</v>
      </c>
      <c r="G284" t="s">
        <v>113</v>
      </c>
      <c r="H284" t="s">
        <v>84</v>
      </c>
      <c r="I284" s="76">
        <f>'SUT_EU27 total'!$S$75</f>
        <v>0</v>
      </c>
    </row>
    <row r="285" spans="1:9" x14ac:dyDescent="0.35">
      <c r="A285" t="s">
        <v>13</v>
      </c>
      <c r="B285" t="s">
        <v>91</v>
      </c>
      <c r="C285" t="s">
        <v>81</v>
      </c>
      <c r="D285" t="s">
        <v>101</v>
      </c>
      <c r="E285" t="s">
        <v>73</v>
      </c>
      <c r="F285" t="s">
        <v>74</v>
      </c>
      <c r="G285" t="s">
        <v>113</v>
      </c>
      <c r="H285" t="s">
        <v>84</v>
      </c>
      <c r="I285" s="76" cm="1">
        <f t="array" ref="I285:I287">'SUT_EU27 total'!$S$83:$S$85</f>
        <v>0</v>
      </c>
    </row>
    <row r="286" spans="1:9" x14ac:dyDescent="0.35">
      <c r="A286" t="s">
        <v>13</v>
      </c>
      <c r="B286" t="s">
        <v>91</v>
      </c>
      <c r="C286" t="s">
        <v>81</v>
      </c>
      <c r="D286" t="s">
        <v>104</v>
      </c>
      <c r="E286" t="s">
        <v>73</v>
      </c>
      <c r="F286" t="s">
        <v>74</v>
      </c>
      <c r="G286" t="s">
        <v>113</v>
      </c>
      <c r="H286" t="s">
        <v>84</v>
      </c>
      <c r="I286" s="76">
        <v>0</v>
      </c>
    </row>
    <row r="287" spans="1:9" x14ac:dyDescent="0.35">
      <c r="A287" t="s">
        <v>13</v>
      </c>
      <c r="B287" t="s">
        <v>91</v>
      </c>
      <c r="C287" t="s">
        <v>81</v>
      </c>
      <c r="D287" t="s">
        <v>106</v>
      </c>
      <c r="E287" t="s">
        <v>73</v>
      </c>
      <c r="F287" t="s">
        <v>74</v>
      </c>
      <c r="G287" t="s">
        <v>113</v>
      </c>
      <c r="H287" t="s">
        <v>84</v>
      </c>
      <c r="I287" s="76">
        <v>0</v>
      </c>
    </row>
    <row r="288" spans="1:9" x14ac:dyDescent="0.35">
      <c r="A288" t="s">
        <v>13</v>
      </c>
      <c r="B288" t="s">
        <v>92</v>
      </c>
      <c r="C288" t="s">
        <v>81</v>
      </c>
      <c r="D288" t="s">
        <v>131</v>
      </c>
      <c r="E288" t="s">
        <v>73</v>
      </c>
      <c r="F288" t="s">
        <v>74</v>
      </c>
      <c r="G288" t="s">
        <v>113</v>
      </c>
      <c r="H288" t="s">
        <v>84</v>
      </c>
      <c r="I288" s="76">
        <f>'SUT_EU27 total'!$S$92</f>
        <v>0</v>
      </c>
    </row>
    <row r="289" spans="1:9" x14ac:dyDescent="0.35">
      <c r="A289" t="s">
        <v>13</v>
      </c>
      <c r="B289" t="s">
        <v>92</v>
      </c>
      <c r="C289" t="s">
        <v>81</v>
      </c>
      <c r="D289" t="s">
        <v>101</v>
      </c>
      <c r="E289" t="s">
        <v>73</v>
      </c>
      <c r="F289" t="s">
        <v>74</v>
      </c>
      <c r="G289" t="s">
        <v>113</v>
      </c>
      <c r="H289" t="s">
        <v>84</v>
      </c>
      <c r="I289" s="76" cm="1">
        <f t="array" ref="I289:I291">'SUT_EU27 total'!$S$100:$S$102</f>
        <v>0</v>
      </c>
    </row>
    <row r="290" spans="1:9" x14ac:dyDescent="0.35">
      <c r="A290" t="s">
        <v>13</v>
      </c>
      <c r="B290" t="s">
        <v>92</v>
      </c>
      <c r="C290" t="s">
        <v>81</v>
      </c>
      <c r="D290" t="s">
        <v>104</v>
      </c>
      <c r="E290" t="s">
        <v>73</v>
      </c>
      <c r="F290" t="s">
        <v>74</v>
      </c>
      <c r="G290" t="s">
        <v>113</v>
      </c>
      <c r="H290" t="s">
        <v>84</v>
      </c>
      <c r="I290" s="76">
        <v>0</v>
      </c>
    </row>
    <row r="291" spans="1:9" x14ac:dyDescent="0.35">
      <c r="A291" t="s">
        <v>13</v>
      </c>
      <c r="B291" t="s">
        <v>92</v>
      </c>
      <c r="C291" t="s">
        <v>81</v>
      </c>
      <c r="D291" t="s">
        <v>106</v>
      </c>
      <c r="E291" t="s">
        <v>73</v>
      </c>
      <c r="F291" t="s">
        <v>74</v>
      </c>
      <c r="G291" t="s">
        <v>113</v>
      </c>
      <c r="H291" t="s">
        <v>84</v>
      </c>
      <c r="I291" s="76">
        <v>0</v>
      </c>
    </row>
    <row r="292" spans="1:9" x14ac:dyDescent="0.35">
      <c r="A292" t="s">
        <v>13</v>
      </c>
      <c r="B292" t="s">
        <v>93</v>
      </c>
      <c r="C292" t="s">
        <v>81</v>
      </c>
      <c r="D292" t="s">
        <v>131</v>
      </c>
      <c r="E292" t="s">
        <v>73</v>
      </c>
      <c r="F292" t="s">
        <v>74</v>
      </c>
      <c r="G292" t="s">
        <v>113</v>
      </c>
      <c r="H292" t="s">
        <v>84</v>
      </c>
      <c r="I292" s="76">
        <f>'SUT_EU27 total'!$S$109</f>
        <v>0</v>
      </c>
    </row>
    <row r="293" spans="1:9" x14ac:dyDescent="0.35">
      <c r="A293" t="s">
        <v>13</v>
      </c>
      <c r="B293" t="s">
        <v>93</v>
      </c>
      <c r="C293" t="s">
        <v>81</v>
      </c>
      <c r="D293" t="s">
        <v>101</v>
      </c>
      <c r="E293" t="s">
        <v>73</v>
      </c>
      <c r="F293" t="s">
        <v>74</v>
      </c>
      <c r="G293" t="s">
        <v>113</v>
      </c>
      <c r="H293" t="s">
        <v>84</v>
      </c>
      <c r="I293" s="76" cm="1">
        <f t="array" ref="I293:I295">'SUT_EU27 total'!$S$117:$S$119</f>
        <v>0</v>
      </c>
    </row>
    <row r="294" spans="1:9" x14ac:dyDescent="0.35">
      <c r="A294" t="s">
        <v>13</v>
      </c>
      <c r="B294" t="s">
        <v>93</v>
      </c>
      <c r="C294" t="s">
        <v>81</v>
      </c>
      <c r="D294" t="s">
        <v>104</v>
      </c>
      <c r="E294" t="s">
        <v>73</v>
      </c>
      <c r="F294" t="s">
        <v>74</v>
      </c>
      <c r="G294" t="s">
        <v>113</v>
      </c>
      <c r="H294" t="s">
        <v>84</v>
      </c>
      <c r="I294" s="76">
        <v>0</v>
      </c>
    </row>
    <row r="295" spans="1:9" x14ac:dyDescent="0.35">
      <c r="A295" t="s">
        <v>13</v>
      </c>
      <c r="B295" t="s">
        <v>93</v>
      </c>
      <c r="C295" t="s">
        <v>81</v>
      </c>
      <c r="D295" t="s">
        <v>106</v>
      </c>
      <c r="E295" t="s">
        <v>73</v>
      </c>
      <c r="F295" t="s">
        <v>74</v>
      </c>
      <c r="G295" t="s">
        <v>113</v>
      </c>
      <c r="H295" t="s">
        <v>84</v>
      </c>
      <c r="I295" s="76">
        <v>0</v>
      </c>
    </row>
    <row r="296" spans="1:9" x14ac:dyDescent="0.35">
      <c r="A296" t="s">
        <v>13</v>
      </c>
      <c r="B296" t="s">
        <v>73</v>
      </c>
      <c r="C296" t="s">
        <v>74</v>
      </c>
      <c r="D296" t="s">
        <v>123</v>
      </c>
      <c r="E296" t="s">
        <v>73</v>
      </c>
      <c r="F296" t="s">
        <v>81</v>
      </c>
      <c r="G296" t="s">
        <v>115</v>
      </c>
      <c r="H296" t="s">
        <v>84</v>
      </c>
      <c r="I296" s="76" cm="1">
        <f t="array" ref="I296:I302">TRANSPOSE('2030 pathways'!C8:I8)</f>
        <v>0.11799999999999999</v>
      </c>
    </row>
    <row r="297" spans="1:9" x14ac:dyDescent="0.35">
      <c r="A297" t="s">
        <v>13</v>
      </c>
      <c r="B297" t="s">
        <v>73</v>
      </c>
      <c r="C297" t="s">
        <v>74</v>
      </c>
      <c r="D297" t="s">
        <v>127</v>
      </c>
      <c r="E297" t="s">
        <v>73</v>
      </c>
      <c r="F297" t="s">
        <v>81</v>
      </c>
      <c r="G297" t="s">
        <v>115</v>
      </c>
      <c r="H297" t="s">
        <v>84</v>
      </c>
      <c r="I297" s="76">
        <v>1.18E-2</v>
      </c>
    </row>
    <row r="298" spans="1:9" x14ac:dyDescent="0.35">
      <c r="A298" t="s">
        <v>13</v>
      </c>
      <c r="B298" t="s">
        <v>73</v>
      </c>
      <c r="C298" t="s">
        <v>74</v>
      </c>
      <c r="D298" t="s">
        <v>128</v>
      </c>
      <c r="E298" t="s">
        <v>73</v>
      </c>
      <c r="F298" t="s">
        <v>81</v>
      </c>
      <c r="G298" t="s">
        <v>115</v>
      </c>
      <c r="H298" t="s">
        <v>84</v>
      </c>
      <c r="I298" s="76">
        <v>2.3599999999999999E-2</v>
      </c>
    </row>
    <row r="299" spans="1:9" x14ac:dyDescent="0.35">
      <c r="A299" t="s">
        <v>13</v>
      </c>
      <c r="B299" t="s">
        <v>73</v>
      </c>
      <c r="C299" t="s">
        <v>74</v>
      </c>
      <c r="D299" t="s">
        <v>129</v>
      </c>
      <c r="E299" t="s">
        <v>73</v>
      </c>
      <c r="F299" t="s">
        <v>81</v>
      </c>
      <c r="G299" t="s">
        <v>115</v>
      </c>
      <c r="H299" t="s">
        <v>84</v>
      </c>
      <c r="I299" s="76">
        <v>6.4899999999999999E-2</v>
      </c>
    </row>
    <row r="300" spans="1:9" x14ac:dyDescent="0.35">
      <c r="A300" t="s">
        <v>13</v>
      </c>
      <c r="B300" t="s">
        <v>73</v>
      </c>
      <c r="C300" t="s">
        <v>74</v>
      </c>
      <c r="D300" t="s">
        <v>77</v>
      </c>
      <c r="E300" t="s">
        <v>73</v>
      </c>
      <c r="F300" t="s">
        <v>81</v>
      </c>
      <c r="G300" t="s">
        <v>115</v>
      </c>
      <c r="H300" t="s">
        <v>84</v>
      </c>
      <c r="I300" s="76">
        <v>4.1300000000000003E-2</v>
      </c>
    </row>
    <row r="301" spans="1:9" x14ac:dyDescent="0.35">
      <c r="A301" t="s">
        <v>13</v>
      </c>
      <c r="B301" t="s">
        <v>73</v>
      </c>
      <c r="C301" t="s">
        <v>74</v>
      </c>
      <c r="D301" t="s">
        <v>130</v>
      </c>
      <c r="E301" t="s">
        <v>73</v>
      </c>
      <c r="F301" t="s">
        <v>81</v>
      </c>
      <c r="G301" t="s">
        <v>115</v>
      </c>
      <c r="H301" t="s">
        <v>84</v>
      </c>
      <c r="I301" s="76">
        <v>0.33040000000000003</v>
      </c>
    </row>
    <row r="302" spans="1:9" x14ac:dyDescent="0.35">
      <c r="A302" t="s">
        <v>13</v>
      </c>
      <c r="B302" t="s">
        <v>73</v>
      </c>
      <c r="C302" t="s">
        <v>74</v>
      </c>
      <c r="D302" t="s">
        <v>132</v>
      </c>
      <c r="E302" t="s">
        <v>73</v>
      </c>
      <c r="F302" t="s">
        <v>81</v>
      </c>
      <c r="G302" t="s">
        <v>115</v>
      </c>
      <c r="H302" t="s">
        <v>84</v>
      </c>
      <c r="I302" s="76">
        <v>0.41</v>
      </c>
    </row>
    <row r="303" spans="1:9" x14ac:dyDescent="0.35">
      <c r="A303" t="s">
        <v>13</v>
      </c>
      <c r="B303" t="s">
        <v>73</v>
      </c>
      <c r="C303" t="s">
        <v>74</v>
      </c>
      <c r="D303" t="s">
        <v>133</v>
      </c>
      <c r="E303" t="s">
        <v>73</v>
      </c>
      <c r="F303" t="s">
        <v>81</v>
      </c>
      <c r="G303" t="s">
        <v>115</v>
      </c>
      <c r="H303" t="s">
        <v>84</v>
      </c>
      <c r="I303" s="76">
        <v>0</v>
      </c>
    </row>
    <row r="304" spans="1:9" x14ac:dyDescent="0.35">
      <c r="A304" s="398" t="s">
        <v>14</v>
      </c>
      <c r="B304" s="399" t="s">
        <v>73</v>
      </c>
      <c r="C304" s="399" t="s">
        <v>81</v>
      </c>
      <c r="D304" s="399" t="s">
        <v>115</v>
      </c>
      <c r="E304" s="399" t="s">
        <v>73</v>
      </c>
      <c r="F304" s="399" t="s">
        <v>74</v>
      </c>
      <c r="G304" s="399" t="s">
        <v>102</v>
      </c>
      <c r="H304" s="399" t="s">
        <v>84</v>
      </c>
      <c r="I304" s="400" cm="1">
        <f t="array" ref="I304:I305">'SUT_EU27 total'!$J$19:$J$20</f>
        <v>11.828571428571427</v>
      </c>
    </row>
    <row r="305" spans="1:9" x14ac:dyDescent="0.35">
      <c r="A305" t="s">
        <v>14</v>
      </c>
      <c r="B305" t="s">
        <v>73</v>
      </c>
      <c r="C305" t="s">
        <v>81</v>
      </c>
      <c r="D305" t="s">
        <v>116</v>
      </c>
      <c r="E305" t="s">
        <v>73</v>
      </c>
      <c r="F305" t="s">
        <v>74</v>
      </c>
      <c r="G305" t="s">
        <v>102</v>
      </c>
      <c r="H305" t="s">
        <v>84</v>
      </c>
      <c r="I305" s="76">
        <v>3.3421988920214002E-2</v>
      </c>
    </row>
    <row r="306" spans="1:9" x14ac:dyDescent="0.35">
      <c r="A306" t="s">
        <v>14</v>
      </c>
      <c r="B306" t="s">
        <v>73</v>
      </c>
      <c r="C306" t="s">
        <v>81</v>
      </c>
      <c r="D306" t="s">
        <v>117</v>
      </c>
      <c r="E306" t="s">
        <v>73</v>
      </c>
      <c r="F306" t="s">
        <v>74</v>
      </c>
      <c r="G306" t="s">
        <v>102</v>
      </c>
      <c r="H306" t="s">
        <v>84</v>
      </c>
      <c r="I306" s="76">
        <f>'SUT_EU27 total'!$J$27</f>
        <v>20.996100000000002</v>
      </c>
    </row>
    <row r="307" spans="1:9" x14ac:dyDescent="0.35">
      <c r="A307" t="s">
        <v>14</v>
      </c>
      <c r="B307" t="s">
        <v>73</v>
      </c>
      <c r="C307" t="s">
        <v>81</v>
      </c>
      <c r="D307" t="s">
        <v>101</v>
      </c>
      <c r="E307" t="s">
        <v>73</v>
      </c>
      <c r="F307" t="s">
        <v>74</v>
      </c>
      <c r="G307" t="s">
        <v>102</v>
      </c>
      <c r="H307" t="s">
        <v>84</v>
      </c>
      <c r="I307" s="76" cm="1">
        <f t="array" ref="I307:I309">'SUT_EU27 total'!$J$32:$J$34</f>
        <v>0.13437998483817604</v>
      </c>
    </row>
    <row r="308" spans="1:9" x14ac:dyDescent="0.35">
      <c r="A308" t="s">
        <v>14</v>
      </c>
      <c r="B308" t="s">
        <v>73</v>
      </c>
      <c r="C308" t="s">
        <v>81</v>
      </c>
      <c r="D308" t="s">
        <v>104</v>
      </c>
      <c r="E308" t="s">
        <v>73</v>
      </c>
      <c r="F308" t="s">
        <v>74</v>
      </c>
      <c r="G308" t="s">
        <v>102</v>
      </c>
      <c r="H308" t="s">
        <v>84</v>
      </c>
      <c r="I308" s="76">
        <v>0.25443647306582401</v>
      </c>
    </row>
    <row r="309" spans="1:9" x14ac:dyDescent="0.35">
      <c r="A309" t="s">
        <v>14</v>
      </c>
      <c r="B309" t="s">
        <v>73</v>
      </c>
      <c r="C309" t="s">
        <v>81</v>
      </c>
      <c r="D309" t="s">
        <v>106</v>
      </c>
      <c r="E309" t="s">
        <v>73</v>
      </c>
      <c r="F309" t="s">
        <v>74</v>
      </c>
      <c r="G309" t="s">
        <v>102</v>
      </c>
      <c r="H309" t="s">
        <v>84</v>
      </c>
      <c r="I309" s="76">
        <v>0.86543018049599985</v>
      </c>
    </row>
    <row r="310" spans="1:9" x14ac:dyDescent="0.35">
      <c r="A310" t="s">
        <v>14</v>
      </c>
      <c r="B310" t="s">
        <v>88</v>
      </c>
      <c r="C310" t="s">
        <v>81</v>
      </c>
      <c r="D310" t="s">
        <v>115</v>
      </c>
      <c r="E310" t="s">
        <v>73</v>
      </c>
      <c r="F310" t="s">
        <v>74</v>
      </c>
      <c r="G310" t="s">
        <v>102</v>
      </c>
      <c r="H310" t="s">
        <v>84</v>
      </c>
      <c r="I310" s="76" cm="1">
        <f t="array" ref="I310:I311">'SUT_EU27 total'!$J$36:$J$37</f>
        <v>78.857142857142847</v>
      </c>
    </row>
    <row r="311" spans="1:9" x14ac:dyDescent="0.35">
      <c r="A311" t="s">
        <v>14</v>
      </c>
      <c r="B311" t="s">
        <v>88</v>
      </c>
      <c r="C311" t="s">
        <v>81</v>
      </c>
      <c r="D311" t="s">
        <v>116</v>
      </c>
      <c r="E311" t="s">
        <v>73</v>
      </c>
      <c r="F311" t="s">
        <v>74</v>
      </c>
      <c r="G311" t="s">
        <v>102</v>
      </c>
      <c r="H311" t="s">
        <v>84</v>
      </c>
      <c r="I311" s="76">
        <v>0.7862213561563367</v>
      </c>
    </row>
    <row r="312" spans="1:9" x14ac:dyDescent="0.35">
      <c r="A312" t="s">
        <v>14</v>
      </c>
      <c r="B312" t="s">
        <v>88</v>
      </c>
      <c r="C312" t="s">
        <v>81</v>
      </c>
      <c r="D312" t="s">
        <v>117</v>
      </c>
      <c r="E312" t="s">
        <v>73</v>
      </c>
      <c r="F312" t="s">
        <v>74</v>
      </c>
      <c r="G312" t="s">
        <v>102</v>
      </c>
      <c r="H312" t="s">
        <v>84</v>
      </c>
      <c r="I312" s="76">
        <f>'SUT_EU27 total'!$J$44</f>
        <v>286.26390000000004</v>
      </c>
    </row>
    <row r="313" spans="1:9" x14ac:dyDescent="0.35">
      <c r="A313" t="s">
        <v>14</v>
      </c>
      <c r="B313" t="s">
        <v>88</v>
      </c>
      <c r="C313" t="s">
        <v>81</v>
      </c>
      <c r="D313" t="s">
        <v>101</v>
      </c>
      <c r="E313" t="s">
        <v>73</v>
      </c>
      <c r="F313" t="s">
        <v>74</v>
      </c>
      <c r="G313" t="s">
        <v>102</v>
      </c>
      <c r="H313" t="s">
        <v>84</v>
      </c>
      <c r="I313" s="76" cm="1">
        <f t="array" ref="I313:I315">'SUT_EU27 total'!$J$49:$J$51</f>
        <v>0</v>
      </c>
    </row>
    <row r="314" spans="1:9" x14ac:dyDescent="0.35">
      <c r="A314" t="s">
        <v>14</v>
      </c>
      <c r="B314" t="s">
        <v>88</v>
      </c>
      <c r="C314" t="s">
        <v>81</v>
      </c>
      <c r="D314" t="s">
        <v>104</v>
      </c>
      <c r="E314" t="s">
        <v>73</v>
      </c>
      <c r="F314" t="s">
        <v>74</v>
      </c>
      <c r="G314" t="s">
        <v>102</v>
      </c>
      <c r="H314" t="s">
        <v>84</v>
      </c>
      <c r="I314" s="76">
        <v>0</v>
      </c>
    </row>
    <row r="315" spans="1:9" x14ac:dyDescent="0.35">
      <c r="A315" t="s">
        <v>14</v>
      </c>
      <c r="B315" t="s">
        <v>88</v>
      </c>
      <c r="C315" t="s">
        <v>81</v>
      </c>
      <c r="D315" t="s">
        <v>106</v>
      </c>
      <c r="E315" t="s">
        <v>73</v>
      </c>
      <c r="F315" t="s">
        <v>74</v>
      </c>
      <c r="G315" t="s">
        <v>102</v>
      </c>
      <c r="H315" t="s">
        <v>84</v>
      </c>
      <c r="I315" s="76">
        <v>0</v>
      </c>
    </row>
    <row r="316" spans="1:9" x14ac:dyDescent="0.35">
      <c r="A316" t="s">
        <v>14</v>
      </c>
      <c r="B316" t="s">
        <v>90</v>
      </c>
      <c r="C316" t="s">
        <v>81</v>
      </c>
      <c r="D316" t="s">
        <v>115</v>
      </c>
      <c r="E316" t="s">
        <v>73</v>
      </c>
      <c r="F316" t="s">
        <v>74</v>
      </c>
      <c r="G316" t="s">
        <v>102</v>
      </c>
      <c r="H316" t="s">
        <v>84</v>
      </c>
      <c r="I316" s="76" cm="1">
        <f t="array" ref="I316:I317">'SUT_EU27 total'!$J$53:$J$54</f>
        <v>7.7904761904761894</v>
      </c>
    </row>
    <row r="317" spans="1:9" x14ac:dyDescent="0.35">
      <c r="A317" t="s">
        <v>14</v>
      </c>
      <c r="B317" t="s">
        <v>90</v>
      </c>
      <c r="C317" t="s">
        <v>81</v>
      </c>
      <c r="D317" t="s">
        <v>116</v>
      </c>
      <c r="E317" t="s">
        <v>73</v>
      </c>
      <c r="F317" t="s">
        <v>74</v>
      </c>
      <c r="G317" t="s">
        <v>102</v>
      </c>
      <c r="H317" t="s">
        <v>84</v>
      </c>
      <c r="I317" s="76">
        <v>1.5473889063756709E-2</v>
      </c>
    </row>
    <row r="318" spans="1:9" x14ac:dyDescent="0.35">
      <c r="A318" t="s">
        <v>14</v>
      </c>
      <c r="B318" t="s">
        <v>90</v>
      </c>
      <c r="C318" t="s">
        <v>81</v>
      </c>
      <c r="D318" t="s">
        <v>117</v>
      </c>
      <c r="E318" t="s">
        <v>73</v>
      </c>
      <c r="F318" t="s">
        <v>74</v>
      </c>
      <c r="G318" t="s">
        <v>102</v>
      </c>
      <c r="H318" t="s">
        <v>84</v>
      </c>
      <c r="I318" s="76">
        <f>'SUT_EU27 total'!$J$61</f>
        <v>11.2662</v>
      </c>
    </row>
    <row r="319" spans="1:9" x14ac:dyDescent="0.35">
      <c r="A319" t="s">
        <v>14</v>
      </c>
      <c r="B319" t="s">
        <v>90</v>
      </c>
      <c r="C319" t="s">
        <v>81</v>
      </c>
      <c r="D319" t="s">
        <v>101</v>
      </c>
      <c r="E319" t="s">
        <v>73</v>
      </c>
      <c r="F319" t="s">
        <v>74</v>
      </c>
      <c r="G319" t="s">
        <v>102</v>
      </c>
      <c r="H319" t="s">
        <v>84</v>
      </c>
      <c r="I319" s="76" cm="1">
        <f t="array" ref="I319:I321">'SUT_EU27 total'!$J$66:$J$68</f>
        <v>0</v>
      </c>
    </row>
    <row r="320" spans="1:9" x14ac:dyDescent="0.35">
      <c r="A320" t="s">
        <v>14</v>
      </c>
      <c r="B320" t="s">
        <v>90</v>
      </c>
      <c r="C320" t="s">
        <v>81</v>
      </c>
      <c r="D320" t="s">
        <v>104</v>
      </c>
      <c r="E320" t="s">
        <v>73</v>
      </c>
      <c r="F320" t="s">
        <v>74</v>
      </c>
      <c r="G320" t="s">
        <v>102</v>
      </c>
      <c r="H320" t="s">
        <v>84</v>
      </c>
      <c r="I320" s="76">
        <v>0</v>
      </c>
    </row>
    <row r="321" spans="1:9" x14ac:dyDescent="0.35">
      <c r="A321" t="s">
        <v>14</v>
      </c>
      <c r="B321" t="s">
        <v>90</v>
      </c>
      <c r="C321" t="s">
        <v>81</v>
      </c>
      <c r="D321" t="s">
        <v>106</v>
      </c>
      <c r="E321" t="s">
        <v>73</v>
      </c>
      <c r="F321" t="s">
        <v>74</v>
      </c>
      <c r="G321" t="s">
        <v>102</v>
      </c>
      <c r="H321" t="s">
        <v>84</v>
      </c>
      <c r="I321" s="76">
        <v>0</v>
      </c>
    </row>
    <row r="322" spans="1:9" x14ac:dyDescent="0.35">
      <c r="A322" t="s">
        <v>14</v>
      </c>
      <c r="B322" t="s">
        <v>91</v>
      </c>
      <c r="C322" t="s">
        <v>81</v>
      </c>
      <c r="D322" t="s">
        <v>115</v>
      </c>
      <c r="E322" t="s">
        <v>73</v>
      </c>
      <c r="F322" t="s">
        <v>74</v>
      </c>
      <c r="G322" t="s">
        <v>102</v>
      </c>
      <c r="H322" t="s">
        <v>84</v>
      </c>
      <c r="I322" s="76" cm="1">
        <f t="array" ref="I322:I323">'SUT_EU27 total'!$J$70:$J$71</f>
        <v>15.771428571428569</v>
      </c>
    </row>
    <row r="323" spans="1:9" x14ac:dyDescent="0.35">
      <c r="A323" t="s">
        <v>14</v>
      </c>
      <c r="B323" t="s">
        <v>91</v>
      </c>
      <c r="C323" t="s">
        <v>81</v>
      </c>
      <c r="D323" t="s">
        <v>116</v>
      </c>
      <c r="E323" t="s">
        <v>73</v>
      </c>
      <c r="F323" t="s">
        <v>74</v>
      </c>
      <c r="G323" t="s">
        <v>102</v>
      </c>
      <c r="H323" t="s">
        <v>84</v>
      </c>
      <c r="I323" s="76">
        <v>8.7507175559917313E-2</v>
      </c>
    </row>
    <row r="324" spans="1:9" x14ac:dyDescent="0.35">
      <c r="A324" t="s">
        <v>14</v>
      </c>
      <c r="B324" t="s">
        <v>91</v>
      </c>
      <c r="C324" t="s">
        <v>81</v>
      </c>
      <c r="D324" t="s">
        <v>117</v>
      </c>
      <c r="E324" t="s">
        <v>73</v>
      </c>
      <c r="F324" t="s">
        <v>74</v>
      </c>
      <c r="G324" t="s">
        <v>102</v>
      </c>
      <c r="H324" t="s">
        <v>84</v>
      </c>
      <c r="I324" s="76">
        <f>'SUT_EU27 total'!$J$78</f>
        <v>41.4801</v>
      </c>
    </row>
    <row r="325" spans="1:9" x14ac:dyDescent="0.35">
      <c r="A325" t="s">
        <v>14</v>
      </c>
      <c r="B325" t="s">
        <v>91</v>
      </c>
      <c r="C325" t="s">
        <v>81</v>
      </c>
      <c r="D325" t="s">
        <v>101</v>
      </c>
      <c r="E325" t="s">
        <v>73</v>
      </c>
      <c r="F325" t="s">
        <v>74</v>
      </c>
      <c r="G325" t="s">
        <v>102</v>
      </c>
      <c r="H325" t="s">
        <v>84</v>
      </c>
      <c r="I325" s="76" cm="1">
        <f t="array" ref="I325:I327">'SUT_EU27 total'!$J$83:$J$85</f>
        <v>0</v>
      </c>
    </row>
    <row r="326" spans="1:9" x14ac:dyDescent="0.35">
      <c r="A326" t="s">
        <v>14</v>
      </c>
      <c r="B326" t="s">
        <v>91</v>
      </c>
      <c r="C326" t="s">
        <v>81</v>
      </c>
      <c r="D326" t="s">
        <v>104</v>
      </c>
      <c r="E326" t="s">
        <v>73</v>
      </c>
      <c r="F326" t="s">
        <v>74</v>
      </c>
      <c r="G326" t="s">
        <v>102</v>
      </c>
      <c r="H326" t="s">
        <v>84</v>
      </c>
      <c r="I326" s="76">
        <v>0</v>
      </c>
    </row>
    <row r="327" spans="1:9" x14ac:dyDescent="0.35">
      <c r="A327" t="s">
        <v>14</v>
      </c>
      <c r="B327" t="s">
        <v>91</v>
      </c>
      <c r="C327" t="s">
        <v>81</v>
      </c>
      <c r="D327" t="s">
        <v>106</v>
      </c>
      <c r="E327" t="s">
        <v>73</v>
      </c>
      <c r="F327" t="s">
        <v>74</v>
      </c>
      <c r="G327" t="s">
        <v>102</v>
      </c>
      <c r="H327" t="s">
        <v>84</v>
      </c>
      <c r="I327" s="76">
        <v>0</v>
      </c>
    </row>
    <row r="328" spans="1:9" x14ac:dyDescent="0.35">
      <c r="A328" t="s">
        <v>14</v>
      </c>
      <c r="B328" t="s">
        <v>92</v>
      </c>
      <c r="C328" t="s">
        <v>81</v>
      </c>
      <c r="D328" t="s">
        <v>115</v>
      </c>
      <c r="E328" t="s">
        <v>73</v>
      </c>
      <c r="F328" t="s">
        <v>74</v>
      </c>
      <c r="G328" t="s">
        <v>102</v>
      </c>
      <c r="H328" t="s">
        <v>84</v>
      </c>
      <c r="I328" s="76" cm="1">
        <f t="array" ref="I328:I329">'SUT_EU27 total'!$J$87:$J$88</f>
        <v>6.6239999999999997</v>
      </c>
    </row>
    <row r="329" spans="1:9" x14ac:dyDescent="0.35">
      <c r="A329" t="s">
        <v>14</v>
      </c>
      <c r="B329" t="s">
        <v>92</v>
      </c>
      <c r="C329" t="s">
        <v>81</v>
      </c>
      <c r="D329" t="s">
        <v>116</v>
      </c>
      <c r="E329" t="s">
        <v>73</v>
      </c>
      <c r="F329" t="s">
        <v>74</v>
      </c>
      <c r="G329" t="s">
        <v>102</v>
      </c>
      <c r="H329" t="s">
        <v>84</v>
      </c>
      <c r="I329" s="76">
        <v>6.0040746268656714E-2</v>
      </c>
    </row>
    <row r="330" spans="1:9" x14ac:dyDescent="0.35">
      <c r="A330" t="s">
        <v>14</v>
      </c>
      <c r="B330" t="s">
        <v>92</v>
      </c>
      <c r="C330" t="s">
        <v>81</v>
      </c>
      <c r="D330" t="s">
        <v>117</v>
      </c>
      <c r="E330" t="s">
        <v>73</v>
      </c>
      <c r="F330" t="s">
        <v>74</v>
      </c>
      <c r="G330" t="s">
        <v>102</v>
      </c>
      <c r="H330" t="s">
        <v>84</v>
      </c>
      <c r="I330" s="76">
        <f>'SUT_EU27 total'!$J$95</f>
        <v>13.3146</v>
      </c>
    </row>
    <row r="331" spans="1:9" x14ac:dyDescent="0.35">
      <c r="A331" t="s">
        <v>14</v>
      </c>
      <c r="B331" t="s">
        <v>92</v>
      </c>
      <c r="C331" t="s">
        <v>81</v>
      </c>
      <c r="D331" t="s">
        <v>101</v>
      </c>
      <c r="E331" t="s">
        <v>73</v>
      </c>
      <c r="F331" t="s">
        <v>74</v>
      </c>
      <c r="G331" t="s">
        <v>102</v>
      </c>
      <c r="H331" t="s">
        <v>84</v>
      </c>
      <c r="I331" s="76" cm="1">
        <f t="array" ref="I331:I333">'SUT_EU27 total'!$J$100:$J$102</f>
        <v>0</v>
      </c>
    </row>
    <row r="332" spans="1:9" x14ac:dyDescent="0.35">
      <c r="A332" t="s">
        <v>14</v>
      </c>
      <c r="B332" t="s">
        <v>92</v>
      </c>
      <c r="C332" t="s">
        <v>81</v>
      </c>
      <c r="D332" t="s">
        <v>104</v>
      </c>
      <c r="E332" t="s">
        <v>73</v>
      </c>
      <c r="F332" t="s">
        <v>74</v>
      </c>
      <c r="G332" t="s">
        <v>102</v>
      </c>
      <c r="H332" t="s">
        <v>84</v>
      </c>
      <c r="I332" s="76">
        <v>0</v>
      </c>
    </row>
    <row r="333" spans="1:9" x14ac:dyDescent="0.35">
      <c r="A333" t="s">
        <v>14</v>
      </c>
      <c r="B333" t="s">
        <v>92</v>
      </c>
      <c r="C333" t="s">
        <v>81</v>
      </c>
      <c r="D333" t="s">
        <v>106</v>
      </c>
      <c r="E333" t="s">
        <v>73</v>
      </c>
      <c r="F333" t="s">
        <v>74</v>
      </c>
      <c r="G333" t="s">
        <v>102</v>
      </c>
      <c r="H333" t="s">
        <v>84</v>
      </c>
      <c r="I333" s="76">
        <v>0</v>
      </c>
    </row>
    <row r="334" spans="1:9" x14ac:dyDescent="0.35">
      <c r="A334" t="s">
        <v>14</v>
      </c>
      <c r="B334" t="s">
        <v>93</v>
      </c>
      <c r="C334" t="s">
        <v>81</v>
      </c>
      <c r="D334" t="s">
        <v>115</v>
      </c>
      <c r="E334" t="s">
        <v>73</v>
      </c>
      <c r="F334" t="s">
        <v>74</v>
      </c>
      <c r="G334" t="s">
        <v>102</v>
      </c>
      <c r="H334" t="s">
        <v>84</v>
      </c>
      <c r="I334" s="76" cm="1">
        <f t="array" ref="I334:I335">'SUT_EU27 total'!$J$104:$J$105</f>
        <v>44.633142857142865</v>
      </c>
    </row>
    <row r="335" spans="1:9" x14ac:dyDescent="0.35">
      <c r="A335" t="s">
        <v>14</v>
      </c>
      <c r="B335" t="s">
        <v>93</v>
      </c>
      <c r="C335" t="s">
        <v>81</v>
      </c>
      <c r="D335" t="s">
        <v>116</v>
      </c>
      <c r="E335" t="s">
        <v>73</v>
      </c>
      <c r="F335" t="s">
        <v>74</v>
      </c>
      <c r="G335" t="s">
        <v>102</v>
      </c>
      <c r="H335" t="s">
        <v>84</v>
      </c>
      <c r="I335" s="76">
        <v>0.3673348440311186</v>
      </c>
    </row>
    <row r="336" spans="1:9" x14ac:dyDescent="0.35">
      <c r="A336" t="s">
        <v>14</v>
      </c>
      <c r="B336" t="s">
        <v>93</v>
      </c>
      <c r="C336" t="s">
        <v>81</v>
      </c>
      <c r="D336" t="s">
        <v>117</v>
      </c>
      <c r="E336" t="s">
        <v>73</v>
      </c>
      <c r="F336" t="s">
        <v>74</v>
      </c>
      <c r="G336" t="s">
        <v>102</v>
      </c>
      <c r="H336" t="s">
        <v>84</v>
      </c>
      <c r="I336" s="76">
        <f>'SUT_EU27 total'!$J$112</f>
        <v>138.77909999999997</v>
      </c>
    </row>
    <row r="337" spans="1:9" x14ac:dyDescent="0.35">
      <c r="A337" t="s">
        <v>14</v>
      </c>
      <c r="B337" t="s">
        <v>93</v>
      </c>
      <c r="C337" t="s">
        <v>81</v>
      </c>
      <c r="D337" t="s">
        <v>101</v>
      </c>
      <c r="E337" t="s">
        <v>73</v>
      </c>
      <c r="F337" t="s">
        <v>74</v>
      </c>
      <c r="G337" t="s">
        <v>102</v>
      </c>
      <c r="H337" t="s">
        <v>84</v>
      </c>
      <c r="I337" s="76" cm="1">
        <f t="array" ref="I337:I339">'SUT_EU27 total'!$J$117:$J$119</f>
        <v>0</v>
      </c>
    </row>
    <row r="338" spans="1:9" x14ac:dyDescent="0.35">
      <c r="A338" t="s">
        <v>14</v>
      </c>
      <c r="B338" t="s">
        <v>93</v>
      </c>
      <c r="C338" t="s">
        <v>81</v>
      </c>
      <c r="D338" t="s">
        <v>104</v>
      </c>
      <c r="E338" t="s">
        <v>73</v>
      </c>
      <c r="F338" t="s">
        <v>74</v>
      </c>
      <c r="G338" t="s">
        <v>102</v>
      </c>
      <c r="H338" t="s">
        <v>84</v>
      </c>
      <c r="I338" s="76">
        <v>0</v>
      </c>
    </row>
    <row r="339" spans="1:9" x14ac:dyDescent="0.35">
      <c r="A339" t="s">
        <v>14</v>
      </c>
      <c r="B339" t="s">
        <v>93</v>
      </c>
      <c r="C339" t="s">
        <v>81</v>
      </c>
      <c r="D339" t="s">
        <v>106</v>
      </c>
      <c r="E339" t="s">
        <v>73</v>
      </c>
      <c r="F339" t="s">
        <v>74</v>
      </c>
      <c r="G339" t="s">
        <v>102</v>
      </c>
      <c r="H339" t="s">
        <v>84</v>
      </c>
      <c r="I339" s="76">
        <v>0</v>
      </c>
    </row>
    <row r="340" spans="1:9" x14ac:dyDescent="0.35">
      <c r="A340" t="s">
        <v>14</v>
      </c>
      <c r="B340" t="s">
        <v>73</v>
      </c>
      <c r="C340" t="s">
        <v>81</v>
      </c>
      <c r="D340" t="s">
        <v>118</v>
      </c>
      <c r="E340" t="s">
        <v>73</v>
      </c>
      <c r="F340" t="s">
        <v>74</v>
      </c>
      <c r="G340" t="s">
        <v>108</v>
      </c>
      <c r="H340" t="s">
        <v>84</v>
      </c>
      <c r="I340" s="76" cm="1">
        <f t="array" ref="I340:I342">'SUT_EU27 total'!$K$21:$K$23</f>
        <v>1.4582562144772118E-3</v>
      </c>
    </row>
    <row r="341" spans="1:9" x14ac:dyDescent="0.35">
      <c r="A341" t="s">
        <v>14</v>
      </c>
      <c r="B341" t="s">
        <v>73</v>
      </c>
      <c r="C341" t="s">
        <v>81</v>
      </c>
      <c r="D341" t="s">
        <v>119</v>
      </c>
      <c r="E341" t="s">
        <v>73</v>
      </c>
      <c r="F341" t="s">
        <v>74</v>
      </c>
      <c r="G341" t="s">
        <v>108</v>
      </c>
      <c r="H341" t="s">
        <v>84</v>
      </c>
      <c r="I341" s="76">
        <v>8.4634636521458274E-4</v>
      </c>
    </row>
    <row r="342" spans="1:9" x14ac:dyDescent="0.35">
      <c r="A342" t="s">
        <v>14</v>
      </c>
      <c r="B342" t="s">
        <v>73</v>
      </c>
      <c r="C342" t="s">
        <v>81</v>
      </c>
      <c r="D342" t="s">
        <v>120</v>
      </c>
      <c r="E342" t="s">
        <v>73</v>
      </c>
      <c r="F342" t="s">
        <v>74</v>
      </c>
      <c r="G342" t="s">
        <v>108</v>
      </c>
      <c r="H342" t="s">
        <v>84</v>
      </c>
      <c r="I342" s="76">
        <v>1.2517329093179335E-4</v>
      </c>
    </row>
    <row r="343" spans="1:9" x14ac:dyDescent="0.35">
      <c r="A343" t="s">
        <v>14</v>
      </c>
      <c r="B343" t="s">
        <v>73</v>
      </c>
      <c r="C343" t="s">
        <v>81</v>
      </c>
      <c r="D343" s="77" t="s">
        <v>121</v>
      </c>
      <c r="E343" t="s">
        <v>73</v>
      </c>
      <c r="F343" t="s">
        <v>74</v>
      </c>
      <c r="G343" t="s">
        <v>108</v>
      </c>
      <c r="H343" t="s">
        <v>84</v>
      </c>
      <c r="I343" s="76">
        <f>'SUT_EU27 total'!$K$25</f>
        <v>6.9749679999999994E-2</v>
      </c>
    </row>
    <row r="344" spans="1:9" x14ac:dyDescent="0.35">
      <c r="A344" t="s">
        <v>14</v>
      </c>
      <c r="B344" t="s">
        <v>73</v>
      </c>
      <c r="C344" t="s">
        <v>81</v>
      </c>
      <c r="D344" t="s">
        <v>117</v>
      </c>
      <c r="E344" t="s">
        <v>73</v>
      </c>
      <c r="F344" t="s">
        <v>74</v>
      </c>
      <c r="G344" t="s">
        <v>108</v>
      </c>
      <c r="H344" t="s">
        <v>84</v>
      </c>
      <c r="I344" s="76">
        <f>'SUT_EU27 total'!$K$27</f>
        <v>1.1932942595726979E-3</v>
      </c>
    </row>
    <row r="345" spans="1:9" x14ac:dyDescent="0.35">
      <c r="A345" t="s">
        <v>14</v>
      </c>
      <c r="B345" t="s">
        <v>73</v>
      </c>
      <c r="C345" t="s">
        <v>81</v>
      </c>
      <c r="D345" t="s">
        <v>122</v>
      </c>
      <c r="E345" t="s">
        <v>73</v>
      </c>
      <c r="F345" t="s">
        <v>74</v>
      </c>
      <c r="G345" t="s">
        <v>108</v>
      </c>
      <c r="H345" t="s">
        <v>84</v>
      </c>
      <c r="I345" s="76">
        <f>'SUT_EU27 total'!$K$30</f>
        <v>1.5965533412604042E-3</v>
      </c>
    </row>
    <row r="346" spans="1:9" x14ac:dyDescent="0.35">
      <c r="A346" t="s">
        <v>14</v>
      </c>
      <c r="B346" t="s">
        <v>73</v>
      </c>
      <c r="C346" t="s">
        <v>81</v>
      </c>
      <c r="D346" t="s">
        <v>101</v>
      </c>
      <c r="E346" t="s">
        <v>73</v>
      </c>
      <c r="F346" t="s">
        <v>74</v>
      </c>
      <c r="G346" t="s">
        <v>108</v>
      </c>
      <c r="H346" t="s">
        <v>84</v>
      </c>
      <c r="I346" s="76" cm="1">
        <f t="array" ref="I346:I348">'SUT_EU27 total'!$K$32:$K$34</f>
        <v>2.4335351040000001E-4</v>
      </c>
    </row>
    <row r="347" spans="1:9" x14ac:dyDescent="0.35">
      <c r="A347" t="s">
        <v>14</v>
      </c>
      <c r="B347" t="s">
        <v>73</v>
      </c>
      <c r="C347" t="s">
        <v>81</v>
      </c>
      <c r="D347" t="s">
        <v>104</v>
      </c>
      <c r="E347" t="s">
        <v>73</v>
      </c>
      <c r="F347" t="s">
        <v>74</v>
      </c>
      <c r="G347" t="s">
        <v>108</v>
      </c>
      <c r="H347" t="s">
        <v>84</v>
      </c>
      <c r="I347" s="76">
        <v>4.6076808959999996E-4</v>
      </c>
    </row>
    <row r="348" spans="1:9" x14ac:dyDescent="0.35">
      <c r="A348" t="s">
        <v>14</v>
      </c>
      <c r="B348" t="s">
        <v>73</v>
      </c>
      <c r="C348" t="s">
        <v>81</v>
      </c>
      <c r="D348" t="s">
        <v>106</v>
      </c>
      <c r="E348" t="s">
        <v>73</v>
      </c>
      <c r="F348" t="s">
        <v>74</v>
      </c>
      <c r="G348" t="s">
        <v>108</v>
      </c>
      <c r="H348" t="s">
        <v>84</v>
      </c>
      <c r="I348" s="76">
        <v>1.5672383999999996E-3</v>
      </c>
    </row>
    <row r="349" spans="1:9" x14ac:dyDescent="0.35">
      <c r="A349" t="s">
        <v>14</v>
      </c>
      <c r="B349" t="s">
        <v>88</v>
      </c>
      <c r="C349" t="s">
        <v>81</v>
      </c>
      <c r="D349" t="s">
        <v>118</v>
      </c>
      <c r="E349" t="s">
        <v>73</v>
      </c>
      <c r="F349" t="s">
        <v>74</v>
      </c>
      <c r="G349" t="s">
        <v>108</v>
      </c>
      <c r="H349" t="s">
        <v>84</v>
      </c>
      <c r="I349" s="76" cm="1">
        <f t="array" ref="I349:I351">'SUT_EU27 total'!$K$38:$K$40</f>
        <v>3.3029309855227888E-2</v>
      </c>
    </row>
    <row r="350" spans="1:9" x14ac:dyDescent="0.35">
      <c r="A350" t="s">
        <v>14</v>
      </c>
      <c r="B350" t="s">
        <v>88</v>
      </c>
      <c r="C350" t="s">
        <v>81</v>
      </c>
      <c r="D350" t="s">
        <v>119</v>
      </c>
      <c r="E350" t="s">
        <v>73</v>
      </c>
      <c r="F350" t="s">
        <v>74</v>
      </c>
      <c r="G350" t="s">
        <v>108</v>
      </c>
      <c r="H350" t="s">
        <v>84</v>
      </c>
      <c r="I350" s="76">
        <v>6.9915569300335089E-3</v>
      </c>
    </row>
    <row r="351" spans="1:9" x14ac:dyDescent="0.35">
      <c r="A351" t="s">
        <v>14</v>
      </c>
      <c r="B351" t="s">
        <v>88</v>
      </c>
      <c r="C351" t="s">
        <v>81</v>
      </c>
      <c r="D351" t="s">
        <v>120</v>
      </c>
      <c r="E351" t="s">
        <v>73</v>
      </c>
      <c r="F351" t="s">
        <v>74</v>
      </c>
      <c r="G351" t="s">
        <v>108</v>
      </c>
      <c r="H351" t="s">
        <v>84</v>
      </c>
      <c r="I351" s="76">
        <v>1.5283979779928203E-3</v>
      </c>
    </row>
    <row r="352" spans="1:9" x14ac:dyDescent="0.35">
      <c r="A352" t="s">
        <v>14</v>
      </c>
      <c r="B352" t="s">
        <v>88</v>
      </c>
      <c r="C352" t="s">
        <v>81</v>
      </c>
      <c r="D352" s="77" t="s">
        <v>121</v>
      </c>
      <c r="E352" t="s">
        <v>73</v>
      </c>
      <c r="F352" t="s">
        <v>74</v>
      </c>
      <c r="G352" t="s">
        <v>108</v>
      </c>
      <c r="H352" t="s">
        <v>84</v>
      </c>
      <c r="I352" s="76">
        <f>'SUT_EU27 total'!$K$42</f>
        <v>0</v>
      </c>
    </row>
    <row r="353" spans="1:9" x14ac:dyDescent="0.35">
      <c r="A353" t="s">
        <v>14</v>
      </c>
      <c r="B353" t="s">
        <v>88</v>
      </c>
      <c r="C353" t="s">
        <v>81</v>
      </c>
      <c r="D353" t="s">
        <v>117</v>
      </c>
      <c r="E353" t="s">
        <v>73</v>
      </c>
      <c r="F353" t="s">
        <v>74</v>
      </c>
      <c r="G353" t="s">
        <v>108</v>
      </c>
      <c r="H353" t="s">
        <v>84</v>
      </c>
      <c r="I353" s="76">
        <f>'SUT_EU27 total'!$K$44</f>
        <v>9.9090099874062521E-4</v>
      </c>
    </row>
    <row r="354" spans="1:9" x14ac:dyDescent="0.35">
      <c r="A354" t="s">
        <v>14</v>
      </c>
      <c r="B354" t="s">
        <v>88</v>
      </c>
      <c r="C354" t="s">
        <v>81</v>
      </c>
      <c r="D354" t="s">
        <v>122</v>
      </c>
      <c r="E354" t="s">
        <v>73</v>
      </c>
      <c r="F354" t="s">
        <v>74</v>
      </c>
      <c r="G354" t="s">
        <v>108</v>
      </c>
      <c r="H354" t="s">
        <v>84</v>
      </c>
      <c r="I354" s="76">
        <f>'SUT_EU27 total'!$K$47</f>
        <v>0</v>
      </c>
    </row>
    <row r="355" spans="1:9" x14ac:dyDescent="0.35">
      <c r="A355" t="s">
        <v>14</v>
      </c>
      <c r="B355" t="s">
        <v>88</v>
      </c>
      <c r="C355" t="s">
        <v>81</v>
      </c>
      <c r="D355" t="s">
        <v>101</v>
      </c>
      <c r="E355" t="s">
        <v>73</v>
      </c>
      <c r="F355" t="s">
        <v>74</v>
      </c>
      <c r="G355" t="s">
        <v>108</v>
      </c>
      <c r="H355" t="s">
        <v>84</v>
      </c>
      <c r="I355" s="76" cm="1">
        <f t="array" ref="I355:I357">'SUT_EU27 total'!$K$49:$K$51</f>
        <v>0</v>
      </c>
    </row>
    <row r="356" spans="1:9" x14ac:dyDescent="0.35">
      <c r="A356" t="s">
        <v>14</v>
      </c>
      <c r="B356" t="s">
        <v>88</v>
      </c>
      <c r="C356" t="s">
        <v>81</v>
      </c>
      <c r="D356" t="s">
        <v>104</v>
      </c>
      <c r="E356" t="s">
        <v>73</v>
      </c>
      <c r="F356" t="s">
        <v>74</v>
      </c>
      <c r="G356" t="s">
        <v>108</v>
      </c>
      <c r="H356" t="s">
        <v>84</v>
      </c>
      <c r="I356" s="76">
        <v>0</v>
      </c>
    </row>
    <row r="357" spans="1:9" x14ac:dyDescent="0.35">
      <c r="A357" t="s">
        <v>14</v>
      </c>
      <c r="B357" t="s">
        <v>88</v>
      </c>
      <c r="C357" t="s">
        <v>81</v>
      </c>
      <c r="D357" t="s">
        <v>106</v>
      </c>
      <c r="E357" t="s">
        <v>73</v>
      </c>
      <c r="F357" t="s">
        <v>74</v>
      </c>
      <c r="G357" t="s">
        <v>108</v>
      </c>
      <c r="H357" t="s">
        <v>84</v>
      </c>
      <c r="I357" s="76">
        <v>0</v>
      </c>
    </row>
    <row r="358" spans="1:9" x14ac:dyDescent="0.35">
      <c r="A358" t="s">
        <v>14</v>
      </c>
      <c r="B358" t="s">
        <v>90</v>
      </c>
      <c r="C358" t="s">
        <v>81</v>
      </c>
      <c r="D358" t="s">
        <v>118</v>
      </c>
      <c r="E358" t="s">
        <v>73</v>
      </c>
      <c r="F358" t="s">
        <v>74</v>
      </c>
      <c r="G358" t="s">
        <v>108</v>
      </c>
      <c r="H358" t="s">
        <v>84</v>
      </c>
      <c r="I358" s="76" cm="1">
        <f t="array" ref="I358:I360">'SUT_EU27 total'!$K$55:$K$57</f>
        <v>4.323194595174263E-3</v>
      </c>
    </row>
    <row r="359" spans="1:9" x14ac:dyDescent="0.35">
      <c r="A359" t="s">
        <v>14</v>
      </c>
      <c r="B359" t="s">
        <v>90</v>
      </c>
      <c r="C359" t="s">
        <v>81</v>
      </c>
      <c r="D359" t="s">
        <v>119</v>
      </c>
      <c r="E359" t="s">
        <v>73</v>
      </c>
      <c r="F359" t="s">
        <v>74</v>
      </c>
      <c r="G359" t="s">
        <v>108</v>
      </c>
      <c r="H359" t="s">
        <v>84</v>
      </c>
      <c r="I359" s="76">
        <v>1.2800331672655335E-3</v>
      </c>
    </row>
    <row r="360" spans="1:9" x14ac:dyDescent="0.35">
      <c r="A360" t="s">
        <v>14</v>
      </c>
      <c r="B360" t="s">
        <v>90</v>
      </c>
      <c r="C360" t="s">
        <v>81</v>
      </c>
      <c r="D360" t="s">
        <v>120</v>
      </c>
      <c r="E360" t="s">
        <v>73</v>
      </c>
      <c r="F360" t="s">
        <v>74</v>
      </c>
      <c r="G360" t="s">
        <v>108</v>
      </c>
      <c r="H360" t="s">
        <v>84</v>
      </c>
      <c r="I360" s="76">
        <v>5.6700291220540041E-3</v>
      </c>
    </row>
    <row r="361" spans="1:9" x14ac:dyDescent="0.35">
      <c r="A361" t="s">
        <v>14</v>
      </c>
      <c r="B361" t="s">
        <v>90</v>
      </c>
      <c r="C361" t="s">
        <v>81</v>
      </c>
      <c r="D361" s="77" t="s">
        <v>121</v>
      </c>
      <c r="E361" t="s">
        <v>73</v>
      </c>
      <c r="F361" t="s">
        <v>74</v>
      </c>
      <c r="G361" t="s">
        <v>108</v>
      </c>
      <c r="H361" t="s">
        <v>84</v>
      </c>
      <c r="I361" s="76">
        <f>'SUT_EU27 total'!$K$59</f>
        <v>0</v>
      </c>
    </row>
    <row r="362" spans="1:9" x14ac:dyDescent="0.35">
      <c r="A362" t="s">
        <v>14</v>
      </c>
      <c r="B362" t="s">
        <v>90</v>
      </c>
      <c r="C362" t="s">
        <v>81</v>
      </c>
      <c r="D362" t="s">
        <v>117</v>
      </c>
      <c r="E362" t="s">
        <v>73</v>
      </c>
      <c r="F362" t="s">
        <v>74</v>
      </c>
      <c r="G362" t="s">
        <v>108</v>
      </c>
      <c r="H362" t="s">
        <v>84</v>
      </c>
      <c r="I362" s="76">
        <f>'SUT_EU27 total'!$K$61</f>
        <v>1.1930979242119881E-3</v>
      </c>
    </row>
    <row r="363" spans="1:9" x14ac:dyDescent="0.35">
      <c r="A363" t="s">
        <v>14</v>
      </c>
      <c r="B363" t="s">
        <v>90</v>
      </c>
      <c r="C363" t="s">
        <v>81</v>
      </c>
      <c r="D363" t="s">
        <v>122</v>
      </c>
      <c r="E363" t="s">
        <v>73</v>
      </c>
      <c r="F363" t="s">
        <v>74</v>
      </c>
      <c r="G363" t="s">
        <v>108</v>
      </c>
      <c r="H363" t="s">
        <v>84</v>
      </c>
      <c r="I363" s="76">
        <f>'SUT_EU27 total'!$K$64</f>
        <v>2.5776238002378116E-3</v>
      </c>
    </row>
    <row r="364" spans="1:9" x14ac:dyDescent="0.35">
      <c r="A364" t="s">
        <v>14</v>
      </c>
      <c r="B364" t="s">
        <v>90</v>
      </c>
      <c r="C364" t="s">
        <v>81</v>
      </c>
      <c r="D364" t="s">
        <v>101</v>
      </c>
      <c r="E364" t="s">
        <v>73</v>
      </c>
      <c r="F364" t="s">
        <v>74</v>
      </c>
      <c r="G364" t="s">
        <v>108</v>
      </c>
      <c r="H364" t="s">
        <v>84</v>
      </c>
      <c r="I364" s="76" cm="1">
        <f t="array" ref="I364:I366">'SUT_EU27 total'!$K$66:$K$68</f>
        <v>0</v>
      </c>
    </row>
    <row r="365" spans="1:9" x14ac:dyDescent="0.35">
      <c r="A365" t="s">
        <v>14</v>
      </c>
      <c r="B365" t="s">
        <v>90</v>
      </c>
      <c r="C365" t="s">
        <v>81</v>
      </c>
      <c r="D365" t="s">
        <v>104</v>
      </c>
      <c r="E365" t="s">
        <v>73</v>
      </c>
      <c r="F365" t="s">
        <v>74</v>
      </c>
      <c r="G365" t="s">
        <v>108</v>
      </c>
      <c r="H365" t="s">
        <v>84</v>
      </c>
      <c r="I365" s="76">
        <v>0</v>
      </c>
    </row>
    <row r="366" spans="1:9" x14ac:dyDescent="0.35">
      <c r="A366" t="s">
        <v>14</v>
      </c>
      <c r="B366" t="s">
        <v>90</v>
      </c>
      <c r="C366" t="s">
        <v>81</v>
      </c>
      <c r="D366" t="s">
        <v>106</v>
      </c>
      <c r="E366" t="s">
        <v>73</v>
      </c>
      <c r="F366" t="s">
        <v>74</v>
      </c>
      <c r="G366" t="s">
        <v>108</v>
      </c>
      <c r="H366" t="s">
        <v>84</v>
      </c>
      <c r="I366" s="76">
        <v>0</v>
      </c>
    </row>
    <row r="367" spans="1:9" x14ac:dyDescent="0.35">
      <c r="A367" t="s">
        <v>14</v>
      </c>
      <c r="B367" t="s">
        <v>91</v>
      </c>
      <c r="C367" t="s">
        <v>81</v>
      </c>
      <c r="D367" t="s">
        <v>118</v>
      </c>
      <c r="E367" t="s">
        <v>73</v>
      </c>
      <c r="F367" t="s">
        <v>74</v>
      </c>
      <c r="G367" t="s">
        <v>108</v>
      </c>
      <c r="H367" t="s">
        <v>84</v>
      </c>
      <c r="I367" s="76" cm="1">
        <f t="array" ref="I367:I369">'SUT_EU27 total'!$K$72:$K$74</f>
        <v>5.3791732332439677E-3</v>
      </c>
    </row>
    <row r="368" spans="1:9" x14ac:dyDescent="0.35">
      <c r="A368" t="s">
        <v>14</v>
      </c>
      <c r="B368" t="s">
        <v>91</v>
      </c>
      <c r="C368" t="s">
        <v>81</v>
      </c>
      <c r="D368" t="s">
        <v>119</v>
      </c>
      <c r="E368" t="s">
        <v>73</v>
      </c>
      <c r="F368" t="s">
        <v>74</v>
      </c>
      <c r="G368" t="s">
        <v>108</v>
      </c>
      <c r="H368" t="s">
        <v>84</v>
      </c>
      <c r="I368" s="76">
        <v>6.5526133182607291E-3</v>
      </c>
    </row>
    <row r="369" spans="1:9" x14ac:dyDescent="0.35">
      <c r="A369" t="s">
        <v>14</v>
      </c>
      <c r="B369" t="s">
        <v>91</v>
      </c>
      <c r="C369" t="s">
        <v>81</v>
      </c>
      <c r="D369" t="s">
        <v>120</v>
      </c>
      <c r="E369" t="s">
        <v>73</v>
      </c>
      <c r="F369" t="s">
        <v>74</v>
      </c>
      <c r="G369" t="s">
        <v>108</v>
      </c>
      <c r="H369" t="s">
        <v>84</v>
      </c>
      <c r="I369" s="76">
        <v>2.464950959887623E-4</v>
      </c>
    </row>
    <row r="370" spans="1:9" x14ac:dyDescent="0.35">
      <c r="A370" t="s">
        <v>14</v>
      </c>
      <c r="B370" t="s">
        <v>91</v>
      </c>
      <c r="C370" t="s">
        <v>81</v>
      </c>
      <c r="D370" s="77" t="s">
        <v>121</v>
      </c>
      <c r="E370" t="s">
        <v>73</v>
      </c>
      <c r="F370" t="s">
        <v>74</v>
      </c>
      <c r="G370" t="s">
        <v>108</v>
      </c>
      <c r="H370" t="s">
        <v>84</v>
      </c>
      <c r="I370" s="76">
        <f>'SUT_EU27 total'!$K$76</f>
        <v>0</v>
      </c>
    </row>
    <row r="371" spans="1:9" x14ac:dyDescent="0.35">
      <c r="A371" t="s">
        <v>14</v>
      </c>
      <c r="B371" t="s">
        <v>91</v>
      </c>
      <c r="C371" t="s">
        <v>81</v>
      </c>
      <c r="D371" t="s">
        <v>117</v>
      </c>
      <c r="E371" t="s">
        <v>73</v>
      </c>
      <c r="F371" t="s">
        <v>74</v>
      </c>
      <c r="G371" t="s">
        <v>108</v>
      </c>
      <c r="H371" t="s">
        <v>84</v>
      </c>
      <c r="I371" s="76">
        <f>'SUT_EU27 total'!$K$78</f>
        <v>1.1485683451306521E-3</v>
      </c>
    </row>
    <row r="372" spans="1:9" x14ac:dyDescent="0.35">
      <c r="A372" t="s">
        <v>14</v>
      </c>
      <c r="B372" t="s">
        <v>91</v>
      </c>
      <c r="C372" t="s">
        <v>81</v>
      </c>
      <c r="D372" t="s">
        <v>122</v>
      </c>
      <c r="E372" t="s">
        <v>73</v>
      </c>
      <c r="F372" t="s">
        <v>74</v>
      </c>
      <c r="G372" t="s">
        <v>108</v>
      </c>
      <c r="H372" t="s">
        <v>84</v>
      </c>
      <c r="I372" s="76">
        <f>'SUT_EU27 total'!$K$81</f>
        <v>0</v>
      </c>
    </row>
    <row r="373" spans="1:9" x14ac:dyDescent="0.35">
      <c r="A373" t="s">
        <v>14</v>
      </c>
      <c r="B373" t="s">
        <v>91</v>
      </c>
      <c r="C373" t="s">
        <v>81</v>
      </c>
      <c r="D373" t="s">
        <v>101</v>
      </c>
      <c r="E373" t="s">
        <v>73</v>
      </c>
      <c r="F373" t="s">
        <v>74</v>
      </c>
      <c r="G373" t="s">
        <v>108</v>
      </c>
      <c r="H373" t="s">
        <v>84</v>
      </c>
      <c r="I373" s="76" cm="1">
        <f t="array" ref="I373:I375">'SUT_EU27 total'!$K$83:$K$85</f>
        <v>0</v>
      </c>
    </row>
    <row r="374" spans="1:9" x14ac:dyDescent="0.35">
      <c r="A374" t="s">
        <v>14</v>
      </c>
      <c r="B374" t="s">
        <v>91</v>
      </c>
      <c r="C374" t="s">
        <v>81</v>
      </c>
      <c r="D374" t="s">
        <v>104</v>
      </c>
      <c r="E374" t="s">
        <v>73</v>
      </c>
      <c r="F374" t="s">
        <v>74</v>
      </c>
      <c r="G374" t="s">
        <v>108</v>
      </c>
      <c r="H374" t="s">
        <v>84</v>
      </c>
      <c r="I374" s="76">
        <v>0</v>
      </c>
    </row>
    <row r="375" spans="1:9" x14ac:dyDescent="0.35">
      <c r="A375" t="s">
        <v>14</v>
      </c>
      <c r="B375" t="s">
        <v>91</v>
      </c>
      <c r="C375" t="s">
        <v>81</v>
      </c>
      <c r="D375" t="s">
        <v>106</v>
      </c>
      <c r="E375" t="s">
        <v>73</v>
      </c>
      <c r="F375" t="s">
        <v>74</v>
      </c>
      <c r="G375" t="s">
        <v>108</v>
      </c>
      <c r="H375" t="s">
        <v>84</v>
      </c>
      <c r="I375" s="76">
        <v>0</v>
      </c>
    </row>
    <row r="376" spans="1:9" x14ac:dyDescent="0.35">
      <c r="A376" t="s">
        <v>14</v>
      </c>
      <c r="B376" t="s">
        <v>92</v>
      </c>
      <c r="C376" t="s">
        <v>81</v>
      </c>
      <c r="D376" t="s">
        <v>118</v>
      </c>
      <c r="E376" t="s">
        <v>73</v>
      </c>
      <c r="F376" t="s">
        <v>74</v>
      </c>
      <c r="G376" t="s">
        <v>108</v>
      </c>
      <c r="H376" t="s">
        <v>84</v>
      </c>
      <c r="I376" s="76" cm="1">
        <f t="array" ref="I376:I378">'SUT_EU27 total'!$K$89:$K$91</f>
        <v>3.3497344343163542E-3</v>
      </c>
    </row>
    <row r="377" spans="1:9" x14ac:dyDescent="0.35">
      <c r="A377" t="s">
        <v>14</v>
      </c>
      <c r="B377" t="s">
        <v>92</v>
      </c>
      <c r="C377" t="s">
        <v>81</v>
      </c>
      <c r="D377" t="s">
        <v>119</v>
      </c>
      <c r="E377" t="s">
        <v>73</v>
      </c>
      <c r="F377" t="s">
        <v>74</v>
      </c>
      <c r="G377" t="s">
        <v>108</v>
      </c>
      <c r="H377" t="s">
        <v>84</v>
      </c>
      <c r="I377" s="76">
        <v>6.0269323460777589E-3</v>
      </c>
    </row>
    <row r="378" spans="1:9" x14ac:dyDescent="0.35">
      <c r="A378" t="s">
        <v>14</v>
      </c>
      <c r="B378" t="s">
        <v>92</v>
      </c>
      <c r="C378" t="s">
        <v>81</v>
      </c>
      <c r="D378" t="s">
        <v>120</v>
      </c>
      <c r="E378" t="s">
        <v>73</v>
      </c>
      <c r="F378" t="s">
        <v>74</v>
      </c>
      <c r="G378" t="s">
        <v>108</v>
      </c>
      <c r="H378" t="s">
        <v>84</v>
      </c>
      <c r="I378" s="76">
        <v>4.0947713992508196E-3</v>
      </c>
    </row>
    <row r="379" spans="1:9" x14ac:dyDescent="0.35">
      <c r="A379" t="s">
        <v>14</v>
      </c>
      <c r="B379" t="s">
        <v>92</v>
      </c>
      <c r="C379" t="s">
        <v>81</v>
      </c>
      <c r="D379" s="77" t="s">
        <v>121</v>
      </c>
      <c r="E379" t="s">
        <v>73</v>
      </c>
      <c r="F379" t="s">
        <v>74</v>
      </c>
      <c r="G379" t="s">
        <v>108</v>
      </c>
      <c r="H379" t="s">
        <v>84</v>
      </c>
      <c r="I379" s="76">
        <f>'SUT_EU27 total'!$K$93</f>
        <v>0</v>
      </c>
    </row>
    <row r="380" spans="1:9" x14ac:dyDescent="0.35">
      <c r="A380" t="s">
        <v>14</v>
      </c>
      <c r="B380" t="s">
        <v>92</v>
      </c>
      <c r="C380" t="s">
        <v>81</v>
      </c>
      <c r="D380" t="s">
        <v>117</v>
      </c>
      <c r="E380" t="s">
        <v>73</v>
      </c>
      <c r="F380" t="s">
        <v>74</v>
      </c>
      <c r="G380" t="s">
        <v>108</v>
      </c>
      <c r="H380" t="s">
        <v>84</v>
      </c>
      <c r="I380" s="76">
        <f>'SUT_EU27 total'!$K$95</f>
        <v>0</v>
      </c>
    </row>
    <row r="381" spans="1:9" x14ac:dyDescent="0.35">
      <c r="A381" t="s">
        <v>14</v>
      </c>
      <c r="B381" t="s">
        <v>92</v>
      </c>
      <c r="C381" t="s">
        <v>81</v>
      </c>
      <c r="D381" t="s">
        <v>122</v>
      </c>
      <c r="E381" t="s">
        <v>73</v>
      </c>
      <c r="F381" t="s">
        <v>74</v>
      </c>
      <c r="G381" t="s">
        <v>108</v>
      </c>
      <c r="H381" t="s">
        <v>84</v>
      </c>
      <c r="I381" s="76">
        <f>'SUT_EU27 total'!$K$98</f>
        <v>0</v>
      </c>
    </row>
    <row r="382" spans="1:9" x14ac:dyDescent="0.35">
      <c r="A382" t="s">
        <v>14</v>
      </c>
      <c r="B382" t="s">
        <v>92</v>
      </c>
      <c r="C382" t="s">
        <v>81</v>
      </c>
      <c r="D382" t="s">
        <v>101</v>
      </c>
      <c r="E382" t="s">
        <v>73</v>
      </c>
      <c r="F382" t="s">
        <v>74</v>
      </c>
      <c r="G382" t="s">
        <v>108</v>
      </c>
      <c r="H382" t="s">
        <v>84</v>
      </c>
      <c r="I382" s="76" cm="1">
        <f t="array" ref="I382:I384">'SUT_EU27 total'!$K$100:$K$102</f>
        <v>0</v>
      </c>
    </row>
    <row r="383" spans="1:9" x14ac:dyDescent="0.35">
      <c r="A383" t="s">
        <v>14</v>
      </c>
      <c r="B383" t="s">
        <v>92</v>
      </c>
      <c r="C383" t="s">
        <v>81</v>
      </c>
      <c r="D383" t="s">
        <v>104</v>
      </c>
      <c r="E383" t="s">
        <v>73</v>
      </c>
      <c r="F383" t="s">
        <v>74</v>
      </c>
      <c r="G383" t="s">
        <v>108</v>
      </c>
      <c r="H383" t="s">
        <v>84</v>
      </c>
      <c r="I383" s="76">
        <v>0</v>
      </c>
    </row>
    <row r="384" spans="1:9" x14ac:dyDescent="0.35">
      <c r="A384" t="s">
        <v>14</v>
      </c>
      <c r="B384" t="s">
        <v>92</v>
      </c>
      <c r="C384" t="s">
        <v>81</v>
      </c>
      <c r="D384" t="s">
        <v>106</v>
      </c>
      <c r="E384" t="s">
        <v>73</v>
      </c>
      <c r="F384" t="s">
        <v>74</v>
      </c>
      <c r="G384" t="s">
        <v>108</v>
      </c>
      <c r="H384" t="s">
        <v>84</v>
      </c>
      <c r="I384" s="76">
        <v>0</v>
      </c>
    </row>
    <row r="385" spans="1:9" x14ac:dyDescent="0.35">
      <c r="A385" t="s">
        <v>14</v>
      </c>
      <c r="B385" t="s">
        <v>93</v>
      </c>
      <c r="C385" t="s">
        <v>81</v>
      </c>
      <c r="D385" t="s">
        <v>118</v>
      </c>
      <c r="E385" t="s">
        <v>73</v>
      </c>
      <c r="F385" t="s">
        <v>74</v>
      </c>
      <c r="G385" t="s">
        <v>108</v>
      </c>
      <c r="H385" t="s">
        <v>84</v>
      </c>
      <c r="I385" s="76" cm="1">
        <f t="array" ref="I385:I387">'SUT_EU27 total'!$K$106:$K$108</f>
        <v>1.4980971667560324E-2</v>
      </c>
    </row>
    <row r="386" spans="1:9" x14ac:dyDescent="0.35">
      <c r="A386" t="s">
        <v>14</v>
      </c>
      <c r="B386" t="s">
        <v>93</v>
      </c>
      <c r="C386" t="s">
        <v>81</v>
      </c>
      <c r="D386" t="s">
        <v>119</v>
      </c>
      <c r="E386" t="s">
        <v>73</v>
      </c>
      <c r="F386" t="s">
        <v>74</v>
      </c>
      <c r="G386" t="s">
        <v>108</v>
      </c>
      <c r="H386" t="s">
        <v>84</v>
      </c>
      <c r="I386" s="76">
        <v>4.3405477873147885E-2</v>
      </c>
    </row>
    <row r="387" spans="1:9" x14ac:dyDescent="0.35">
      <c r="A387" t="s">
        <v>14</v>
      </c>
      <c r="B387" t="s">
        <v>93</v>
      </c>
      <c r="C387" t="s">
        <v>81</v>
      </c>
      <c r="D387" t="s">
        <v>120</v>
      </c>
      <c r="E387" t="s">
        <v>73</v>
      </c>
      <c r="F387" t="s">
        <v>74</v>
      </c>
      <c r="G387" t="s">
        <v>108</v>
      </c>
      <c r="H387" t="s">
        <v>84</v>
      </c>
      <c r="I387" s="76">
        <v>2.1237093113781802E-2</v>
      </c>
    </row>
    <row r="388" spans="1:9" x14ac:dyDescent="0.35">
      <c r="A388" t="s">
        <v>14</v>
      </c>
      <c r="B388" t="s">
        <v>93</v>
      </c>
      <c r="C388" t="s">
        <v>81</v>
      </c>
      <c r="D388" s="77" t="s">
        <v>121</v>
      </c>
      <c r="E388" t="s">
        <v>73</v>
      </c>
      <c r="F388" t="s">
        <v>74</v>
      </c>
      <c r="G388" t="s">
        <v>108</v>
      </c>
      <c r="H388" t="s">
        <v>84</v>
      </c>
      <c r="I388" s="76">
        <f>'SUT_EU27 total'!$K$110</f>
        <v>0</v>
      </c>
    </row>
    <row r="389" spans="1:9" x14ac:dyDescent="0.35">
      <c r="A389" t="s">
        <v>14</v>
      </c>
      <c r="B389" t="s">
        <v>93</v>
      </c>
      <c r="C389" t="s">
        <v>81</v>
      </c>
      <c r="D389" t="s">
        <v>117</v>
      </c>
      <c r="E389" t="s">
        <v>73</v>
      </c>
      <c r="F389" t="s">
        <v>74</v>
      </c>
      <c r="G389" t="s">
        <v>108</v>
      </c>
      <c r="H389" t="s">
        <v>84</v>
      </c>
      <c r="I389" s="76">
        <f>'SUT_EU27 total'!$K$112</f>
        <v>1.1930984723440377E-3</v>
      </c>
    </row>
    <row r="390" spans="1:9" x14ac:dyDescent="0.35">
      <c r="A390" t="s">
        <v>14</v>
      </c>
      <c r="B390" t="s">
        <v>93</v>
      </c>
      <c r="C390" t="s">
        <v>81</v>
      </c>
      <c r="D390" t="s">
        <v>122</v>
      </c>
      <c r="E390" t="s">
        <v>73</v>
      </c>
      <c r="F390" t="s">
        <v>74</v>
      </c>
      <c r="G390" t="s">
        <v>108</v>
      </c>
      <c r="H390" t="s">
        <v>84</v>
      </c>
      <c r="I390" s="76">
        <f>'SUT_EU27 total'!$K$115</f>
        <v>8.7987828585017833E-3</v>
      </c>
    </row>
    <row r="391" spans="1:9" x14ac:dyDescent="0.35">
      <c r="A391" t="s">
        <v>14</v>
      </c>
      <c r="B391" t="s">
        <v>93</v>
      </c>
      <c r="C391" t="s">
        <v>81</v>
      </c>
      <c r="D391" t="s">
        <v>101</v>
      </c>
      <c r="E391" t="s">
        <v>73</v>
      </c>
      <c r="F391" t="s">
        <v>74</v>
      </c>
      <c r="G391" t="s">
        <v>108</v>
      </c>
      <c r="H391" t="s">
        <v>84</v>
      </c>
      <c r="I391" s="76" cm="1">
        <f t="array" ref="I391:I393">'SUT_EU27 total'!$K$117:$K$119</f>
        <v>0</v>
      </c>
    </row>
    <row r="392" spans="1:9" x14ac:dyDescent="0.35">
      <c r="A392" t="s">
        <v>14</v>
      </c>
      <c r="B392" t="s">
        <v>93</v>
      </c>
      <c r="C392" t="s">
        <v>81</v>
      </c>
      <c r="D392" t="s">
        <v>104</v>
      </c>
      <c r="E392" t="s">
        <v>73</v>
      </c>
      <c r="F392" t="s">
        <v>74</v>
      </c>
      <c r="G392" t="s">
        <v>108</v>
      </c>
      <c r="H392" t="s">
        <v>84</v>
      </c>
      <c r="I392" s="76">
        <v>0</v>
      </c>
    </row>
    <row r="393" spans="1:9" x14ac:dyDescent="0.35">
      <c r="A393" t="s">
        <v>14</v>
      </c>
      <c r="B393" t="s">
        <v>93</v>
      </c>
      <c r="C393" t="s">
        <v>81</v>
      </c>
      <c r="D393" t="s">
        <v>106</v>
      </c>
      <c r="E393" t="s">
        <v>73</v>
      </c>
      <c r="F393" t="s">
        <v>74</v>
      </c>
      <c r="G393" t="s">
        <v>108</v>
      </c>
      <c r="H393" t="s">
        <v>84</v>
      </c>
      <c r="I393" s="76">
        <v>0</v>
      </c>
    </row>
    <row r="394" spans="1:9" x14ac:dyDescent="0.35">
      <c r="A394" t="s">
        <v>14</v>
      </c>
      <c r="B394" t="s">
        <v>73</v>
      </c>
      <c r="C394" t="s">
        <v>81</v>
      </c>
      <c r="D394" t="s">
        <v>119</v>
      </c>
      <c r="E394" t="s">
        <v>73</v>
      </c>
      <c r="F394" t="s">
        <v>74</v>
      </c>
      <c r="G394" t="s">
        <v>123</v>
      </c>
      <c r="H394" t="s">
        <v>84</v>
      </c>
      <c r="I394" s="76">
        <f>'SUT_EU27 total'!$L$22</f>
        <v>1.9500181678711294E-2</v>
      </c>
    </row>
    <row r="395" spans="1:9" x14ac:dyDescent="0.35">
      <c r="A395" t="s">
        <v>14</v>
      </c>
      <c r="B395" t="s">
        <v>73</v>
      </c>
      <c r="C395" t="s">
        <v>81</v>
      </c>
      <c r="D395" t="s">
        <v>124</v>
      </c>
      <c r="E395" t="s">
        <v>73</v>
      </c>
      <c r="F395" t="s">
        <v>74</v>
      </c>
      <c r="G395" t="s">
        <v>123</v>
      </c>
      <c r="H395" t="s">
        <v>84</v>
      </c>
      <c r="I395" s="76" cm="1">
        <f t="array" ref="I395:I403">'SUT_EU27 total'!$L$26:$L$34</f>
        <v>1.9404661061278542E-3</v>
      </c>
    </row>
    <row r="396" spans="1:9" x14ac:dyDescent="0.35">
      <c r="A396" t="s">
        <v>14</v>
      </c>
      <c r="B396" t="s">
        <v>73</v>
      </c>
      <c r="C396" t="s">
        <v>81</v>
      </c>
      <c r="D396" t="s">
        <v>117</v>
      </c>
      <c r="E396" t="s">
        <v>73</v>
      </c>
      <c r="F396" t="s">
        <v>74</v>
      </c>
      <c r="G396" t="s">
        <v>123</v>
      </c>
      <c r="H396" t="s">
        <v>84</v>
      </c>
      <c r="I396" s="76">
        <v>5.8423628191201782E-3</v>
      </c>
    </row>
    <row r="397" spans="1:9" x14ac:dyDescent="0.35">
      <c r="A397" t="s">
        <v>14</v>
      </c>
      <c r="B397" t="s">
        <v>73</v>
      </c>
      <c r="C397" t="s">
        <v>81</v>
      </c>
      <c r="D397" t="s">
        <v>82</v>
      </c>
      <c r="E397" t="s">
        <v>73</v>
      </c>
      <c r="F397" t="s">
        <v>74</v>
      </c>
      <c r="G397" t="s">
        <v>123</v>
      </c>
      <c r="H397" t="s">
        <v>84</v>
      </c>
      <c r="I397" s="76">
        <v>4.8981233243967828E-4</v>
      </c>
    </row>
    <row r="398" spans="1:9" x14ac:dyDescent="0.35">
      <c r="A398" t="s">
        <v>14</v>
      </c>
      <c r="B398" t="s">
        <v>73</v>
      </c>
      <c r="C398" t="s">
        <v>81</v>
      </c>
      <c r="D398" t="s">
        <v>125</v>
      </c>
      <c r="E398" t="s">
        <v>73</v>
      </c>
      <c r="F398" t="s">
        <v>74</v>
      </c>
      <c r="G398" t="s">
        <v>123</v>
      </c>
      <c r="H398" t="s">
        <v>84</v>
      </c>
      <c r="I398" s="76">
        <v>2.4658201215687387E-3</v>
      </c>
    </row>
    <row r="399" spans="1:9" x14ac:dyDescent="0.35">
      <c r="A399" t="s">
        <v>14</v>
      </c>
      <c r="B399" t="s">
        <v>73</v>
      </c>
      <c r="C399" t="s">
        <v>81</v>
      </c>
      <c r="D399" t="s">
        <v>122</v>
      </c>
      <c r="E399" t="s">
        <v>73</v>
      </c>
      <c r="F399" t="s">
        <v>74</v>
      </c>
      <c r="G399" t="s">
        <v>123</v>
      </c>
      <c r="H399" t="s">
        <v>84</v>
      </c>
      <c r="I399" s="76">
        <v>4.922711058263972E-4</v>
      </c>
    </row>
    <row r="400" spans="1:9" x14ac:dyDescent="0.35">
      <c r="A400" t="s">
        <v>14</v>
      </c>
      <c r="B400" t="s">
        <v>73</v>
      </c>
      <c r="C400" t="s">
        <v>81</v>
      </c>
      <c r="D400" t="s">
        <v>126</v>
      </c>
      <c r="E400" t="s">
        <v>73</v>
      </c>
      <c r="F400" t="s">
        <v>74</v>
      </c>
      <c r="G400" t="s">
        <v>123</v>
      </c>
      <c r="H400" t="s">
        <v>84</v>
      </c>
      <c r="I400" s="76">
        <v>0</v>
      </c>
    </row>
    <row r="401" spans="1:9" x14ac:dyDescent="0.35">
      <c r="A401" t="s">
        <v>14</v>
      </c>
      <c r="B401" t="s">
        <v>73</v>
      </c>
      <c r="C401" t="s">
        <v>81</v>
      </c>
      <c r="D401" t="s">
        <v>101</v>
      </c>
      <c r="E401" t="s">
        <v>73</v>
      </c>
      <c r="F401" t="s">
        <v>74</v>
      </c>
      <c r="G401" t="s">
        <v>123</v>
      </c>
      <c r="H401" t="s">
        <v>84</v>
      </c>
      <c r="I401" s="76">
        <v>3.7860913795851507E-4</v>
      </c>
    </row>
    <row r="402" spans="1:9" x14ac:dyDescent="0.35">
      <c r="A402" t="s">
        <v>14</v>
      </c>
      <c r="B402" t="s">
        <v>73</v>
      </c>
      <c r="C402" t="s">
        <v>81</v>
      </c>
      <c r="D402" t="s">
        <v>104</v>
      </c>
      <c r="E402" t="s">
        <v>73</v>
      </c>
      <c r="F402" t="s">
        <v>74</v>
      </c>
      <c r="G402" t="s">
        <v>123</v>
      </c>
      <c r="H402" t="s">
        <v>84</v>
      </c>
      <c r="I402" s="76">
        <v>7.1686251377883477E-4</v>
      </c>
    </row>
    <row r="403" spans="1:9" x14ac:dyDescent="0.35">
      <c r="A403" t="s">
        <v>14</v>
      </c>
      <c r="B403" t="s">
        <v>73</v>
      </c>
      <c r="C403" t="s">
        <v>81</v>
      </c>
      <c r="D403" t="s">
        <v>106</v>
      </c>
      <c r="E403" t="s">
        <v>73</v>
      </c>
      <c r="F403" t="s">
        <v>74</v>
      </c>
      <c r="G403" t="s">
        <v>123</v>
      </c>
      <c r="H403" t="s">
        <v>84</v>
      </c>
      <c r="I403" s="76">
        <v>2.438307869996036E-3</v>
      </c>
    </row>
    <row r="404" spans="1:9" x14ac:dyDescent="0.35">
      <c r="A404" t="s">
        <v>14</v>
      </c>
      <c r="B404" t="s">
        <v>88</v>
      </c>
      <c r="C404" t="s">
        <v>81</v>
      </c>
      <c r="D404" t="s">
        <v>119</v>
      </c>
      <c r="E404" t="s">
        <v>73</v>
      </c>
      <c r="F404" t="s">
        <v>74</v>
      </c>
      <c r="G404" t="s">
        <v>123</v>
      </c>
      <c r="H404" t="s">
        <v>84</v>
      </c>
      <c r="I404" s="76">
        <f>'SUT_EU27 total'!$L$39</f>
        <v>0.16108845734587587</v>
      </c>
    </row>
    <row r="405" spans="1:9" x14ac:dyDescent="0.35">
      <c r="A405" t="s">
        <v>14</v>
      </c>
      <c r="B405" t="s">
        <v>88</v>
      </c>
      <c r="C405" t="s">
        <v>81</v>
      </c>
      <c r="D405" t="s">
        <v>124</v>
      </c>
      <c r="E405" t="s">
        <v>73</v>
      </c>
      <c r="F405" t="s">
        <v>74</v>
      </c>
      <c r="G405" t="s">
        <v>123</v>
      </c>
      <c r="H405" t="s">
        <v>84</v>
      </c>
      <c r="I405" s="76" cm="1">
        <f t="array" ref="I405:I413">'SUT_EU27 total'!$M$43:$M$51</f>
        <v>5.0558836222750793E-4</v>
      </c>
    </row>
    <row r="406" spans="1:9" x14ac:dyDescent="0.35">
      <c r="A406" t="s">
        <v>14</v>
      </c>
      <c r="B406" t="s">
        <v>88</v>
      </c>
      <c r="C406" t="s">
        <v>81</v>
      </c>
      <c r="D406" t="s">
        <v>117</v>
      </c>
      <c r="E406" t="s">
        <v>73</v>
      </c>
      <c r="F406" t="s">
        <v>74</v>
      </c>
      <c r="G406" t="s">
        <v>123</v>
      </c>
      <c r="H406" t="s">
        <v>84</v>
      </c>
      <c r="I406" s="76">
        <v>4.8514464106651379E-3</v>
      </c>
    </row>
    <row r="407" spans="1:9" x14ac:dyDescent="0.35">
      <c r="A407" t="s">
        <v>14</v>
      </c>
      <c r="B407" t="s">
        <v>88</v>
      </c>
      <c r="C407" t="s">
        <v>81</v>
      </c>
      <c r="D407" t="s">
        <v>82</v>
      </c>
      <c r="E407" t="s">
        <v>73</v>
      </c>
      <c r="F407" t="s">
        <v>74</v>
      </c>
      <c r="G407" t="s">
        <v>123</v>
      </c>
      <c r="H407" t="s">
        <v>84</v>
      </c>
      <c r="I407" s="76">
        <v>1.109418436791091E-2</v>
      </c>
    </row>
    <row r="408" spans="1:9" x14ac:dyDescent="0.35">
      <c r="A408" t="s">
        <v>14</v>
      </c>
      <c r="B408" t="s">
        <v>88</v>
      </c>
      <c r="C408" t="s">
        <v>81</v>
      </c>
      <c r="D408" t="s">
        <v>125</v>
      </c>
      <c r="E408" t="s">
        <v>73</v>
      </c>
      <c r="F408" t="s">
        <v>74</v>
      </c>
      <c r="G408" t="s">
        <v>123</v>
      </c>
      <c r="H408" t="s">
        <v>84</v>
      </c>
      <c r="I408" s="76">
        <v>2.890870278990243E-5</v>
      </c>
    </row>
    <row r="409" spans="1:9" x14ac:dyDescent="0.35">
      <c r="A409" t="s">
        <v>14</v>
      </c>
      <c r="B409" t="s">
        <v>88</v>
      </c>
      <c r="C409" t="s">
        <v>81</v>
      </c>
      <c r="D409" t="s">
        <v>122</v>
      </c>
      <c r="E409" t="s">
        <v>73</v>
      </c>
      <c r="F409" t="s">
        <v>74</v>
      </c>
      <c r="G409" t="s">
        <v>123</v>
      </c>
      <c r="H409" t="s">
        <v>84</v>
      </c>
      <c r="I409" s="76">
        <v>0</v>
      </c>
    </row>
    <row r="410" spans="1:9" x14ac:dyDescent="0.35">
      <c r="A410" t="s">
        <v>14</v>
      </c>
      <c r="B410" t="s">
        <v>88</v>
      </c>
      <c r="C410" t="s">
        <v>81</v>
      </c>
      <c r="D410" t="s">
        <v>126</v>
      </c>
      <c r="E410" t="s">
        <v>73</v>
      </c>
      <c r="F410" t="s">
        <v>74</v>
      </c>
      <c r="G410" t="s">
        <v>123</v>
      </c>
      <c r="H410" t="s">
        <v>84</v>
      </c>
      <c r="I410" s="76">
        <v>2.8514320987501449E-3</v>
      </c>
    </row>
    <row r="411" spans="1:9" x14ac:dyDescent="0.35">
      <c r="A411" t="s">
        <v>14</v>
      </c>
      <c r="B411" t="s">
        <v>88</v>
      </c>
      <c r="C411" t="s">
        <v>81</v>
      </c>
      <c r="D411" t="s">
        <v>101</v>
      </c>
      <c r="E411" t="s">
        <v>73</v>
      </c>
      <c r="F411" t="s">
        <v>74</v>
      </c>
      <c r="G411" t="s">
        <v>123</v>
      </c>
      <c r="H411" t="s">
        <v>84</v>
      </c>
      <c r="I411" s="76">
        <v>0</v>
      </c>
    </row>
    <row r="412" spans="1:9" x14ac:dyDescent="0.35">
      <c r="A412" t="s">
        <v>14</v>
      </c>
      <c r="B412" t="s">
        <v>88</v>
      </c>
      <c r="C412" t="s">
        <v>81</v>
      </c>
      <c r="D412" t="s">
        <v>104</v>
      </c>
      <c r="E412" t="s">
        <v>73</v>
      </c>
      <c r="F412" t="s">
        <v>74</v>
      </c>
      <c r="G412" t="s">
        <v>123</v>
      </c>
      <c r="H412" t="s">
        <v>84</v>
      </c>
      <c r="I412" s="76">
        <v>0</v>
      </c>
    </row>
    <row r="413" spans="1:9" x14ac:dyDescent="0.35">
      <c r="A413" t="s">
        <v>14</v>
      </c>
      <c r="B413" t="s">
        <v>88</v>
      </c>
      <c r="C413" t="s">
        <v>81</v>
      </c>
      <c r="D413" t="s">
        <v>106</v>
      </c>
      <c r="E413" t="s">
        <v>73</v>
      </c>
      <c r="F413" t="s">
        <v>74</v>
      </c>
      <c r="G413" t="s">
        <v>123</v>
      </c>
      <c r="H413" t="s">
        <v>84</v>
      </c>
      <c r="I413" s="76">
        <v>0</v>
      </c>
    </row>
    <row r="414" spans="1:9" x14ac:dyDescent="0.35">
      <c r="A414" t="s">
        <v>14</v>
      </c>
      <c r="B414" t="s">
        <v>90</v>
      </c>
      <c r="C414" t="s">
        <v>81</v>
      </c>
      <c r="D414" t="s">
        <v>119</v>
      </c>
      <c r="E414" t="s">
        <v>73</v>
      </c>
      <c r="F414" t="s">
        <v>74</v>
      </c>
      <c r="G414" t="s">
        <v>123</v>
      </c>
      <c r="H414" t="s">
        <v>84</v>
      </c>
      <c r="I414" s="76">
        <f>'SUT_EU27 total'!$M$56</f>
        <v>2.949251079979006E-2</v>
      </c>
    </row>
    <row r="415" spans="1:9" x14ac:dyDescent="0.35">
      <c r="A415" t="s">
        <v>14</v>
      </c>
      <c r="B415" t="s">
        <v>90</v>
      </c>
      <c r="C415" t="s">
        <v>81</v>
      </c>
      <c r="D415" t="s">
        <v>124</v>
      </c>
      <c r="E415" t="s">
        <v>73</v>
      </c>
      <c r="F415" t="s">
        <v>74</v>
      </c>
      <c r="G415" t="s">
        <v>123</v>
      </c>
      <c r="H415" t="s">
        <v>84</v>
      </c>
      <c r="I415" s="76" cm="1">
        <f t="array" ref="I415:I423">'SUT_EU27 total'!$L$60:$L$68</f>
        <v>2.1047443073980527E-5</v>
      </c>
    </row>
    <row r="416" spans="1:9" x14ac:dyDescent="0.35">
      <c r="A416" t="s">
        <v>14</v>
      </c>
      <c r="B416" t="s">
        <v>90</v>
      </c>
      <c r="C416" t="s">
        <v>81</v>
      </c>
      <c r="D416" t="s">
        <v>117</v>
      </c>
      <c r="E416" t="s">
        <v>73</v>
      </c>
      <c r="F416" t="s">
        <v>74</v>
      </c>
      <c r="G416" t="s">
        <v>123</v>
      </c>
      <c r="H416" t="s">
        <v>84</v>
      </c>
      <c r="I416" s="76">
        <v>5.8414015621608938E-3</v>
      </c>
    </row>
    <row r="417" spans="1:9" x14ac:dyDescent="0.35">
      <c r="A417" t="s">
        <v>14</v>
      </c>
      <c r="B417" t="s">
        <v>90</v>
      </c>
      <c r="C417" t="s">
        <v>81</v>
      </c>
      <c r="D417" t="s">
        <v>82</v>
      </c>
      <c r="E417" t="s">
        <v>73</v>
      </c>
      <c r="F417" t="s">
        <v>74</v>
      </c>
      <c r="G417" t="s">
        <v>123</v>
      </c>
      <c r="H417" t="s">
        <v>84</v>
      </c>
      <c r="I417" s="76">
        <v>1.4521138379047227E-3</v>
      </c>
    </row>
    <row r="418" spans="1:9" x14ac:dyDescent="0.35">
      <c r="A418" t="s">
        <v>14</v>
      </c>
      <c r="B418" t="s">
        <v>90</v>
      </c>
      <c r="C418" t="s">
        <v>81</v>
      </c>
      <c r="D418" t="s">
        <v>125</v>
      </c>
      <c r="E418" t="s">
        <v>73</v>
      </c>
      <c r="F418" t="s">
        <v>74</v>
      </c>
      <c r="G418" t="s">
        <v>123</v>
      </c>
      <c r="H418" t="s">
        <v>84</v>
      </c>
      <c r="I418" s="76">
        <v>6.5130870114372285E-5</v>
      </c>
    </row>
    <row r="419" spans="1:9" x14ac:dyDescent="0.35">
      <c r="A419" t="s">
        <v>14</v>
      </c>
      <c r="B419" t="s">
        <v>90</v>
      </c>
      <c r="C419" t="s">
        <v>81</v>
      </c>
      <c r="D419" t="s">
        <v>122</v>
      </c>
      <c r="E419" t="s">
        <v>73</v>
      </c>
      <c r="F419" t="s">
        <v>74</v>
      </c>
      <c r="G419" t="s">
        <v>123</v>
      </c>
      <c r="H419" t="s">
        <v>84</v>
      </c>
      <c r="I419" s="76">
        <v>7.9476813317479189E-4</v>
      </c>
    </row>
    <row r="420" spans="1:9" x14ac:dyDescent="0.35">
      <c r="A420" t="s">
        <v>14</v>
      </c>
      <c r="B420" t="s">
        <v>90</v>
      </c>
      <c r="C420" t="s">
        <v>81</v>
      </c>
      <c r="D420" t="s">
        <v>126</v>
      </c>
      <c r="E420" t="s">
        <v>73</v>
      </c>
      <c r="F420" t="s">
        <v>74</v>
      </c>
      <c r="G420" t="s">
        <v>123</v>
      </c>
      <c r="H420" t="s">
        <v>84</v>
      </c>
      <c r="I420" s="76">
        <v>8.4821183458843076E-3</v>
      </c>
    </row>
    <row r="421" spans="1:9" x14ac:dyDescent="0.35">
      <c r="A421" t="s">
        <v>14</v>
      </c>
      <c r="B421" t="s">
        <v>90</v>
      </c>
      <c r="C421" t="s">
        <v>81</v>
      </c>
      <c r="D421" t="s">
        <v>101</v>
      </c>
      <c r="E421" t="s">
        <v>73</v>
      </c>
      <c r="F421" t="s">
        <v>74</v>
      </c>
      <c r="G421" t="s">
        <v>123</v>
      </c>
      <c r="H421" t="s">
        <v>84</v>
      </c>
      <c r="I421" s="76">
        <v>0</v>
      </c>
    </row>
    <row r="422" spans="1:9" x14ac:dyDescent="0.35">
      <c r="A422" t="s">
        <v>14</v>
      </c>
      <c r="B422" t="s">
        <v>90</v>
      </c>
      <c r="C422" t="s">
        <v>81</v>
      </c>
      <c r="D422" t="s">
        <v>104</v>
      </c>
      <c r="E422" t="s">
        <v>73</v>
      </c>
      <c r="F422" t="s">
        <v>74</v>
      </c>
      <c r="G422" t="s">
        <v>123</v>
      </c>
      <c r="H422" t="s">
        <v>84</v>
      </c>
      <c r="I422" s="76">
        <v>0</v>
      </c>
    </row>
    <row r="423" spans="1:9" x14ac:dyDescent="0.35">
      <c r="A423" t="s">
        <v>14</v>
      </c>
      <c r="B423" t="s">
        <v>90</v>
      </c>
      <c r="C423" t="s">
        <v>81</v>
      </c>
      <c r="D423" t="s">
        <v>106</v>
      </c>
      <c r="E423" t="s">
        <v>73</v>
      </c>
      <c r="F423" t="s">
        <v>74</v>
      </c>
      <c r="G423" t="s">
        <v>123</v>
      </c>
      <c r="H423" t="s">
        <v>84</v>
      </c>
      <c r="I423" s="76">
        <v>0</v>
      </c>
    </row>
    <row r="424" spans="1:9" x14ac:dyDescent="0.35">
      <c r="A424" t="s">
        <v>14</v>
      </c>
      <c r="B424" t="s">
        <v>91</v>
      </c>
      <c r="C424" t="s">
        <v>81</v>
      </c>
      <c r="D424" t="s">
        <v>119</v>
      </c>
      <c r="E424" t="s">
        <v>73</v>
      </c>
      <c r="F424" t="s">
        <v>74</v>
      </c>
      <c r="G424" t="s">
        <v>123</v>
      </c>
      <c r="H424" t="s">
        <v>84</v>
      </c>
      <c r="I424" s="76">
        <f>'SUT_EU27 total'!$L$73</f>
        <v>0.15097500908393557</v>
      </c>
    </row>
    <row r="425" spans="1:9" x14ac:dyDescent="0.35">
      <c r="A425" t="s">
        <v>14</v>
      </c>
      <c r="B425" t="s">
        <v>91</v>
      </c>
      <c r="C425" t="s">
        <v>81</v>
      </c>
      <c r="D425" t="s">
        <v>124</v>
      </c>
      <c r="E425" t="s">
        <v>73</v>
      </c>
      <c r="F425" t="s">
        <v>74</v>
      </c>
      <c r="G425" t="s">
        <v>123</v>
      </c>
      <c r="H425" t="s">
        <v>84</v>
      </c>
      <c r="I425" s="76" cm="1">
        <f t="array" ref="I425:I433">'SUT_EU27 total'!$L$77:$L$85</f>
        <v>6.7728942399646885E-5</v>
      </c>
    </row>
    <row r="426" spans="1:9" x14ac:dyDescent="0.35">
      <c r="A426" t="s">
        <v>14</v>
      </c>
      <c r="B426" t="s">
        <v>91</v>
      </c>
      <c r="C426" t="s">
        <v>81</v>
      </c>
      <c r="D426" t="s">
        <v>117</v>
      </c>
      <c r="E426" t="s">
        <v>73</v>
      </c>
      <c r="F426" t="s">
        <v>74</v>
      </c>
      <c r="G426" t="s">
        <v>123</v>
      </c>
      <c r="H426" t="s">
        <v>84</v>
      </c>
      <c r="I426" s="76">
        <v>5.6233849622410815E-3</v>
      </c>
    </row>
    <row r="427" spans="1:9" x14ac:dyDescent="0.35">
      <c r="A427" t="s">
        <v>14</v>
      </c>
      <c r="B427" t="s">
        <v>91</v>
      </c>
      <c r="C427" t="s">
        <v>81</v>
      </c>
      <c r="D427" t="s">
        <v>82</v>
      </c>
      <c r="E427" t="s">
        <v>73</v>
      </c>
      <c r="F427" t="s">
        <v>74</v>
      </c>
      <c r="G427" t="s">
        <v>123</v>
      </c>
      <c r="H427" t="s">
        <v>84</v>
      </c>
      <c r="I427" s="76">
        <v>1.8068055269127655E-3</v>
      </c>
    </row>
    <row r="428" spans="1:9" x14ac:dyDescent="0.35">
      <c r="A428" t="s">
        <v>14</v>
      </c>
      <c r="B428" t="s">
        <v>91</v>
      </c>
      <c r="C428" t="s">
        <v>81</v>
      </c>
      <c r="D428" t="s">
        <v>125</v>
      </c>
      <c r="E428" t="s">
        <v>73</v>
      </c>
      <c r="F428" t="s">
        <v>74</v>
      </c>
      <c r="G428" t="s">
        <v>123</v>
      </c>
      <c r="H428" t="s">
        <v>84</v>
      </c>
      <c r="I428" s="76">
        <v>5.6492118062760293E-6</v>
      </c>
    </row>
    <row r="429" spans="1:9" x14ac:dyDescent="0.35">
      <c r="A429" t="s">
        <v>14</v>
      </c>
      <c r="B429" t="s">
        <v>91</v>
      </c>
      <c r="C429" t="s">
        <v>81</v>
      </c>
      <c r="D429" t="s">
        <v>122</v>
      </c>
      <c r="E429" t="s">
        <v>73</v>
      </c>
      <c r="F429" t="s">
        <v>74</v>
      </c>
      <c r="G429" t="s">
        <v>123</v>
      </c>
      <c r="H429" t="s">
        <v>84</v>
      </c>
      <c r="I429" s="76">
        <v>0</v>
      </c>
    </row>
    <row r="430" spans="1:9" x14ac:dyDescent="0.35">
      <c r="A430" t="s">
        <v>14</v>
      </c>
      <c r="B430" t="s">
        <v>91</v>
      </c>
      <c r="C430" t="s">
        <v>81</v>
      </c>
      <c r="D430" t="s">
        <v>126</v>
      </c>
      <c r="E430" t="s">
        <v>73</v>
      </c>
      <c r="F430" t="s">
        <v>74</v>
      </c>
      <c r="G430" t="s">
        <v>123</v>
      </c>
      <c r="H430" t="s">
        <v>84</v>
      </c>
      <c r="I430" s="76">
        <v>8.1093795177776388E-4</v>
      </c>
    </row>
    <row r="431" spans="1:9" x14ac:dyDescent="0.35">
      <c r="A431" t="s">
        <v>14</v>
      </c>
      <c r="B431" t="s">
        <v>91</v>
      </c>
      <c r="C431" t="s">
        <v>81</v>
      </c>
      <c r="D431" t="s">
        <v>101</v>
      </c>
      <c r="E431" t="s">
        <v>73</v>
      </c>
      <c r="F431" t="s">
        <v>74</v>
      </c>
      <c r="G431" t="s">
        <v>123</v>
      </c>
      <c r="H431" t="s">
        <v>84</v>
      </c>
      <c r="I431" s="76">
        <v>0</v>
      </c>
    </row>
    <row r="432" spans="1:9" x14ac:dyDescent="0.35">
      <c r="A432" t="s">
        <v>14</v>
      </c>
      <c r="B432" t="s">
        <v>91</v>
      </c>
      <c r="C432" t="s">
        <v>81</v>
      </c>
      <c r="D432" t="s">
        <v>104</v>
      </c>
      <c r="E432" t="s">
        <v>73</v>
      </c>
      <c r="F432" t="s">
        <v>74</v>
      </c>
      <c r="G432" t="s">
        <v>123</v>
      </c>
      <c r="H432" t="s">
        <v>84</v>
      </c>
      <c r="I432" s="76">
        <v>0</v>
      </c>
    </row>
    <row r="433" spans="1:9" x14ac:dyDescent="0.35">
      <c r="A433" t="s">
        <v>14</v>
      </c>
      <c r="B433" t="s">
        <v>91</v>
      </c>
      <c r="C433" t="s">
        <v>81</v>
      </c>
      <c r="D433" t="s">
        <v>106</v>
      </c>
      <c r="E433" t="s">
        <v>73</v>
      </c>
      <c r="F433" t="s">
        <v>74</v>
      </c>
      <c r="G433" t="s">
        <v>123</v>
      </c>
      <c r="H433" t="s">
        <v>84</v>
      </c>
      <c r="I433" s="76">
        <v>0</v>
      </c>
    </row>
    <row r="434" spans="1:9" x14ac:dyDescent="0.35">
      <c r="A434" t="s">
        <v>14</v>
      </c>
      <c r="B434" t="s">
        <v>92</v>
      </c>
      <c r="C434" t="s">
        <v>81</v>
      </c>
      <c r="D434" t="s">
        <v>119</v>
      </c>
      <c r="E434" t="s">
        <v>73</v>
      </c>
      <c r="F434" t="s">
        <v>74</v>
      </c>
      <c r="G434" t="s">
        <v>123</v>
      </c>
      <c r="H434" t="s">
        <v>84</v>
      </c>
      <c r="I434" s="76">
        <f>'SUT_EU27 total'!$L$90</f>
        <v>0.13886309499777949</v>
      </c>
    </row>
    <row r="435" spans="1:9" x14ac:dyDescent="0.35">
      <c r="A435" t="s">
        <v>14</v>
      </c>
      <c r="B435" t="s">
        <v>92</v>
      </c>
      <c r="C435" t="s">
        <v>81</v>
      </c>
      <c r="D435" t="s">
        <v>124</v>
      </c>
      <c r="E435" t="s">
        <v>73</v>
      </c>
      <c r="F435" t="s">
        <v>74</v>
      </c>
      <c r="G435" t="s">
        <v>123</v>
      </c>
      <c r="H435" t="s">
        <v>84</v>
      </c>
      <c r="I435" s="76" cm="1">
        <f t="array" ref="I435:I443">'SUT_EU27 total'!$L$94:$L$102</f>
        <v>9.2968907089085616E-5</v>
      </c>
    </row>
    <row r="436" spans="1:9" x14ac:dyDescent="0.35">
      <c r="A436" t="s">
        <v>14</v>
      </c>
      <c r="B436" t="s">
        <v>92</v>
      </c>
      <c r="C436" t="s">
        <v>81</v>
      </c>
      <c r="D436" t="s">
        <v>117</v>
      </c>
      <c r="E436" t="s">
        <v>73</v>
      </c>
      <c r="F436" t="s">
        <v>74</v>
      </c>
      <c r="G436" t="s">
        <v>123</v>
      </c>
      <c r="H436" t="s">
        <v>84</v>
      </c>
      <c r="I436" s="76">
        <v>0</v>
      </c>
    </row>
    <row r="437" spans="1:9" x14ac:dyDescent="0.35">
      <c r="A437" t="s">
        <v>14</v>
      </c>
      <c r="B437" t="s">
        <v>92</v>
      </c>
      <c r="C437" t="s">
        <v>81</v>
      </c>
      <c r="D437" t="s">
        <v>82</v>
      </c>
      <c r="E437" t="s">
        <v>73</v>
      </c>
      <c r="F437" t="s">
        <v>74</v>
      </c>
      <c r="G437" t="s">
        <v>123</v>
      </c>
      <c r="H437" t="s">
        <v>84</v>
      </c>
      <c r="I437" s="76">
        <v>1.1251392039595793E-3</v>
      </c>
    </row>
    <row r="438" spans="1:9" x14ac:dyDescent="0.35">
      <c r="A438" t="s">
        <v>14</v>
      </c>
      <c r="B438" t="s">
        <v>92</v>
      </c>
      <c r="C438" t="s">
        <v>81</v>
      </c>
      <c r="D438" t="s">
        <v>125</v>
      </c>
      <c r="E438" t="s">
        <v>73</v>
      </c>
      <c r="F438" t="s">
        <v>74</v>
      </c>
      <c r="G438" t="s">
        <v>123</v>
      </c>
      <c r="H438" t="s">
        <v>84</v>
      </c>
      <c r="I438" s="76">
        <v>5.0048817841215026E-7</v>
      </c>
    </row>
    <row r="439" spans="1:9" x14ac:dyDescent="0.35">
      <c r="A439" t="s">
        <v>14</v>
      </c>
      <c r="B439" t="s">
        <v>92</v>
      </c>
      <c r="C439" t="s">
        <v>81</v>
      </c>
      <c r="D439" t="s">
        <v>122</v>
      </c>
      <c r="E439" t="s">
        <v>73</v>
      </c>
      <c r="F439" t="s">
        <v>74</v>
      </c>
      <c r="G439" t="s">
        <v>123</v>
      </c>
      <c r="H439" t="s">
        <v>84</v>
      </c>
      <c r="I439" s="76">
        <v>0</v>
      </c>
    </row>
    <row r="440" spans="1:9" x14ac:dyDescent="0.35">
      <c r="A440" t="s">
        <v>14</v>
      </c>
      <c r="B440" t="s">
        <v>92</v>
      </c>
      <c r="C440" t="s">
        <v>81</v>
      </c>
      <c r="D440" t="s">
        <v>126</v>
      </c>
      <c r="E440" t="s">
        <v>73</v>
      </c>
      <c r="F440" t="s">
        <v>74</v>
      </c>
      <c r="G440" t="s">
        <v>123</v>
      </c>
      <c r="H440" t="s">
        <v>84</v>
      </c>
      <c r="I440" s="76">
        <v>0</v>
      </c>
    </row>
    <row r="441" spans="1:9" x14ac:dyDescent="0.35">
      <c r="A441" t="s">
        <v>14</v>
      </c>
      <c r="B441" t="s">
        <v>92</v>
      </c>
      <c r="C441" t="s">
        <v>81</v>
      </c>
      <c r="D441" t="s">
        <v>101</v>
      </c>
      <c r="E441" t="s">
        <v>73</v>
      </c>
      <c r="F441" t="s">
        <v>74</v>
      </c>
      <c r="G441" t="s">
        <v>123</v>
      </c>
      <c r="H441" t="s">
        <v>84</v>
      </c>
      <c r="I441" s="76">
        <v>0</v>
      </c>
    </row>
    <row r="442" spans="1:9" x14ac:dyDescent="0.35">
      <c r="A442" t="s">
        <v>14</v>
      </c>
      <c r="B442" t="s">
        <v>92</v>
      </c>
      <c r="C442" t="s">
        <v>81</v>
      </c>
      <c r="D442" t="s">
        <v>104</v>
      </c>
      <c r="E442" t="s">
        <v>73</v>
      </c>
      <c r="F442" t="s">
        <v>74</v>
      </c>
      <c r="G442" t="s">
        <v>123</v>
      </c>
      <c r="H442" t="s">
        <v>84</v>
      </c>
      <c r="I442" s="76">
        <v>0</v>
      </c>
    </row>
    <row r="443" spans="1:9" x14ac:dyDescent="0.35">
      <c r="A443" t="s">
        <v>14</v>
      </c>
      <c r="B443" t="s">
        <v>92</v>
      </c>
      <c r="C443" t="s">
        <v>81</v>
      </c>
      <c r="D443" t="s">
        <v>106</v>
      </c>
      <c r="E443" t="s">
        <v>73</v>
      </c>
      <c r="F443" t="s">
        <v>74</v>
      </c>
      <c r="G443" t="s">
        <v>123</v>
      </c>
      <c r="H443" t="s">
        <v>84</v>
      </c>
      <c r="I443" s="76">
        <v>0</v>
      </c>
    </row>
    <row r="444" spans="1:9" x14ac:dyDescent="0.35">
      <c r="A444" t="s">
        <v>14</v>
      </c>
      <c r="B444" t="s">
        <v>93</v>
      </c>
      <c r="C444" t="s">
        <v>81</v>
      </c>
      <c r="D444" t="s">
        <v>119</v>
      </c>
      <c r="E444" t="s">
        <v>73</v>
      </c>
      <c r="F444" t="s">
        <v>74</v>
      </c>
      <c r="G444" t="s">
        <v>123</v>
      </c>
      <c r="H444" t="s">
        <v>84</v>
      </c>
      <c r="I444" s="76">
        <f>'SUT_EU27 total'!$L$107</f>
        <v>1.0000807460939076</v>
      </c>
    </row>
    <row r="445" spans="1:9" x14ac:dyDescent="0.35">
      <c r="A445" t="s">
        <v>14</v>
      </c>
      <c r="B445" t="s">
        <v>93</v>
      </c>
      <c r="C445" t="s">
        <v>81</v>
      </c>
      <c r="D445" t="s">
        <v>124</v>
      </c>
      <c r="E445" t="s">
        <v>73</v>
      </c>
      <c r="F445" t="s">
        <v>74</v>
      </c>
      <c r="G445" t="s">
        <v>123</v>
      </c>
      <c r="H445" t="s">
        <v>84</v>
      </c>
      <c r="I445" s="76" cm="1">
        <f t="array" ref="I445:I453">'SUT_EU27 total'!$L$111:$L$119</f>
        <v>3.7052409430862396E-4</v>
      </c>
    </row>
    <row r="446" spans="1:9" x14ac:dyDescent="0.35">
      <c r="A446" t="s">
        <v>14</v>
      </c>
      <c r="B446" t="s">
        <v>93</v>
      </c>
      <c r="C446" t="s">
        <v>81</v>
      </c>
      <c r="D446" t="s">
        <v>117</v>
      </c>
      <c r="E446" t="s">
        <v>73</v>
      </c>
      <c r="F446" t="s">
        <v>74</v>
      </c>
      <c r="G446" t="s">
        <v>123</v>
      </c>
      <c r="H446" t="s">
        <v>84</v>
      </c>
      <c r="I446" s="76">
        <v>5.8414042458127093E-3</v>
      </c>
    </row>
    <row r="447" spans="1:9" x14ac:dyDescent="0.35">
      <c r="A447" t="s">
        <v>14</v>
      </c>
      <c r="B447" t="s">
        <v>93</v>
      </c>
      <c r="C447" t="s">
        <v>81</v>
      </c>
      <c r="D447" t="s">
        <v>82</v>
      </c>
      <c r="E447" t="s">
        <v>73</v>
      </c>
      <c r="F447" t="s">
        <v>74</v>
      </c>
      <c r="G447" t="s">
        <v>123</v>
      </c>
      <c r="H447" t="s">
        <v>84</v>
      </c>
      <c r="I447" s="76">
        <v>5.0319447308723453E-3</v>
      </c>
    </row>
    <row r="448" spans="1:9" x14ac:dyDescent="0.35">
      <c r="A448" t="s">
        <v>14</v>
      </c>
      <c r="B448" t="s">
        <v>93</v>
      </c>
      <c r="C448" t="s">
        <v>81</v>
      </c>
      <c r="D448" t="s">
        <v>125</v>
      </c>
      <c r="E448" t="s">
        <v>73</v>
      </c>
      <c r="F448" t="s">
        <v>74</v>
      </c>
      <c r="G448" t="s">
        <v>123</v>
      </c>
      <c r="H448" t="s">
        <v>84</v>
      </c>
      <c r="I448" s="76">
        <v>4.336096678710085E-4</v>
      </c>
    </row>
    <row r="449" spans="1:9" x14ac:dyDescent="0.35">
      <c r="A449" t="s">
        <v>14</v>
      </c>
      <c r="B449" t="s">
        <v>93</v>
      </c>
      <c r="C449" t="s">
        <v>81</v>
      </c>
      <c r="D449" t="s">
        <v>122</v>
      </c>
      <c r="E449" t="s">
        <v>73</v>
      </c>
      <c r="F449" t="s">
        <v>74</v>
      </c>
      <c r="G449" t="s">
        <v>123</v>
      </c>
      <c r="H449" t="s">
        <v>84</v>
      </c>
      <c r="I449" s="76">
        <v>2.7129607609988112E-3</v>
      </c>
    </row>
    <row r="450" spans="1:9" x14ac:dyDescent="0.35">
      <c r="A450" t="s">
        <v>14</v>
      </c>
      <c r="B450" t="s">
        <v>93</v>
      </c>
      <c r="C450" t="s">
        <v>81</v>
      </c>
      <c r="D450" t="s">
        <v>126</v>
      </c>
      <c r="E450" t="s">
        <v>73</v>
      </c>
      <c r="F450" t="s">
        <v>74</v>
      </c>
      <c r="G450" t="s">
        <v>123</v>
      </c>
      <c r="H450" t="s">
        <v>84</v>
      </c>
      <c r="I450" s="76">
        <v>4.3855511603587784E-2</v>
      </c>
    </row>
    <row r="451" spans="1:9" x14ac:dyDescent="0.35">
      <c r="A451" t="s">
        <v>14</v>
      </c>
      <c r="B451" t="s">
        <v>93</v>
      </c>
      <c r="C451" t="s">
        <v>81</v>
      </c>
      <c r="D451" t="s">
        <v>101</v>
      </c>
      <c r="E451" t="s">
        <v>73</v>
      </c>
      <c r="F451" t="s">
        <v>74</v>
      </c>
      <c r="G451" t="s">
        <v>123</v>
      </c>
      <c r="H451" t="s">
        <v>84</v>
      </c>
      <c r="I451" s="76">
        <v>0</v>
      </c>
    </row>
    <row r="452" spans="1:9" x14ac:dyDescent="0.35">
      <c r="A452" t="s">
        <v>14</v>
      </c>
      <c r="B452" t="s">
        <v>93</v>
      </c>
      <c r="C452" t="s">
        <v>81</v>
      </c>
      <c r="D452" t="s">
        <v>104</v>
      </c>
      <c r="E452" t="s">
        <v>73</v>
      </c>
      <c r="F452" t="s">
        <v>74</v>
      </c>
      <c r="G452" t="s">
        <v>123</v>
      </c>
      <c r="H452" t="s">
        <v>84</v>
      </c>
      <c r="I452" s="76">
        <v>0</v>
      </c>
    </row>
    <row r="453" spans="1:9" x14ac:dyDescent="0.35">
      <c r="A453" t="s">
        <v>14</v>
      </c>
      <c r="B453" t="s">
        <v>93</v>
      </c>
      <c r="C453" t="s">
        <v>81</v>
      </c>
      <c r="D453" t="s">
        <v>106</v>
      </c>
      <c r="E453" t="s">
        <v>73</v>
      </c>
      <c r="F453" t="s">
        <v>74</v>
      </c>
      <c r="G453" t="s">
        <v>123</v>
      </c>
      <c r="H453" t="s">
        <v>84</v>
      </c>
      <c r="I453" s="76">
        <v>0</v>
      </c>
    </row>
    <row r="454" spans="1:9" x14ac:dyDescent="0.35">
      <c r="A454" t="s">
        <v>14</v>
      </c>
      <c r="B454" t="s">
        <v>73</v>
      </c>
      <c r="C454" t="s">
        <v>81</v>
      </c>
      <c r="D454" t="s">
        <v>119</v>
      </c>
      <c r="E454" t="s">
        <v>73</v>
      </c>
      <c r="F454" t="s">
        <v>74</v>
      </c>
      <c r="G454" t="s">
        <v>127</v>
      </c>
      <c r="H454" t="s">
        <v>84</v>
      </c>
      <c r="I454" s="76">
        <f>'SUT_EU27 total'!$M$22</f>
        <v>1.9500181678711294E-2</v>
      </c>
    </row>
    <row r="455" spans="1:9" x14ac:dyDescent="0.35">
      <c r="A455" t="s">
        <v>14</v>
      </c>
      <c r="B455" t="s">
        <v>73</v>
      </c>
      <c r="C455" t="s">
        <v>81</v>
      </c>
      <c r="D455" t="s">
        <v>124</v>
      </c>
      <c r="E455" t="s">
        <v>73</v>
      </c>
      <c r="F455" t="s">
        <v>74</v>
      </c>
      <c r="G455" t="s">
        <v>127</v>
      </c>
      <c r="H455" t="s">
        <v>84</v>
      </c>
      <c r="I455" s="76" cm="1">
        <f t="array" ref="I455:I463">'SUT_EU27 total'!$M$26:$M$34</f>
        <v>1.9404661061278542E-3</v>
      </c>
    </row>
    <row r="456" spans="1:9" x14ac:dyDescent="0.35">
      <c r="A456" t="s">
        <v>14</v>
      </c>
      <c r="B456" t="s">
        <v>73</v>
      </c>
      <c r="C456" t="s">
        <v>81</v>
      </c>
      <c r="D456" t="s">
        <v>117</v>
      </c>
      <c r="E456" t="s">
        <v>73</v>
      </c>
      <c r="F456" t="s">
        <v>74</v>
      </c>
      <c r="G456" t="s">
        <v>127</v>
      </c>
      <c r="H456" t="s">
        <v>84</v>
      </c>
      <c r="I456" s="76">
        <v>5.8423628191201782E-3</v>
      </c>
    </row>
    <row r="457" spans="1:9" x14ac:dyDescent="0.35">
      <c r="A457" t="s">
        <v>14</v>
      </c>
      <c r="B457" t="s">
        <v>73</v>
      </c>
      <c r="C457" t="s">
        <v>81</v>
      </c>
      <c r="D457" t="s">
        <v>82</v>
      </c>
      <c r="E457" t="s">
        <v>73</v>
      </c>
      <c r="F457" t="s">
        <v>74</v>
      </c>
      <c r="G457" t="s">
        <v>127</v>
      </c>
      <c r="H457" t="s">
        <v>84</v>
      </c>
      <c r="I457" s="76">
        <v>4.8981233243967828E-4</v>
      </c>
    </row>
    <row r="458" spans="1:9" x14ac:dyDescent="0.35">
      <c r="A458" t="s">
        <v>14</v>
      </c>
      <c r="B458" t="s">
        <v>73</v>
      </c>
      <c r="C458" t="s">
        <v>81</v>
      </c>
      <c r="D458" t="s">
        <v>125</v>
      </c>
      <c r="E458" t="s">
        <v>73</v>
      </c>
      <c r="F458" t="s">
        <v>74</v>
      </c>
      <c r="G458" t="s">
        <v>127</v>
      </c>
      <c r="H458" t="s">
        <v>84</v>
      </c>
      <c r="I458" s="76">
        <v>2.4658201215687387E-3</v>
      </c>
    </row>
    <row r="459" spans="1:9" x14ac:dyDescent="0.35">
      <c r="A459" t="s">
        <v>14</v>
      </c>
      <c r="B459" t="s">
        <v>73</v>
      </c>
      <c r="C459" t="s">
        <v>81</v>
      </c>
      <c r="D459" t="s">
        <v>122</v>
      </c>
      <c r="E459" t="s">
        <v>73</v>
      </c>
      <c r="F459" t="s">
        <v>74</v>
      </c>
      <c r="G459" t="s">
        <v>127</v>
      </c>
      <c r="H459" t="s">
        <v>84</v>
      </c>
      <c r="I459" s="76">
        <v>4.922711058263972E-4</v>
      </c>
    </row>
    <row r="460" spans="1:9" x14ac:dyDescent="0.35">
      <c r="A460" t="s">
        <v>14</v>
      </c>
      <c r="B460" t="s">
        <v>73</v>
      </c>
      <c r="C460" t="s">
        <v>81</v>
      </c>
      <c r="D460" t="s">
        <v>126</v>
      </c>
      <c r="E460" t="s">
        <v>73</v>
      </c>
      <c r="F460" t="s">
        <v>74</v>
      </c>
      <c r="G460" t="s">
        <v>127</v>
      </c>
      <c r="H460" t="s">
        <v>84</v>
      </c>
      <c r="I460" s="76">
        <v>0</v>
      </c>
    </row>
    <row r="461" spans="1:9" x14ac:dyDescent="0.35">
      <c r="A461" t="s">
        <v>14</v>
      </c>
      <c r="B461" t="s">
        <v>73</v>
      </c>
      <c r="C461" t="s">
        <v>81</v>
      </c>
      <c r="D461" t="s">
        <v>101</v>
      </c>
      <c r="E461" t="s">
        <v>73</v>
      </c>
      <c r="F461" t="s">
        <v>74</v>
      </c>
      <c r="G461" t="s">
        <v>127</v>
      </c>
      <c r="H461" t="s">
        <v>84</v>
      </c>
      <c r="I461" s="76">
        <v>3.6586167200000007E-4</v>
      </c>
    </row>
    <row r="462" spans="1:9" x14ac:dyDescent="0.35">
      <c r="A462" t="s">
        <v>14</v>
      </c>
      <c r="B462" t="s">
        <v>73</v>
      </c>
      <c r="C462" t="s">
        <v>81</v>
      </c>
      <c r="D462" t="s">
        <v>104</v>
      </c>
      <c r="E462" t="s">
        <v>73</v>
      </c>
      <c r="F462" t="s">
        <v>74</v>
      </c>
      <c r="G462" t="s">
        <v>127</v>
      </c>
      <c r="H462" t="s">
        <v>84</v>
      </c>
      <c r="I462" s="76">
        <v>6.9272632800000005E-4</v>
      </c>
    </row>
    <row r="463" spans="1:9" x14ac:dyDescent="0.35">
      <c r="A463" t="s">
        <v>14</v>
      </c>
      <c r="B463" t="s">
        <v>73</v>
      </c>
      <c r="C463" t="s">
        <v>81</v>
      </c>
      <c r="D463" t="s">
        <v>106</v>
      </c>
      <c r="E463" t="s">
        <v>73</v>
      </c>
      <c r="F463" t="s">
        <v>74</v>
      </c>
      <c r="G463" t="s">
        <v>127</v>
      </c>
      <c r="H463" t="s">
        <v>84</v>
      </c>
      <c r="I463" s="76">
        <v>2.3562119999999999E-3</v>
      </c>
    </row>
    <row r="464" spans="1:9" x14ac:dyDescent="0.35">
      <c r="A464" t="s">
        <v>14</v>
      </c>
      <c r="B464" t="s">
        <v>88</v>
      </c>
      <c r="C464" t="s">
        <v>81</v>
      </c>
      <c r="D464" t="s">
        <v>119</v>
      </c>
      <c r="E464" t="s">
        <v>73</v>
      </c>
      <c r="F464" t="s">
        <v>74</v>
      </c>
      <c r="G464" t="s">
        <v>127</v>
      </c>
      <c r="H464" t="s">
        <v>84</v>
      </c>
      <c r="I464" s="76">
        <f>'SUT_EU27 total'!$M$39</f>
        <v>0.16108845734587587</v>
      </c>
    </row>
    <row r="465" spans="1:9" x14ac:dyDescent="0.35">
      <c r="A465" t="s">
        <v>14</v>
      </c>
      <c r="B465" t="s">
        <v>88</v>
      </c>
      <c r="C465" t="s">
        <v>81</v>
      </c>
      <c r="D465" t="s">
        <v>124</v>
      </c>
      <c r="E465" t="s">
        <v>73</v>
      </c>
      <c r="F465" t="s">
        <v>74</v>
      </c>
      <c r="G465" t="s">
        <v>127</v>
      </c>
      <c r="H465" t="s">
        <v>84</v>
      </c>
      <c r="I465" s="76" cm="1">
        <f t="array" ref="I465:I473">'SUT_EU27 total'!$L$43:$L$51</f>
        <v>5.0558836222750793E-4</v>
      </c>
    </row>
    <row r="466" spans="1:9" x14ac:dyDescent="0.35">
      <c r="A466" t="s">
        <v>14</v>
      </c>
      <c r="B466" t="s">
        <v>88</v>
      </c>
      <c r="C466" t="s">
        <v>81</v>
      </c>
      <c r="D466" t="s">
        <v>117</v>
      </c>
      <c r="E466" t="s">
        <v>73</v>
      </c>
      <c r="F466" t="s">
        <v>74</v>
      </c>
      <c r="G466" t="s">
        <v>127</v>
      </c>
      <c r="H466" t="s">
        <v>84</v>
      </c>
      <c r="I466" s="76">
        <v>4.8514464106651379E-3</v>
      </c>
    </row>
    <row r="467" spans="1:9" x14ac:dyDescent="0.35">
      <c r="A467" t="s">
        <v>14</v>
      </c>
      <c r="B467" t="s">
        <v>88</v>
      </c>
      <c r="C467" t="s">
        <v>81</v>
      </c>
      <c r="D467" t="s">
        <v>82</v>
      </c>
      <c r="E467" t="s">
        <v>73</v>
      </c>
      <c r="F467" t="s">
        <v>74</v>
      </c>
      <c r="G467" t="s">
        <v>127</v>
      </c>
      <c r="H467" t="s">
        <v>84</v>
      </c>
      <c r="I467" s="76">
        <v>1.109418436791091E-2</v>
      </c>
    </row>
    <row r="468" spans="1:9" x14ac:dyDescent="0.35">
      <c r="A468" t="s">
        <v>14</v>
      </c>
      <c r="B468" t="s">
        <v>88</v>
      </c>
      <c r="C468" t="s">
        <v>81</v>
      </c>
      <c r="D468" t="s">
        <v>125</v>
      </c>
      <c r="E468" t="s">
        <v>73</v>
      </c>
      <c r="F468" t="s">
        <v>74</v>
      </c>
      <c r="G468" t="s">
        <v>127</v>
      </c>
      <c r="H468" t="s">
        <v>84</v>
      </c>
      <c r="I468" s="76">
        <v>2.890870278990243E-5</v>
      </c>
    </row>
    <row r="469" spans="1:9" x14ac:dyDescent="0.35">
      <c r="A469" t="s">
        <v>14</v>
      </c>
      <c r="B469" t="s">
        <v>88</v>
      </c>
      <c r="C469" t="s">
        <v>81</v>
      </c>
      <c r="D469" t="s">
        <v>122</v>
      </c>
      <c r="E469" t="s">
        <v>73</v>
      </c>
      <c r="F469" t="s">
        <v>74</v>
      </c>
      <c r="G469" t="s">
        <v>127</v>
      </c>
      <c r="H469" t="s">
        <v>84</v>
      </c>
      <c r="I469" s="76">
        <v>0</v>
      </c>
    </row>
    <row r="470" spans="1:9" x14ac:dyDescent="0.35">
      <c r="A470" t="s">
        <v>14</v>
      </c>
      <c r="B470" t="s">
        <v>88</v>
      </c>
      <c r="C470" t="s">
        <v>81</v>
      </c>
      <c r="D470" t="s">
        <v>126</v>
      </c>
      <c r="E470" t="s">
        <v>73</v>
      </c>
      <c r="F470" t="s">
        <v>74</v>
      </c>
      <c r="G470" t="s">
        <v>127</v>
      </c>
      <c r="H470" t="s">
        <v>84</v>
      </c>
      <c r="I470" s="76">
        <v>2.8514320987501449E-3</v>
      </c>
    </row>
    <row r="471" spans="1:9" x14ac:dyDescent="0.35">
      <c r="A471" t="s">
        <v>14</v>
      </c>
      <c r="B471" t="s">
        <v>88</v>
      </c>
      <c r="C471" t="s">
        <v>81</v>
      </c>
      <c r="D471" t="s">
        <v>101</v>
      </c>
      <c r="E471" t="s">
        <v>73</v>
      </c>
      <c r="F471" t="s">
        <v>74</v>
      </c>
      <c r="G471" t="s">
        <v>127</v>
      </c>
      <c r="H471" t="s">
        <v>84</v>
      </c>
      <c r="I471" s="76">
        <v>0</v>
      </c>
    </row>
    <row r="472" spans="1:9" x14ac:dyDescent="0.35">
      <c r="A472" t="s">
        <v>14</v>
      </c>
      <c r="B472" t="s">
        <v>88</v>
      </c>
      <c r="C472" t="s">
        <v>81</v>
      </c>
      <c r="D472" t="s">
        <v>104</v>
      </c>
      <c r="E472" t="s">
        <v>73</v>
      </c>
      <c r="F472" t="s">
        <v>74</v>
      </c>
      <c r="G472" t="s">
        <v>127</v>
      </c>
      <c r="H472" t="s">
        <v>84</v>
      </c>
      <c r="I472" s="76">
        <v>0</v>
      </c>
    </row>
    <row r="473" spans="1:9" x14ac:dyDescent="0.35">
      <c r="A473" t="s">
        <v>14</v>
      </c>
      <c r="B473" t="s">
        <v>88</v>
      </c>
      <c r="C473" t="s">
        <v>81</v>
      </c>
      <c r="D473" t="s">
        <v>106</v>
      </c>
      <c r="E473" t="s">
        <v>73</v>
      </c>
      <c r="F473" t="s">
        <v>74</v>
      </c>
      <c r="G473" t="s">
        <v>127</v>
      </c>
      <c r="H473" t="s">
        <v>84</v>
      </c>
      <c r="I473" s="76">
        <v>0</v>
      </c>
    </row>
    <row r="474" spans="1:9" x14ac:dyDescent="0.35">
      <c r="A474" t="s">
        <v>14</v>
      </c>
      <c r="B474" t="s">
        <v>90</v>
      </c>
      <c r="C474" t="s">
        <v>81</v>
      </c>
      <c r="D474" t="s">
        <v>119</v>
      </c>
      <c r="E474" t="s">
        <v>73</v>
      </c>
      <c r="F474" t="s">
        <v>74</v>
      </c>
      <c r="G474" t="s">
        <v>127</v>
      </c>
      <c r="H474" t="s">
        <v>84</v>
      </c>
      <c r="I474" s="76">
        <f>'SUT_EU27 total'!$M$56</f>
        <v>2.949251079979006E-2</v>
      </c>
    </row>
    <row r="475" spans="1:9" x14ac:dyDescent="0.35">
      <c r="A475" t="s">
        <v>14</v>
      </c>
      <c r="B475" t="s">
        <v>90</v>
      </c>
      <c r="C475" t="s">
        <v>81</v>
      </c>
      <c r="D475" t="s">
        <v>124</v>
      </c>
      <c r="E475" t="s">
        <v>73</v>
      </c>
      <c r="F475" t="s">
        <v>74</v>
      </c>
      <c r="G475" t="s">
        <v>127</v>
      </c>
      <c r="H475" t="s">
        <v>84</v>
      </c>
      <c r="I475" s="76" cm="1">
        <f t="array" ref="I475:I483">'SUT_EU27 total'!$M$60:$M$68</f>
        <v>2.1047443073980527E-5</v>
      </c>
    </row>
    <row r="476" spans="1:9" x14ac:dyDescent="0.35">
      <c r="A476" t="s">
        <v>14</v>
      </c>
      <c r="B476" t="s">
        <v>90</v>
      </c>
      <c r="C476" t="s">
        <v>81</v>
      </c>
      <c r="D476" t="s">
        <v>117</v>
      </c>
      <c r="E476" t="s">
        <v>73</v>
      </c>
      <c r="F476" t="s">
        <v>74</v>
      </c>
      <c r="G476" t="s">
        <v>127</v>
      </c>
      <c r="H476" t="s">
        <v>84</v>
      </c>
      <c r="I476" s="76">
        <v>5.8414015621608938E-3</v>
      </c>
    </row>
    <row r="477" spans="1:9" x14ac:dyDescent="0.35">
      <c r="A477" t="s">
        <v>14</v>
      </c>
      <c r="B477" t="s">
        <v>90</v>
      </c>
      <c r="C477" t="s">
        <v>81</v>
      </c>
      <c r="D477" t="s">
        <v>82</v>
      </c>
      <c r="E477" t="s">
        <v>73</v>
      </c>
      <c r="F477" t="s">
        <v>74</v>
      </c>
      <c r="G477" t="s">
        <v>127</v>
      </c>
      <c r="H477" t="s">
        <v>84</v>
      </c>
      <c r="I477" s="76">
        <v>1.4521138379047227E-3</v>
      </c>
    </row>
    <row r="478" spans="1:9" x14ac:dyDescent="0.35">
      <c r="A478" t="s">
        <v>14</v>
      </c>
      <c r="B478" t="s">
        <v>90</v>
      </c>
      <c r="C478" t="s">
        <v>81</v>
      </c>
      <c r="D478" t="s">
        <v>125</v>
      </c>
      <c r="E478" t="s">
        <v>73</v>
      </c>
      <c r="F478" t="s">
        <v>74</v>
      </c>
      <c r="G478" t="s">
        <v>127</v>
      </c>
      <c r="H478" t="s">
        <v>84</v>
      </c>
      <c r="I478" s="76">
        <v>6.5130870114372285E-5</v>
      </c>
    </row>
    <row r="479" spans="1:9" x14ac:dyDescent="0.35">
      <c r="A479" t="s">
        <v>14</v>
      </c>
      <c r="B479" t="s">
        <v>90</v>
      </c>
      <c r="C479" t="s">
        <v>81</v>
      </c>
      <c r="D479" t="s">
        <v>122</v>
      </c>
      <c r="E479" t="s">
        <v>73</v>
      </c>
      <c r="F479" t="s">
        <v>74</v>
      </c>
      <c r="G479" t="s">
        <v>127</v>
      </c>
      <c r="H479" t="s">
        <v>84</v>
      </c>
      <c r="I479" s="76">
        <v>7.9476813317479189E-4</v>
      </c>
    </row>
    <row r="480" spans="1:9" x14ac:dyDescent="0.35">
      <c r="A480" t="s">
        <v>14</v>
      </c>
      <c r="B480" t="s">
        <v>90</v>
      </c>
      <c r="C480" t="s">
        <v>81</v>
      </c>
      <c r="D480" t="s">
        <v>126</v>
      </c>
      <c r="E480" t="s">
        <v>73</v>
      </c>
      <c r="F480" t="s">
        <v>74</v>
      </c>
      <c r="G480" t="s">
        <v>127</v>
      </c>
      <c r="H480" t="s">
        <v>84</v>
      </c>
      <c r="I480" s="76">
        <v>8.4821183458843076E-3</v>
      </c>
    </row>
    <row r="481" spans="1:9" x14ac:dyDescent="0.35">
      <c r="A481" t="s">
        <v>14</v>
      </c>
      <c r="B481" t="s">
        <v>90</v>
      </c>
      <c r="C481" t="s">
        <v>81</v>
      </c>
      <c r="D481" t="s">
        <v>101</v>
      </c>
      <c r="E481" t="s">
        <v>73</v>
      </c>
      <c r="F481" t="s">
        <v>74</v>
      </c>
      <c r="G481" t="s">
        <v>127</v>
      </c>
      <c r="H481" t="s">
        <v>84</v>
      </c>
      <c r="I481" s="76">
        <v>0</v>
      </c>
    </row>
    <row r="482" spans="1:9" x14ac:dyDescent="0.35">
      <c r="A482" t="s">
        <v>14</v>
      </c>
      <c r="B482" t="s">
        <v>90</v>
      </c>
      <c r="C482" t="s">
        <v>81</v>
      </c>
      <c r="D482" t="s">
        <v>104</v>
      </c>
      <c r="E482" t="s">
        <v>73</v>
      </c>
      <c r="F482" t="s">
        <v>74</v>
      </c>
      <c r="G482" t="s">
        <v>127</v>
      </c>
      <c r="H482" t="s">
        <v>84</v>
      </c>
      <c r="I482" s="76">
        <v>0</v>
      </c>
    </row>
    <row r="483" spans="1:9" x14ac:dyDescent="0.35">
      <c r="A483" t="s">
        <v>14</v>
      </c>
      <c r="B483" t="s">
        <v>90</v>
      </c>
      <c r="C483" t="s">
        <v>81</v>
      </c>
      <c r="D483" t="s">
        <v>106</v>
      </c>
      <c r="E483" t="s">
        <v>73</v>
      </c>
      <c r="F483" t="s">
        <v>74</v>
      </c>
      <c r="G483" t="s">
        <v>127</v>
      </c>
      <c r="H483" t="s">
        <v>84</v>
      </c>
      <c r="I483" s="76">
        <v>0</v>
      </c>
    </row>
    <row r="484" spans="1:9" x14ac:dyDescent="0.35">
      <c r="A484" t="s">
        <v>14</v>
      </c>
      <c r="B484" t="s">
        <v>91</v>
      </c>
      <c r="C484" t="s">
        <v>81</v>
      </c>
      <c r="D484" t="s">
        <v>119</v>
      </c>
      <c r="E484" t="s">
        <v>73</v>
      </c>
      <c r="F484" t="s">
        <v>74</v>
      </c>
      <c r="G484" t="s">
        <v>127</v>
      </c>
      <c r="H484" t="s">
        <v>84</v>
      </c>
      <c r="I484" s="76">
        <f>'SUT_EU27 total'!$M$73</f>
        <v>0.15097500908393557</v>
      </c>
    </row>
    <row r="485" spans="1:9" x14ac:dyDescent="0.35">
      <c r="A485" t="s">
        <v>14</v>
      </c>
      <c r="B485" t="s">
        <v>91</v>
      </c>
      <c r="C485" t="s">
        <v>81</v>
      </c>
      <c r="D485" t="s">
        <v>124</v>
      </c>
      <c r="E485" t="s">
        <v>73</v>
      </c>
      <c r="F485" t="s">
        <v>74</v>
      </c>
      <c r="G485" t="s">
        <v>127</v>
      </c>
      <c r="H485" t="s">
        <v>84</v>
      </c>
      <c r="I485" s="76" cm="1">
        <f t="array" ref="I485:I493">'SUT_EU27 total'!$M$77:$M$85</f>
        <v>6.7728942399646885E-5</v>
      </c>
    </row>
    <row r="486" spans="1:9" x14ac:dyDescent="0.35">
      <c r="A486" t="s">
        <v>14</v>
      </c>
      <c r="B486" t="s">
        <v>91</v>
      </c>
      <c r="C486" t="s">
        <v>81</v>
      </c>
      <c r="D486" t="s">
        <v>117</v>
      </c>
      <c r="E486" t="s">
        <v>73</v>
      </c>
      <c r="F486" t="s">
        <v>74</v>
      </c>
      <c r="G486" t="s">
        <v>127</v>
      </c>
      <c r="H486" t="s">
        <v>84</v>
      </c>
      <c r="I486" s="76">
        <v>5.6233849622410815E-3</v>
      </c>
    </row>
    <row r="487" spans="1:9" x14ac:dyDescent="0.35">
      <c r="A487" t="s">
        <v>14</v>
      </c>
      <c r="B487" t="s">
        <v>91</v>
      </c>
      <c r="C487" t="s">
        <v>81</v>
      </c>
      <c r="D487" t="s">
        <v>82</v>
      </c>
      <c r="E487" t="s">
        <v>73</v>
      </c>
      <c r="F487" t="s">
        <v>74</v>
      </c>
      <c r="G487" t="s">
        <v>127</v>
      </c>
      <c r="H487" t="s">
        <v>84</v>
      </c>
      <c r="I487" s="76">
        <v>1.8068055269127655E-3</v>
      </c>
    </row>
    <row r="488" spans="1:9" x14ac:dyDescent="0.35">
      <c r="A488" t="s">
        <v>14</v>
      </c>
      <c r="B488" t="s">
        <v>91</v>
      </c>
      <c r="C488" t="s">
        <v>81</v>
      </c>
      <c r="D488" t="s">
        <v>125</v>
      </c>
      <c r="E488" t="s">
        <v>73</v>
      </c>
      <c r="F488" t="s">
        <v>74</v>
      </c>
      <c r="G488" t="s">
        <v>127</v>
      </c>
      <c r="H488" t="s">
        <v>84</v>
      </c>
      <c r="I488" s="76">
        <v>5.6492118062760293E-6</v>
      </c>
    </row>
    <row r="489" spans="1:9" x14ac:dyDescent="0.35">
      <c r="A489" t="s">
        <v>14</v>
      </c>
      <c r="B489" t="s">
        <v>91</v>
      </c>
      <c r="C489" t="s">
        <v>81</v>
      </c>
      <c r="D489" t="s">
        <v>122</v>
      </c>
      <c r="E489" t="s">
        <v>73</v>
      </c>
      <c r="F489" t="s">
        <v>74</v>
      </c>
      <c r="G489" t="s">
        <v>127</v>
      </c>
      <c r="H489" t="s">
        <v>84</v>
      </c>
      <c r="I489" s="76">
        <v>0</v>
      </c>
    </row>
    <row r="490" spans="1:9" x14ac:dyDescent="0.35">
      <c r="A490" t="s">
        <v>14</v>
      </c>
      <c r="B490" t="s">
        <v>91</v>
      </c>
      <c r="C490" t="s">
        <v>81</v>
      </c>
      <c r="D490" t="s">
        <v>126</v>
      </c>
      <c r="E490" t="s">
        <v>73</v>
      </c>
      <c r="F490" t="s">
        <v>74</v>
      </c>
      <c r="G490" t="s">
        <v>127</v>
      </c>
      <c r="H490" t="s">
        <v>84</v>
      </c>
      <c r="I490" s="76">
        <v>8.1093795177776388E-4</v>
      </c>
    </row>
    <row r="491" spans="1:9" x14ac:dyDescent="0.35">
      <c r="A491" t="s">
        <v>14</v>
      </c>
      <c r="B491" t="s">
        <v>91</v>
      </c>
      <c r="C491" t="s">
        <v>81</v>
      </c>
      <c r="D491" t="s">
        <v>101</v>
      </c>
      <c r="E491" t="s">
        <v>73</v>
      </c>
      <c r="F491" t="s">
        <v>74</v>
      </c>
      <c r="G491" t="s">
        <v>127</v>
      </c>
      <c r="H491" t="s">
        <v>84</v>
      </c>
      <c r="I491" s="76">
        <v>0</v>
      </c>
    </row>
    <row r="492" spans="1:9" x14ac:dyDescent="0.35">
      <c r="A492" t="s">
        <v>14</v>
      </c>
      <c r="B492" t="s">
        <v>91</v>
      </c>
      <c r="C492" t="s">
        <v>81</v>
      </c>
      <c r="D492" t="s">
        <v>104</v>
      </c>
      <c r="E492" t="s">
        <v>73</v>
      </c>
      <c r="F492" t="s">
        <v>74</v>
      </c>
      <c r="G492" t="s">
        <v>127</v>
      </c>
      <c r="H492" t="s">
        <v>84</v>
      </c>
      <c r="I492" s="76">
        <v>0</v>
      </c>
    </row>
    <row r="493" spans="1:9" x14ac:dyDescent="0.35">
      <c r="A493" t="s">
        <v>14</v>
      </c>
      <c r="B493" t="s">
        <v>91</v>
      </c>
      <c r="C493" t="s">
        <v>81</v>
      </c>
      <c r="D493" t="s">
        <v>106</v>
      </c>
      <c r="E493" t="s">
        <v>73</v>
      </c>
      <c r="F493" t="s">
        <v>74</v>
      </c>
      <c r="G493" t="s">
        <v>127</v>
      </c>
      <c r="H493" t="s">
        <v>84</v>
      </c>
      <c r="I493" s="76">
        <v>0</v>
      </c>
    </row>
    <row r="494" spans="1:9" x14ac:dyDescent="0.35">
      <c r="A494" t="s">
        <v>14</v>
      </c>
      <c r="B494" t="s">
        <v>92</v>
      </c>
      <c r="C494" t="s">
        <v>81</v>
      </c>
      <c r="D494" t="s">
        <v>119</v>
      </c>
      <c r="E494" t="s">
        <v>73</v>
      </c>
      <c r="F494" t="s">
        <v>74</v>
      </c>
      <c r="G494" t="s">
        <v>127</v>
      </c>
      <c r="H494" t="s">
        <v>84</v>
      </c>
      <c r="I494" s="76">
        <f>'SUT_EU27 total'!$M$90</f>
        <v>0.13886309499777949</v>
      </c>
    </row>
    <row r="495" spans="1:9" x14ac:dyDescent="0.35">
      <c r="A495" t="s">
        <v>14</v>
      </c>
      <c r="B495" t="s">
        <v>92</v>
      </c>
      <c r="C495" t="s">
        <v>81</v>
      </c>
      <c r="D495" t="s">
        <v>124</v>
      </c>
      <c r="E495" t="s">
        <v>73</v>
      </c>
      <c r="F495" t="s">
        <v>74</v>
      </c>
      <c r="G495" t="s">
        <v>127</v>
      </c>
      <c r="H495" t="s">
        <v>84</v>
      </c>
      <c r="I495" s="76" cm="1">
        <f t="array" ref="I495:I503">'SUT_EU27 total'!$M$94:$M$102</f>
        <v>9.2968907089085616E-5</v>
      </c>
    </row>
    <row r="496" spans="1:9" x14ac:dyDescent="0.35">
      <c r="A496" t="s">
        <v>14</v>
      </c>
      <c r="B496" t="s">
        <v>92</v>
      </c>
      <c r="C496" t="s">
        <v>81</v>
      </c>
      <c r="D496" t="s">
        <v>117</v>
      </c>
      <c r="E496" t="s">
        <v>73</v>
      </c>
      <c r="F496" t="s">
        <v>74</v>
      </c>
      <c r="G496" t="s">
        <v>127</v>
      </c>
      <c r="H496" t="s">
        <v>84</v>
      </c>
      <c r="I496" s="76">
        <v>0</v>
      </c>
    </row>
    <row r="497" spans="1:9" x14ac:dyDescent="0.35">
      <c r="A497" t="s">
        <v>14</v>
      </c>
      <c r="B497" t="s">
        <v>92</v>
      </c>
      <c r="C497" t="s">
        <v>81</v>
      </c>
      <c r="D497" t="s">
        <v>82</v>
      </c>
      <c r="E497" t="s">
        <v>73</v>
      </c>
      <c r="F497" t="s">
        <v>74</v>
      </c>
      <c r="G497" t="s">
        <v>127</v>
      </c>
      <c r="H497" t="s">
        <v>84</v>
      </c>
      <c r="I497" s="76">
        <v>1.1251392039595793E-3</v>
      </c>
    </row>
    <row r="498" spans="1:9" x14ac:dyDescent="0.35">
      <c r="A498" t="s">
        <v>14</v>
      </c>
      <c r="B498" t="s">
        <v>92</v>
      </c>
      <c r="C498" t="s">
        <v>81</v>
      </c>
      <c r="D498" t="s">
        <v>125</v>
      </c>
      <c r="E498" t="s">
        <v>73</v>
      </c>
      <c r="F498" t="s">
        <v>74</v>
      </c>
      <c r="G498" t="s">
        <v>127</v>
      </c>
      <c r="H498" t="s">
        <v>84</v>
      </c>
      <c r="I498" s="76">
        <v>5.0048817841215026E-7</v>
      </c>
    </row>
    <row r="499" spans="1:9" x14ac:dyDescent="0.35">
      <c r="A499" t="s">
        <v>14</v>
      </c>
      <c r="B499" t="s">
        <v>92</v>
      </c>
      <c r="C499" t="s">
        <v>81</v>
      </c>
      <c r="D499" t="s">
        <v>122</v>
      </c>
      <c r="E499" t="s">
        <v>73</v>
      </c>
      <c r="F499" t="s">
        <v>74</v>
      </c>
      <c r="G499" t="s">
        <v>127</v>
      </c>
      <c r="H499" t="s">
        <v>84</v>
      </c>
      <c r="I499" s="76">
        <v>0</v>
      </c>
    </row>
    <row r="500" spans="1:9" x14ac:dyDescent="0.35">
      <c r="A500" t="s">
        <v>14</v>
      </c>
      <c r="B500" t="s">
        <v>92</v>
      </c>
      <c r="C500" t="s">
        <v>81</v>
      </c>
      <c r="D500" t="s">
        <v>126</v>
      </c>
      <c r="E500" t="s">
        <v>73</v>
      </c>
      <c r="F500" t="s">
        <v>74</v>
      </c>
      <c r="G500" t="s">
        <v>127</v>
      </c>
      <c r="H500" t="s">
        <v>84</v>
      </c>
      <c r="I500" s="76">
        <v>0</v>
      </c>
    </row>
    <row r="501" spans="1:9" x14ac:dyDescent="0.35">
      <c r="A501" t="s">
        <v>14</v>
      </c>
      <c r="B501" t="s">
        <v>92</v>
      </c>
      <c r="C501" t="s">
        <v>81</v>
      </c>
      <c r="D501" t="s">
        <v>101</v>
      </c>
      <c r="E501" t="s">
        <v>73</v>
      </c>
      <c r="F501" t="s">
        <v>74</v>
      </c>
      <c r="G501" t="s">
        <v>127</v>
      </c>
      <c r="H501" t="s">
        <v>84</v>
      </c>
      <c r="I501" s="76">
        <v>0</v>
      </c>
    </row>
    <row r="502" spans="1:9" x14ac:dyDescent="0.35">
      <c r="A502" t="s">
        <v>14</v>
      </c>
      <c r="B502" t="s">
        <v>92</v>
      </c>
      <c r="C502" t="s">
        <v>81</v>
      </c>
      <c r="D502" t="s">
        <v>104</v>
      </c>
      <c r="E502" t="s">
        <v>73</v>
      </c>
      <c r="F502" t="s">
        <v>74</v>
      </c>
      <c r="G502" t="s">
        <v>127</v>
      </c>
      <c r="H502" t="s">
        <v>84</v>
      </c>
      <c r="I502" s="76">
        <v>0</v>
      </c>
    </row>
    <row r="503" spans="1:9" x14ac:dyDescent="0.35">
      <c r="A503" t="s">
        <v>14</v>
      </c>
      <c r="B503" t="s">
        <v>92</v>
      </c>
      <c r="C503" t="s">
        <v>81</v>
      </c>
      <c r="D503" t="s">
        <v>106</v>
      </c>
      <c r="E503" t="s">
        <v>73</v>
      </c>
      <c r="F503" t="s">
        <v>74</v>
      </c>
      <c r="G503" t="s">
        <v>127</v>
      </c>
      <c r="H503" t="s">
        <v>84</v>
      </c>
      <c r="I503" s="76">
        <v>0</v>
      </c>
    </row>
    <row r="504" spans="1:9" x14ac:dyDescent="0.35">
      <c r="A504" t="s">
        <v>14</v>
      </c>
      <c r="B504" t="s">
        <v>93</v>
      </c>
      <c r="C504" t="s">
        <v>81</v>
      </c>
      <c r="D504" t="s">
        <v>119</v>
      </c>
      <c r="E504" t="s">
        <v>73</v>
      </c>
      <c r="F504" t="s">
        <v>74</v>
      </c>
      <c r="G504" t="s">
        <v>127</v>
      </c>
      <c r="H504" t="s">
        <v>84</v>
      </c>
      <c r="I504" s="76">
        <f>'SUT_EU27 total'!$M$107</f>
        <v>1.0000807460939076</v>
      </c>
    </row>
    <row r="505" spans="1:9" x14ac:dyDescent="0.35">
      <c r="A505" t="s">
        <v>14</v>
      </c>
      <c r="B505" t="s">
        <v>93</v>
      </c>
      <c r="C505" t="s">
        <v>81</v>
      </c>
      <c r="D505" t="s">
        <v>124</v>
      </c>
      <c r="E505" t="s">
        <v>73</v>
      </c>
      <c r="F505" t="s">
        <v>74</v>
      </c>
      <c r="G505" t="s">
        <v>127</v>
      </c>
      <c r="H505" t="s">
        <v>84</v>
      </c>
      <c r="I505" s="76" cm="1">
        <f t="array" ref="I505:I513">'SUT_EU27 total'!$M$111:$M$119</f>
        <v>3.7052409430862396E-4</v>
      </c>
    </row>
    <row r="506" spans="1:9" x14ac:dyDescent="0.35">
      <c r="A506" t="s">
        <v>14</v>
      </c>
      <c r="B506" t="s">
        <v>93</v>
      </c>
      <c r="C506" t="s">
        <v>81</v>
      </c>
      <c r="D506" t="s">
        <v>117</v>
      </c>
      <c r="E506" t="s">
        <v>73</v>
      </c>
      <c r="F506" t="s">
        <v>74</v>
      </c>
      <c r="G506" t="s">
        <v>127</v>
      </c>
      <c r="H506" t="s">
        <v>84</v>
      </c>
      <c r="I506" s="76">
        <v>5.8414042458127093E-3</v>
      </c>
    </row>
    <row r="507" spans="1:9" x14ac:dyDescent="0.35">
      <c r="A507" t="s">
        <v>14</v>
      </c>
      <c r="B507" t="s">
        <v>93</v>
      </c>
      <c r="C507" t="s">
        <v>81</v>
      </c>
      <c r="D507" t="s">
        <v>82</v>
      </c>
      <c r="E507" t="s">
        <v>73</v>
      </c>
      <c r="F507" t="s">
        <v>74</v>
      </c>
      <c r="G507" t="s">
        <v>127</v>
      </c>
      <c r="H507" t="s">
        <v>84</v>
      </c>
      <c r="I507" s="76">
        <v>5.0319447308723453E-3</v>
      </c>
    </row>
    <row r="508" spans="1:9" x14ac:dyDescent="0.35">
      <c r="A508" t="s">
        <v>14</v>
      </c>
      <c r="B508" t="s">
        <v>93</v>
      </c>
      <c r="C508" t="s">
        <v>81</v>
      </c>
      <c r="D508" t="s">
        <v>125</v>
      </c>
      <c r="E508" t="s">
        <v>73</v>
      </c>
      <c r="F508" t="s">
        <v>74</v>
      </c>
      <c r="G508" t="s">
        <v>127</v>
      </c>
      <c r="H508" t="s">
        <v>84</v>
      </c>
      <c r="I508" s="76">
        <v>4.336096678710085E-4</v>
      </c>
    </row>
    <row r="509" spans="1:9" x14ac:dyDescent="0.35">
      <c r="A509" t="s">
        <v>14</v>
      </c>
      <c r="B509" t="s">
        <v>93</v>
      </c>
      <c r="C509" t="s">
        <v>81</v>
      </c>
      <c r="D509" t="s">
        <v>122</v>
      </c>
      <c r="E509" t="s">
        <v>73</v>
      </c>
      <c r="F509" t="s">
        <v>74</v>
      </c>
      <c r="G509" t="s">
        <v>127</v>
      </c>
      <c r="H509" t="s">
        <v>84</v>
      </c>
      <c r="I509" s="76">
        <v>2.7129607609988112E-3</v>
      </c>
    </row>
    <row r="510" spans="1:9" x14ac:dyDescent="0.35">
      <c r="A510" t="s">
        <v>14</v>
      </c>
      <c r="B510" t="s">
        <v>93</v>
      </c>
      <c r="C510" t="s">
        <v>81</v>
      </c>
      <c r="D510" t="s">
        <v>126</v>
      </c>
      <c r="E510" t="s">
        <v>73</v>
      </c>
      <c r="F510" t="s">
        <v>74</v>
      </c>
      <c r="G510" t="s">
        <v>127</v>
      </c>
      <c r="H510" t="s">
        <v>84</v>
      </c>
      <c r="I510" s="76">
        <v>4.3855511603587784E-2</v>
      </c>
    </row>
    <row r="511" spans="1:9" x14ac:dyDescent="0.35">
      <c r="A511" t="s">
        <v>14</v>
      </c>
      <c r="B511" t="s">
        <v>93</v>
      </c>
      <c r="C511" t="s">
        <v>81</v>
      </c>
      <c r="D511" t="s">
        <v>101</v>
      </c>
      <c r="E511" t="s">
        <v>73</v>
      </c>
      <c r="F511" t="s">
        <v>74</v>
      </c>
      <c r="G511" t="s">
        <v>127</v>
      </c>
      <c r="H511" t="s">
        <v>84</v>
      </c>
      <c r="I511" s="76">
        <v>0</v>
      </c>
    </row>
    <row r="512" spans="1:9" x14ac:dyDescent="0.35">
      <c r="A512" t="s">
        <v>14</v>
      </c>
      <c r="B512" t="s">
        <v>93</v>
      </c>
      <c r="C512" t="s">
        <v>81</v>
      </c>
      <c r="D512" t="s">
        <v>104</v>
      </c>
      <c r="E512" t="s">
        <v>73</v>
      </c>
      <c r="F512" t="s">
        <v>74</v>
      </c>
      <c r="G512" t="s">
        <v>127</v>
      </c>
      <c r="H512" t="s">
        <v>84</v>
      </c>
      <c r="I512" s="76">
        <v>0</v>
      </c>
    </row>
    <row r="513" spans="1:9" x14ac:dyDescent="0.35">
      <c r="A513" t="s">
        <v>14</v>
      </c>
      <c r="B513" t="s">
        <v>93</v>
      </c>
      <c r="C513" t="s">
        <v>81</v>
      </c>
      <c r="D513" t="s">
        <v>106</v>
      </c>
      <c r="E513" t="s">
        <v>73</v>
      </c>
      <c r="F513" t="s">
        <v>74</v>
      </c>
      <c r="G513" t="s">
        <v>127</v>
      </c>
      <c r="H513" t="s">
        <v>84</v>
      </c>
      <c r="I513" s="76">
        <v>0</v>
      </c>
    </row>
    <row r="514" spans="1:9" x14ac:dyDescent="0.35">
      <c r="A514" t="s">
        <v>14</v>
      </c>
      <c r="B514" t="s">
        <v>73</v>
      </c>
      <c r="C514" t="s">
        <v>81</v>
      </c>
      <c r="D514" t="s">
        <v>82</v>
      </c>
      <c r="E514" t="s">
        <v>73</v>
      </c>
      <c r="F514" t="s">
        <v>74</v>
      </c>
      <c r="G514" t="s">
        <v>128</v>
      </c>
      <c r="H514" t="s">
        <v>84</v>
      </c>
      <c r="I514" s="76">
        <f>'SUT_EU27 total'!$N$28</f>
        <v>1.4658301341380521E-2</v>
      </c>
    </row>
    <row r="515" spans="1:9" x14ac:dyDescent="0.35">
      <c r="A515" t="s">
        <v>14</v>
      </c>
      <c r="B515" t="s">
        <v>73</v>
      </c>
      <c r="C515" t="s">
        <v>81</v>
      </c>
      <c r="D515" t="s">
        <v>86</v>
      </c>
      <c r="E515" t="s">
        <v>73</v>
      </c>
      <c r="F515" t="s">
        <v>74</v>
      </c>
      <c r="G515" t="s">
        <v>128</v>
      </c>
      <c r="H515" t="s">
        <v>84</v>
      </c>
      <c r="I515" s="76">
        <f>'SUT_EU27 total'!$N$35</f>
        <v>3.0740776778828832E-3</v>
      </c>
    </row>
    <row r="516" spans="1:9" x14ac:dyDescent="0.35">
      <c r="A516" t="s">
        <v>14</v>
      </c>
      <c r="B516" t="s">
        <v>88</v>
      </c>
      <c r="C516" t="s">
        <v>81</v>
      </c>
      <c r="D516" t="s">
        <v>82</v>
      </c>
      <c r="E516" t="s">
        <v>73</v>
      </c>
      <c r="F516" t="s">
        <v>74</v>
      </c>
      <c r="G516" t="s">
        <v>128</v>
      </c>
      <c r="H516" t="s">
        <v>84</v>
      </c>
      <c r="I516" s="76">
        <f>'SUT_EU27 total'!$N$45</f>
        <v>9.2276548594747033E-3</v>
      </c>
    </row>
    <row r="517" spans="1:9" x14ac:dyDescent="0.35">
      <c r="A517" t="s">
        <v>14</v>
      </c>
      <c r="B517" t="s">
        <v>88</v>
      </c>
      <c r="C517" t="s">
        <v>81</v>
      </c>
      <c r="D517" t="s">
        <v>86</v>
      </c>
      <c r="E517" t="s">
        <v>73</v>
      </c>
      <c r="F517" t="s">
        <v>74</v>
      </c>
      <c r="G517" t="s">
        <v>128</v>
      </c>
      <c r="H517" t="s">
        <v>84</v>
      </c>
      <c r="I517" s="76">
        <f>'SUT_EU27 total'!$N$52</f>
        <v>6.9627451701437512E-2</v>
      </c>
    </row>
    <row r="518" spans="1:9" x14ac:dyDescent="0.35">
      <c r="A518" t="s">
        <v>14</v>
      </c>
      <c r="B518" t="s">
        <v>90</v>
      </c>
      <c r="C518" t="s">
        <v>81</v>
      </c>
      <c r="D518" t="s">
        <v>82</v>
      </c>
      <c r="E518" t="s">
        <v>73</v>
      </c>
      <c r="F518" t="s">
        <v>74</v>
      </c>
      <c r="G518" t="s">
        <v>128</v>
      </c>
      <c r="H518" t="s">
        <v>84</v>
      </c>
      <c r="I518" s="76">
        <f>'SUT_EU27 total'!$N$62</f>
        <v>2.2200107734217647E-6</v>
      </c>
    </row>
    <row r="519" spans="1:9" x14ac:dyDescent="0.35">
      <c r="A519" t="s">
        <v>14</v>
      </c>
      <c r="B519" t="s">
        <v>90</v>
      </c>
      <c r="C519" t="s">
        <v>81</v>
      </c>
      <c r="D519" t="s">
        <v>86</v>
      </c>
      <c r="E519" t="s">
        <v>73</v>
      </c>
      <c r="F519" t="s">
        <v>74</v>
      </c>
      <c r="G519" t="s">
        <v>128</v>
      </c>
      <c r="H519" t="s">
        <v>84</v>
      </c>
      <c r="I519" s="76">
        <f>'SUT_EU27 total'!$N$69</f>
        <v>9.1135123377023061E-3</v>
      </c>
    </row>
    <row r="520" spans="1:9" x14ac:dyDescent="0.35">
      <c r="A520" t="s">
        <v>14</v>
      </c>
      <c r="B520" t="s">
        <v>91</v>
      </c>
      <c r="C520" t="s">
        <v>81</v>
      </c>
      <c r="D520" t="s">
        <v>82</v>
      </c>
      <c r="E520" t="s">
        <v>73</v>
      </c>
      <c r="F520" t="s">
        <v>74</v>
      </c>
      <c r="G520" t="s">
        <v>128</v>
      </c>
      <c r="H520" t="s">
        <v>84</v>
      </c>
      <c r="I520" s="76">
        <f>'SUT_EU27 total'!$N$79</f>
        <v>4.3195382907628159E-4</v>
      </c>
    </row>
    <row r="521" spans="1:9" x14ac:dyDescent="0.35">
      <c r="A521" t="s">
        <v>14</v>
      </c>
      <c r="B521" t="s">
        <v>91</v>
      </c>
      <c r="C521" t="s">
        <v>81</v>
      </c>
      <c r="D521" t="s">
        <v>86</v>
      </c>
      <c r="E521" t="s">
        <v>73</v>
      </c>
      <c r="F521" t="s">
        <v>74</v>
      </c>
      <c r="G521" t="s">
        <v>128</v>
      </c>
      <c r="H521" t="s">
        <v>84</v>
      </c>
      <c r="I521" s="76">
        <f>'SUT_EU27 total'!$N$86</f>
        <v>1.1339568587203704E-2</v>
      </c>
    </row>
    <row r="522" spans="1:9" x14ac:dyDescent="0.35">
      <c r="A522" t="s">
        <v>14</v>
      </c>
      <c r="B522" t="s">
        <v>92</v>
      </c>
      <c r="C522" t="s">
        <v>81</v>
      </c>
      <c r="D522" t="s">
        <v>82</v>
      </c>
      <c r="E522" t="s">
        <v>73</v>
      </c>
      <c r="F522" t="s">
        <v>74</v>
      </c>
      <c r="G522" t="s">
        <v>128</v>
      </c>
      <c r="H522" t="s">
        <v>84</v>
      </c>
      <c r="I522" s="76">
        <f>'SUT_EU27 total'!$N$96</f>
        <v>5.9963902402539811E-4</v>
      </c>
    </row>
    <row r="523" spans="1:9" x14ac:dyDescent="0.35">
      <c r="A523" t="s">
        <v>14</v>
      </c>
      <c r="B523" t="s">
        <v>92</v>
      </c>
      <c r="C523" t="s">
        <v>81</v>
      </c>
      <c r="D523" t="s">
        <v>86</v>
      </c>
      <c r="E523" t="s">
        <v>73</v>
      </c>
      <c r="F523" t="s">
        <v>74</v>
      </c>
      <c r="G523" t="s">
        <v>128</v>
      </c>
      <c r="H523" t="s">
        <v>84</v>
      </c>
      <c r="I523" s="76">
        <f>'SUT_EU27 total'!$N$103</f>
        <v>7.0614092017150581E-3</v>
      </c>
    </row>
    <row r="524" spans="1:9" x14ac:dyDescent="0.35">
      <c r="A524" t="s">
        <v>14</v>
      </c>
      <c r="B524" t="s">
        <v>93</v>
      </c>
      <c r="C524" t="s">
        <v>81</v>
      </c>
      <c r="D524" t="s">
        <v>82</v>
      </c>
      <c r="E524" t="s">
        <v>73</v>
      </c>
      <c r="F524" t="s">
        <v>74</v>
      </c>
      <c r="G524" t="s">
        <v>128</v>
      </c>
      <c r="H524" t="s">
        <v>84</v>
      </c>
      <c r="I524" s="76">
        <f>'SUT_EU27 total'!$N$113</f>
        <v>2.4854239602480213E-3</v>
      </c>
    </row>
    <row r="525" spans="1:9" x14ac:dyDescent="0.35">
      <c r="A525" t="s">
        <v>14</v>
      </c>
      <c r="B525" t="s">
        <v>93</v>
      </c>
      <c r="C525" t="s">
        <v>81</v>
      </c>
      <c r="D525" t="s">
        <v>86</v>
      </c>
      <c r="E525" t="s">
        <v>73</v>
      </c>
      <c r="F525" t="s">
        <v>74</v>
      </c>
      <c r="G525" t="s">
        <v>128</v>
      </c>
      <c r="H525" t="s">
        <v>84</v>
      </c>
      <c r="I525" s="76">
        <f>'SUT_EU27 total'!$N$120</f>
        <v>3.1580644155014347E-2</v>
      </c>
    </row>
    <row r="526" spans="1:9" x14ac:dyDescent="0.35">
      <c r="A526" t="s">
        <v>14</v>
      </c>
      <c r="B526" t="s">
        <v>73</v>
      </c>
      <c r="C526" t="s">
        <v>81</v>
      </c>
      <c r="D526" t="s">
        <v>82</v>
      </c>
      <c r="E526" t="s">
        <v>73</v>
      </c>
      <c r="F526" t="s">
        <v>74</v>
      </c>
      <c r="G526" t="s">
        <v>129</v>
      </c>
      <c r="H526" t="s">
        <v>84</v>
      </c>
      <c r="I526" s="76">
        <f>'SUT_EU27 total'!$O$28</f>
        <v>1.4658301341380521E-2</v>
      </c>
    </row>
    <row r="527" spans="1:9" x14ac:dyDescent="0.35">
      <c r="A527" t="s">
        <v>14</v>
      </c>
      <c r="B527" t="s">
        <v>73</v>
      </c>
      <c r="C527" t="s">
        <v>81</v>
      </c>
      <c r="D527" t="s">
        <v>86</v>
      </c>
      <c r="E527" t="s">
        <v>73</v>
      </c>
      <c r="F527" t="s">
        <v>74</v>
      </c>
      <c r="G527" t="s">
        <v>129</v>
      </c>
      <c r="H527" t="s">
        <v>84</v>
      </c>
      <c r="I527" s="76">
        <f>'SUT_EU27 total'!$O$35</f>
        <v>3.0740776778828832E-3</v>
      </c>
    </row>
    <row r="528" spans="1:9" x14ac:dyDescent="0.35">
      <c r="A528" t="s">
        <v>14</v>
      </c>
      <c r="B528" t="s">
        <v>88</v>
      </c>
      <c r="C528" t="s">
        <v>81</v>
      </c>
      <c r="D528" t="s">
        <v>82</v>
      </c>
      <c r="E528" t="s">
        <v>73</v>
      </c>
      <c r="F528" t="s">
        <v>74</v>
      </c>
      <c r="G528" t="s">
        <v>129</v>
      </c>
      <c r="H528" t="s">
        <v>84</v>
      </c>
      <c r="I528" s="76">
        <f>'SUT_EU27 total'!$O$45</f>
        <v>9.2276548594747033E-3</v>
      </c>
    </row>
    <row r="529" spans="1:9" x14ac:dyDescent="0.35">
      <c r="A529" t="s">
        <v>14</v>
      </c>
      <c r="B529" t="s">
        <v>88</v>
      </c>
      <c r="C529" t="s">
        <v>81</v>
      </c>
      <c r="D529" t="s">
        <v>86</v>
      </c>
      <c r="E529" t="s">
        <v>73</v>
      </c>
      <c r="F529" t="s">
        <v>74</v>
      </c>
      <c r="G529" t="s">
        <v>129</v>
      </c>
      <c r="H529" t="s">
        <v>84</v>
      </c>
      <c r="I529" s="76">
        <f>'SUT_EU27 total'!$O$52</f>
        <v>6.9627451701437512E-2</v>
      </c>
    </row>
    <row r="530" spans="1:9" x14ac:dyDescent="0.35">
      <c r="A530" t="s">
        <v>14</v>
      </c>
      <c r="B530" t="s">
        <v>90</v>
      </c>
      <c r="C530" t="s">
        <v>81</v>
      </c>
      <c r="D530" t="s">
        <v>82</v>
      </c>
      <c r="E530" t="s">
        <v>73</v>
      </c>
      <c r="F530" t="s">
        <v>74</v>
      </c>
      <c r="G530" t="s">
        <v>129</v>
      </c>
      <c r="H530" t="s">
        <v>84</v>
      </c>
      <c r="I530" s="76">
        <f>'SUT_EU27 total'!$O$62</f>
        <v>2.2200107734217647E-6</v>
      </c>
    </row>
    <row r="531" spans="1:9" x14ac:dyDescent="0.35">
      <c r="A531" t="s">
        <v>14</v>
      </c>
      <c r="B531" t="s">
        <v>90</v>
      </c>
      <c r="C531" t="s">
        <v>81</v>
      </c>
      <c r="D531" t="s">
        <v>86</v>
      </c>
      <c r="E531" t="s">
        <v>73</v>
      </c>
      <c r="F531" t="s">
        <v>74</v>
      </c>
      <c r="G531" t="s">
        <v>129</v>
      </c>
      <c r="H531" t="s">
        <v>84</v>
      </c>
      <c r="I531" s="76">
        <f>'SUT_EU27 total'!$O$69</f>
        <v>9.1135123377023061E-3</v>
      </c>
    </row>
    <row r="532" spans="1:9" x14ac:dyDescent="0.35">
      <c r="A532" t="s">
        <v>14</v>
      </c>
      <c r="B532" t="s">
        <v>91</v>
      </c>
      <c r="C532" t="s">
        <v>81</v>
      </c>
      <c r="D532" t="s">
        <v>82</v>
      </c>
      <c r="E532" t="s">
        <v>73</v>
      </c>
      <c r="F532" t="s">
        <v>74</v>
      </c>
      <c r="G532" t="s">
        <v>129</v>
      </c>
      <c r="H532" t="s">
        <v>84</v>
      </c>
      <c r="I532" s="76">
        <f>'SUT_EU27 total'!$O$79</f>
        <v>4.3195382907628159E-4</v>
      </c>
    </row>
    <row r="533" spans="1:9" x14ac:dyDescent="0.35">
      <c r="A533" t="s">
        <v>14</v>
      </c>
      <c r="B533" t="s">
        <v>91</v>
      </c>
      <c r="C533" t="s">
        <v>81</v>
      </c>
      <c r="D533" t="s">
        <v>86</v>
      </c>
      <c r="E533" t="s">
        <v>73</v>
      </c>
      <c r="F533" t="s">
        <v>74</v>
      </c>
      <c r="G533" t="s">
        <v>129</v>
      </c>
      <c r="H533" t="s">
        <v>84</v>
      </c>
      <c r="I533" s="76">
        <f>'SUT_EU27 total'!$O$86</f>
        <v>1.1339568587203704E-2</v>
      </c>
    </row>
    <row r="534" spans="1:9" x14ac:dyDescent="0.35">
      <c r="A534" t="s">
        <v>14</v>
      </c>
      <c r="B534" t="s">
        <v>92</v>
      </c>
      <c r="C534" t="s">
        <v>81</v>
      </c>
      <c r="D534" t="s">
        <v>82</v>
      </c>
      <c r="E534" t="s">
        <v>73</v>
      </c>
      <c r="F534" t="s">
        <v>74</v>
      </c>
      <c r="G534" t="s">
        <v>129</v>
      </c>
      <c r="H534" t="s">
        <v>84</v>
      </c>
      <c r="I534" s="76">
        <f>'SUT_EU27 total'!$O$96</f>
        <v>5.9963902402539811E-4</v>
      </c>
    </row>
    <row r="535" spans="1:9" x14ac:dyDescent="0.35">
      <c r="A535" t="s">
        <v>14</v>
      </c>
      <c r="B535" t="s">
        <v>92</v>
      </c>
      <c r="C535" t="s">
        <v>81</v>
      </c>
      <c r="D535" t="s">
        <v>86</v>
      </c>
      <c r="E535" t="s">
        <v>73</v>
      </c>
      <c r="F535" t="s">
        <v>74</v>
      </c>
      <c r="G535" t="s">
        <v>129</v>
      </c>
      <c r="H535" t="s">
        <v>84</v>
      </c>
      <c r="I535" s="76">
        <f>'SUT_EU27 total'!$O$103</f>
        <v>7.0614092017150581E-3</v>
      </c>
    </row>
    <row r="536" spans="1:9" x14ac:dyDescent="0.35">
      <c r="A536" t="s">
        <v>14</v>
      </c>
      <c r="B536" t="s">
        <v>93</v>
      </c>
      <c r="C536" t="s">
        <v>81</v>
      </c>
      <c r="D536" t="s">
        <v>82</v>
      </c>
      <c r="E536" t="s">
        <v>73</v>
      </c>
      <c r="F536" t="s">
        <v>74</v>
      </c>
      <c r="G536" t="s">
        <v>129</v>
      </c>
      <c r="H536" t="s">
        <v>84</v>
      </c>
      <c r="I536" s="76">
        <f>'SUT_EU27 total'!$O$113</f>
        <v>2.4854239602480213E-3</v>
      </c>
    </row>
    <row r="537" spans="1:9" x14ac:dyDescent="0.35">
      <c r="A537" t="s">
        <v>14</v>
      </c>
      <c r="B537" t="s">
        <v>93</v>
      </c>
      <c r="C537" t="s">
        <v>81</v>
      </c>
      <c r="D537" t="s">
        <v>86</v>
      </c>
      <c r="E537" t="s">
        <v>73</v>
      </c>
      <c r="F537" t="s">
        <v>74</v>
      </c>
      <c r="G537" t="s">
        <v>129</v>
      </c>
      <c r="H537" t="s">
        <v>84</v>
      </c>
      <c r="I537" s="76">
        <f>'SUT_EU27 total'!$O$120</f>
        <v>3.1580644155014347E-2</v>
      </c>
    </row>
    <row r="538" spans="1:9" x14ac:dyDescent="0.35">
      <c r="A538" t="s">
        <v>14</v>
      </c>
      <c r="B538" t="s">
        <v>73</v>
      </c>
      <c r="C538" t="s">
        <v>81</v>
      </c>
      <c r="D538" t="s">
        <v>82</v>
      </c>
      <c r="E538" t="s">
        <v>73</v>
      </c>
      <c r="F538" t="s">
        <v>74</v>
      </c>
      <c r="G538" t="s">
        <v>130</v>
      </c>
      <c r="H538" t="s">
        <v>84</v>
      </c>
      <c r="I538" s="76">
        <f>'SUT_EU27 total'!$Q$28</f>
        <v>7.0611384178638645E-2</v>
      </c>
    </row>
    <row r="539" spans="1:9" x14ac:dyDescent="0.35">
      <c r="A539" t="s">
        <v>14</v>
      </c>
      <c r="B539" t="s">
        <v>88</v>
      </c>
      <c r="C539" t="s">
        <v>81</v>
      </c>
      <c r="D539" t="s">
        <v>82</v>
      </c>
      <c r="E539" t="s">
        <v>73</v>
      </c>
      <c r="F539" t="s">
        <v>74</v>
      </c>
      <c r="G539" t="s">
        <v>130</v>
      </c>
      <c r="H539" t="s">
        <v>84</v>
      </c>
      <c r="I539" s="76">
        <f>'SUT_EU27 total'!$Q$45</f>
        <v>4.4451090694311274E-2</v>
      </c>
    </row>
    <row r="540" spans="1:9" x14ac:dyDescent="0.35">
      <c r="A540" t="s">
        <v>14</v>
      </c>
      <c r="B540" t="s">
        <v>90</v>
      </c>
      <c r="C540" t="s">
        <v>81</v>
      </c>
      <c r="D540" t="s">
        <v>82</v>
      </c>
      <c r="E540" t="s">
        <v>73</v>
      </c>
      <c r="F540" t="s">
        <v>74</v>
      </c>
      <c r="G540" t="s">
        <v>130</v>
      </c>
      <c r="H540" t="s">
        <v>84</v>
      </c>
      <c r="I540" s="76">
        <f>'SUT_EU27 total'!$Q$62</f>
        <v>1.0694147292515508E-5</v>
      </c>
    </row>
    <row r="541" spans="1:9" x14ac:dyDescent="0.35">
      <c r="A541" t="s">
        <v>14</v>
      </c>
      <c r="B541" t="s">
        <v>91</v>
      </c>
      <c r="C541" t="s">
        <v>81</v>
      </c>
      <c r="D541" t="s">
        <v>82</v>
      </c>
      <c r="E541" t="s">
        <v>73</v>
      </c>
      <c r="F541" t="s">
        <v>74</v>
      </c>
      <c r="G541" t="s">
        <v>130</v>
      </c>
      <c r="H541" t="s">
        <v>84</v>
      </c>
      <c r="I541" s="76">
        <f>'SUT_EU27 total'!$Q$79</f>
        <v>2.0807907452574416E-3</v>
      </c>
    </row>
    <row r="542" spans="1:9" x14ac:dyDescent="0.35">
      <c r="A542" t="s">
        <v>14</v>
      </c>
      <c r="B542" t="s">
        <v>92</v>
      </c>
      <c r="C542" t="s">
        <v>81</v>
      </c>
      <c r="D542" t="s">
        <v>82</v>
      </c>
      <c r="E542" t="s">
        <v>73</v>
      </c>
      <c r="F542" t="s">
        <v>74</v>
      </c>
      <c r="G542" t="s">
        <v>130</v>
      </c>
      <c r="H542" t="s">
        <v>84</v>
      </c>
      <c r="I542" s="76">
        <f>'SUT_EU27 total'!$Q$96</f>
        <v>2.8885571737041122E-3</v>
      </c>
    </row>
    <row r="543" spans="1:9" x14ac:dyDescent="0.35">
      <c r="A543" t="s">
        <v>14</v>
      </c>
      <c r="B543" t="s">
        <v>93</v>
      </c>
      <c r="C543" t="s">
        <v>81</v>
      </c>
      <c r="D543" t="s">
        <v>82</v>
      </c>
      <c r="E543" t="s">
        <v>73</v>
      </c>
      <c r="F543" t="s">
        <v>74</v>
      </c>
      <c r="G543" t="s">
        <v>130</v>
      </c>
      <c r="H543" t="s">
        <v>84</v>
      </c>
      <c r="I543" s="76">
        <f>'SUT_EU27 total'!$Q$113</f>
        <v>1.1972685102906883E-2</v>
      </c>
    </row>
    <row r="544" spans="1:9" x14ac:dyDescent="0.35">
      <c r="A544" t="s">
        <v>14</v>
      </c>
      <c r="B544" t="s">
        <v>73</v>
      </c>
      <c r="C544" t="s">
        <v>81</v>
      </c>
      <c r="D544" t="s">
        <v>131</v>
      </c>
      <c r="E544" t="s">
        <v>73</v>
      </c>
      <c r="F544" t="s">
        <v>74</v>
      </c>
      <c r="G544" t="s">
        <v>112</v>
      </c>
      <c r="H544" t="s">
        <v>84</v>
      </c>
      <c r="I544" s="76">
        <f>'SUT_EU27 total'!$R$24</f>
        <v>4.0146105919003111E-8</v>
      </c>
    </row>
    <row r="545" spans="1:9" x14ac:dyDescent="0.35">
      <c r="A545" t="s">
        <v>14</v>
      </c>
      <c r="B545" t="s">
        <v>73</v>
      </c>
      <c r="C545" t="s">
        <v>81</v>
      </c>
      <c r="D545" t="s">
        <v>122</v>
      </c>
      <c r="E545" t="s">
        <v>73</v>
      </c>
      <c r="F545" t="s">
        <v>74</v>
      </c>
      <c r="G545" t="s">
        <v>112</v>
      </c>
      <c r="H545" t="s">
        <v>84</v>
      </c>
      <c r="I545" s="76">
        <f>'SUT_EU27 total'!$R$30</f>
        <v>3.9708116569218732E-4</v>
      </c>
    </row>
    <row r="546" spans="1:9" x14ac:dyDescent="0.35">
      <c r="A546" t="s">
        <v>14</v>
      </c>
      <c r="B546" t="s">
        <v>73</v>
      </c>
      <c r="C546" t="s">
        <v>81</v>
      </c>
      <c r="D546" t="s">
        <v>101</v>
      </c>
      <c r="E546" t="s">
        <v>73</v>
      </c>
      <c r="F546" t="s">
        <v>74</v>
      </c>
      <c r="G546" t="s">
        <v>112</v>
      </c>
      <c r="H546" t="s">
        <v>84</v>
      </c>
      <c r="I546" s="76" cm="1">
        <f t="array" ref="I546:I548">'SUT_EU27 total'!$R$32:$R$34</f>
        <v>1.2183459827918709E-7</v>
      </c>
    </row>
    <row r="547" spans="1:9" x14ac:dyDescent="0.35">
      <c r="A547" t="s">
        <v>14</v>
      </c>
      <c r="B547" t="s">
        <v>73</v>
      </c>
      <c r="C547" t="s">
        <v>81</v>
      </c>
      <c r="D547" t="s">
        <v>104</v>
      </c>
      <c r="E547" t="s">
        <v>73</v>
      </c>
      <c r="F547" t="s">
        <v>74</v>
      </c>
      <c r="G547" t="s">
        <v>112</v>
      </c>
      <c r="H547" t="s">
        <v>84</v>
      </c>
      <c r="I547" s="76">
        <v>2.3068290654205609E-7</v>
      </c>
    </row>
    <row r="548" spans="1:9" x14ac:dyDescent="0.35">
      <c r="A548" t="s">
        <v>14</v>
      </c>
      <c r="B548" t="s">
        <v>73</v>
      </c>
      <c r="C548" t="s">
        <v>81</v>
      </c>
      <c r="D548" t="s">
        <v>106</v>
      </c>
      <c r="E548" t="s">
        <v>73</v>
      </c>
      <c r="F548" t="s">
        <v>74</v>
      </c>
      <c r="G548" t="s">
        <v>112</v>
      </c>
      <c r="H548" t="s">
        <v>84</v>
      </c>
      <c r="I548" s="76">
        <v>7.8463573653760568E-7</v>
      </c>
    </row>
    <row r="549" spans="1:9" x14ac:dyDescent="0.35">
      <c r="A549" t="s">
        <v>14</v>
      </c>
      <c r="B549" t="s">
        <v>88</v>
      </c>
      <c r="C549" t="s">
        <v>81</v>
      </c>
      <c r="D549" t="s">
        <v>131</v>
      </c>
      <c r="E549" t="s">
        <v>73</v>
      </c>
      <c r="F549" t="s">
        <v>74</v>
      </c>
      <c r="G549" t="s">
        <v>112</v>
      </c>
      <c r="H549" t="s">
        <v>84</v>
      </c>
      <c r="I549" s="76">
        <f>'SUT_EU27 total'!$R$41</f>
        <v>0</v>
      </c>
    </row>
    <row r="550" spans="1:9" x14ac:dyDescent="0.35">
      <c r="A550" t="s">
        <v>14</v>
      </c>
      <c r="B550" t="s">
        <v>88</v>
      </c>
      <c r="C550" t="s">
        <v>81</v>
      </c>
      <c r="D550" t="s">
        <v>122</v>
      </c>
      <c r="E550" t="s">
        <v>73</v>
      </c>
      <c r="F550" t="s">
        <v>74</v>
      </c>
      <c r="G550" t="s">
        <v>112</v>
      </c>
      <c r="H550" t="s">
        <v>84</v>
      </c>
      <c r="I550" s="76">
        <f>'SUT_EU27 total'!$R$47</f>
        <v>0</v>
      </c>
    </row>
    <row r="551" spans="1:9" x14ac:dyDescent="0.35">
      <c r="A551" t="s">
        <v>14</v>
      </c>
      <c r="B551" t="s">
        <v>88</v>
      </c>
      <c r="C551" t="s">
        <v>81</v>
      </c>
      <c r="D551" t="s">
        <v>101</v>
      </c>
      <c r="E551" t="s">
        <v>73</v>
      </c>
      <c r="F551" t="s">
        <v>74</v>
      </c>
      <c r="G551" t="s">
        <v>112</v>
      </c>
      <c r="H551" t="s">
        <v>84</v>
      </c>
      <c r="I551" s="76" cm="1">
        <f t="array" ref="I551:I553">'SUT_EU27 total'!$R$49:$R$51</f>
        <v>0</v>
      </c>
    </row>
    <row r="552" spans="1:9" x14ac:dyDescent="0.35">
      <c r="A552" t="s">
        <v>14</v>
      </c>
      <c r="B552" t="s">
        <v>88</v>
      </c>
      <c r="C552" t="s">
        <v>81</v>
      </c>
      <c r="D552" t="s">
        <v>104</v>
      </c>
      <c r="E552" t="s">
        <v>73</v>
      </c>
      <c r="F552" t="s">
        <v>74</v>
      </c>
      <c r="G552" t="s">
        <v>112</v>
      </c>
      <c r="H552" t="s">
        <v>84</v>
      </c>
      <c r="I552" s="76">
        <v>0</v>
      </c>
    </row>
    <row r="553" spans="1:9" x14ac:dyDescent="0.35">
      <c r="A553" t="s">
        <v>14</v>
      </c>
      <c r="B553" t="s">
        <v>88</v>
      </c>
      <c r="C553" t="s">
        <v>81</v>
      </c>
      <c r="D553" t="s">
        <v>106</v>
      </c>
      <c r="E553" t="s">
        <v>73</v>
      </c>
      <c r="F553" t="s">
        <v>74</v>
      </c>
      <c r="G553" t="s">
        <v>112</v>
      </c>
      <c r="H553" t="s">
        <v>84</v>
      </c>
      <c r="I553" s="76">
        <v>0</v>
      </c>
    </row>
    <row r="554" spans="1:9" x14ac:dyDescent="0.35">
      <c r="A554" t="s">
        <v>14</v>
      </c>
      <c r="B554" t="s">
        <v>90</v>
      </c>
      <c r="C554" t="s">
        <v>81</v>
      </c>
      <c r="D554" t="s">
        <v>131</v>
      </c>
      <c r="E554" t="s">
        <v>73</v>
      </c>
      <c r="F554" t="s">
        <v>74</v>
      </c>
      <c r="G554" t="s">
        <v>112</v>
      </c>
      <c r="H554" t="s">
        <v>84</v>
      </c>
      <c r="I554" s="76">
        <f>'SUT_EU27 total'!$R$58</f>
        <v>0</v>
      </c>
    </row>
    <row r="555" spans="1:9" x14ac:dyDescent="0.35">
      <c r="A555" t="s">
        <v>14</v>
      </c>
      <c r="B555" t="s">
        <v>90</v>
      </c>
      <c r="C555" t="s">
        <v>81</v>
      </c>
      <c r="D555" t="s">
        <v>122</v>
      </c>
      <c r="E555" t="s">
        <v>73</v>
      </c>
      <c r="F555" t="s">
        <v>74</v>
      </c>
      <c r="G555" t="s">
        <v>112</v>
      </c>
      <c r="H555" t="s">
        <v>84</v>
      </c>
      <c r="I555" s="76">
        <f>'SUT_EU27 total'!$R$64</f>
        <v>6.4108466461028498E-4</v>
      </c>
    </row>
    <row r="556" spans="1:9" x14ac:dyDescent="0.35">
      <c r="A556" t="s">
        <v>14</v>
      </c>
      <c r="B556" t="s">
        <v>90</v>
      </c>
      <c r="C556" t="s">
        <v>81</v>
      </c>
      <c r="D556" t="s">
        <v>101</v>
      </c>
      <c r="E556" t="s">
        <v>73</v>
      </c>
      <c r="F556" t="s">
        <v>74</v>
      </c>
      <c r="G556" t="s">
        <v>112</v>
      </c>
      <c r="H556" t="s">
        <v>84</v>
      </c>
      <c r="I556" s="76" cm="1">
        <f t="array" ref="I556:I558">'SUT_EU27 total'!$R$66:$R$68</f>
        <v>0</v>
      </c>
    </row>
    <row r="557" spans="1:9" x14ac:dyDescent="0.35">
      <c r="A557" t="s">
        <v>14</v>
      </c>
      <c r="B557" t="s">
        <v>90</v>
      </c>
      <c r="C557" t="s">
        <v>81</v>
      </c>
      <c r="D557" t="s">
        <v>104</v>
      </c>
      <c r="E557" t="s">
        <v>73</v>
      </c>
      <c r="F557" t="s">
        <v>74</v>
      </c>
      <c r="G557" t="s">
        <v>112</v>
      </c>
      <c r="H557" t="s">
        <v>84</v>
      </c>
      <c r="I557" s="76">
        <v>0</v>
      </c>
    </row>
    <row r="558" spans="1:9" x14ac:dyDescent="0.35">
      <c r="A558" t="s">
        <v>14</v>
      </c>
      <c r="B558" t="s">
        <v>90</v>
      </c>
      <c r="C558" t="s">
        <v>81</v>
      </c>
      <c r="D558" t="s">
        <v>106</v>
      </c>
      <c r="E558" t="s">
        <v>73</v>
      </c>
      <c r="F558" t="s">
        <v>74</v>
      </c>
      <c r="G558" t="s">
        <v>112</v>
      </c>
      <c r="H558" t="s">
        <v>84</v>
      </c>
      <c r="I558" s="76">
        <v>0</v>
      </c>
    </row>
    <row r="559" spans="1:9" x14ac:dyDescent="0.35">
      <c r="A559" t="s">
        <v>14</v>
      </c>
      <c r="B559" t="s">
        <v>91</v>
      </c>
      <c r="C559" t="s">
        <v>81</v>
      </c>
      <c r="D559" t="s">
        <v>131</v>
      </c>
      <c r="E559" t="s">
        <v>73</v>
      </c>
      <c r="F559" t="s">
        <v>74</v>
      </c>
      <c r="G559" t="s">
        <v>112</v>
      </c>
      <c r="H559" t="s">
        <v>84</v>
      </c>
      <c r="I559" s="76">
        <f>'SUT_EU27 total'!$R$75</f>
        <v>0</v>
      </c>
    </row>
    <row r="560" spans="1:9" x14ac:dyDescent="0.35">
      <c r="A560" t="s">
        <v>14</v>
      </c>
      <c r="B560" t="s">
        <v>91</v>
      </c>
      <c r="C560" t="s">
        <v>81</v>
      </c>
      <c r="D560" t="s">
        <v>122</v>
      </c>
      <c r="E560" t="s">
        <v>73</v>
      </c>
      <c r="F560" t="s">
        <v>74</v>
      </c>
      <c r="G560" t="s">
        <v>112</v>
      </c>
      <c r="H560" t="s">
        <v>84</v>
      </c>
      <c r="I560" s="76">
        <f>'SUT_EU27 total'!$R$81</f>
        <v>0</v>
      </c>
    </row>
    <row r="561" spans="1:9" x14ac:dyDescent="0.35">
      <c r="A561" t="s">
        <v>14</v>
      </c>
      <c r="B561" t="s">
        <v>91</v>
      </c>
      <c r="C561" t="s">
        <v>81</v>
      </c>
      <c r="D561" t="s">
        <v>101</v>
      </c>
      <c r="E561" t="s">
        <v>73</v>
      </c>
      <c r="F561" t="s">
        <v>74</v>
      </c>
      <c r="G561" t="s">
        <v>112</v>
      </c>
      <c r="H561" t="s">
        <v>84</v>
      </c>
      <c r="I561" s="76" cm="1">
        <f t="array" ref="I561:I563">'SUT_EU27 total'!$R$83:$R$85</f>
        <v>0</v>
      </c>
    </row>
    <row r="562" spans="1:9" x14ac:dyDescent="0.35">
      <c r="A562" t="s">
        <v>14</v>
      </c>
      <c r="B562" t="s">
        <v>91</v>
      </c>
      <c r="C562" t="s">
        <v>81</v>
      </c>
      <c r="D562" t="s">
        <v>104</v>
      </c>
      <c r="E562" t="s">
        <v>73</v>
      </c>
      <c r="F562" t="s">
        <v>74</v>
      </c>
      <c r="G562" t="s">
        <v>112</v>
      </c>
      <c r="H562" t="s">
        <v>84</v>
      </c>
      <c r="I562" s="76">
        <v>0</v>
      </c>
    </row>
    <row r="563" spans="1:9" x14ac:dyDescent="0.35">
      <c r="A563" t="s">
        <v>14</v>
      </c>
      <c r="B563" t="s">
        <v>91</v>
      </c>
      <c r="C563" t="s">
        <v>81</v>
      </c>
      <c r="D563" t="s">
        <v>106</v>
      </c>
      <c r="E563" t="s">
        <v>73</v>
      </c>
      <c r="F563" t="s">
        <v>74</v>
      </c>
      <c r="G563" t="s">
        <v>112</v>
      </c>
      <c r="H563" t="s">
        <v>84</v>
      </c>
      <c r="I563" s="76">
        <v>0</v>
      </c>
    </row>
    <row r="564" spans="1:9" x14ac:dyDescent="0.35">
      <c r="A564" t="s">
        <v>14</v>
      </c>
      <c r="B564" t="s">
        <v>92</v>
      </c>
      <c r="C564" t="s">
        <v>81</v>
      </c>
      <c r="D564" t="s">
        <v>131</v>
      </c>
      <c r="E564" t="s">
        <v>73</v>
      </c>
      <c r="F564" t="s">
        <v>74</v>
      </c>
      <c r="G564" t="s">
        <v>112</v>
      </c>
      <c r="H564" t="s">
        <v>84</v>
      </c>
      <c r="I564" s="76">
        <f>'SUT_EU27 total'!$R$92</f>
        <v>0</v>
      </c>
    </row>
    <row r="565" spans="1:9" x14ac:dyDescent="0.35">
      <c r="A565" t="s">
        <v>14</v>
      </c>
      <c r="B565" t="s">
        <v>92</v>
      </c>
      <c r="C565" t="s">
        <v>81</v>
      </c>
      <c r="D565" t="s">
        <v>122</v>
      </c>
      <c r="E565" t="s">
        <v>73</v>
      </c>
      <c r="F565" t="s">
        <v>74</v>
      </c>
      <c r="G565" t="s">
        <v>112</v>
      </c>
      <c r="H565" t="s">
        <v>84</v>
      </c>
      <c r="I565" s="76">
        <f>'SUT_EU27 total'!$R$98</f>
        <v>0</v>
      </c>
    </row>
    <row r="566" spans="1:9" x14ac:dyDescent="0.35">
      <c r="A566" t="s">
        <v>14</v>
      </c>
      <c r="B566" t="s">
        <v>92</v>
      </c>
      <c r="C566" t="s">
        <v>81</v>
      </c>
      <c r="D566" t="s">
        <v>101</v>
      </c>
      <c r="E566" t="s">
        <v>73</v>
      </c>
      <c r="F566" t="s">
        <v>74</v>
      </c>
      <c r="G566" t="s">
        <v>112</v>
      </c>
      <c r="H566" t="s">
        <v>84</v>
      </c>
      <c r="I566" s="76" cm="1">
        <f t="array" ref="I566:I568">'SUT_EU27 total'!$R$100:$R$102</f>
        <v>0</v>
      </c>
    </row>
    <row r="567" spans="1:9" x14ac:dyDescent="0.35">
      <c r="A567" t="s">
        <v>14</v>
      </c>
      <c r="B567" t="s">
        <v>92</v>
      </c>
      <c r="C567" t="s">
        <v>81</v>
      </c>
      <c r="D567" t="s">
        <v>104</v>
      </c>
      <c r="E567" t="s">
        <v>73</v>
      </c>
      <c r="F567" t="s">
        <v>74</v>
      </c>
      <c r="G567" t="s">
        <v>112</v>
      </c>
      <c r="H567" t="s">
        <v>84</v>
      </c>
      <c r="I567" s="76">
        <v>0</v>
      </c>
    </row>
    <row r="568" spans="1:9" x14ac:dyDescent="0.35">
      <c r="A568" t="s">
        <v>14</v>
      </c>
      <c r="B568" t="s">
        <v>92</v>
      </c>
      <c r="C568" t="s">
        <v>81</v>
      </c>
      <c r="D568" t="s">
        <v>106</v>
      </c>
      <c r="E568" t="s">
        <v>73</v>
      </c>
      <c r="F568" t="s">
        <v>74</v>
      </c>
      <c r="G568" t="s">
        <v>112</v>
      </c>
      <c r="H568" t="s">
        <v>84</v>
      </c>
      <c r="I568" s="76">
        <v>0</v>
      </c>
    </row>
    <row r="569" spans="1:9" x14ac:dyDescent="0.35">
      <c r="A569" t="s">
        <v>14</v>
      </c>
      <c r="B569" t="s">
        <v>93</v>
      </c>
      <c r="C569" t="s">
        <v>81</v>
      </c>
      <c r="D569" t="s">
        <v>131</v>
      </c>
      <c r="E569" t="s">
        <v>73</v>
      </c>
      <c r="F569" t="s">
        <v>74</v>
      </c>
      <c r="G569" t="s">
        <v>112</v>
      </c>
      <c r="H569" t="s">
        <v>84</v>
      </c>
      <c r="I569" s="76">
        <f>'SUT_EU27 total'!$R$109</f>
        <v>0</v>
      </c>
    </row>
    <row r="570" spans="1:9" x14ac:dyDescent="0.35">
      <c r="A570" t="s">
        <v>14</v>
      </c>
      <c r="B570" t="s">
        <v>93</v>
      </c>
      <c r="C570" t="s">
        <v>81</v>
      </c>
      <c r="D570" t="s">
        <v>122</v>
      </c>
      <c r="E570" t="s">
        <v>73</v>
      </c>
      <c r="F570" t="s">
        <v>74</v>
      </c>
      <c r="G570" t="s">
        <v>112</v>
      </c>
      <c r="H570" t="s">
        <v>84</v>
      </c>
      <c r="I570" s="76">
        <f>'SUT_EU27 total'!$R$115</f>
        <v>2.188358424259166E-3</v>
      </c>
    </row>
    <row r="571" spans="1:9" x14ac:dyDescent="0.35">
      <c r="A571" t="s">
        <v>14</v>
      </c>
      <c r="B571" t="s">
        <v>93</v>
      </c>
      <c r="C571" t="s">
        <v>81</v>
      </c>
      <c r="D571" t="s">
        <v>101</v>
      </c>
      <c r="E571" t="s">
        <v>73</v>
      </c>
      <c r="F571" t="s">
        <v>74</v>
      </c>
      <c r="G571" t="s">
        <v>112</v>
      </c>
      <c r="H571" t="s">
        <v>84</v>
      </c>
      <c r="I571" s="76" cm="1">
        <f t="array" ref="I571:I573">'SUT_EU27 total'!$R$117:$R$119</f>
        <v>0</v>
      </c>
    </row>
    <row r="572" spans="1:9" x14ac:dyDescent="0.35">
      <c r="A572" t="s">
        <v>14</v>
      </c>
      <c r="B572" t="s">
        <v>93</v>
      </c>
      <c r="C572" t="s">
        <v>81</v>
      </c>
      <c r="D572" t="s">
        <v>104</v>
      </c>
      <c r="E572" t="s">
        <v>73</v>
      </c>
      <c r="F572" t="s">
        <v>74</v>
      </c>
      <c r="G572" t="s">
        <v>112</v>
      </c>
      <c r="H572" t="s">
        <v>84</v>
      </c>
      <c r="I572" s="76">
        <v>0</v>
      </c>
    </row>
    <row r="573" spans="1:9" x14ac:dyDescent="0.35">
      <c r="A573" t="s">
        <v>14</v>
      </c>
      <c r="B573" t="s">
        <v>93</v>
      </c>
      <c r="C573" t="s">
        <v>81</v>
      </c>
      <c r="D573" t="s">
        <v>106</v>
      </c>
      <c r="E573" t="s">
        <v>73</v>
      </c>
      <c r="F573" t="s">
        <v>74</v>
      </c>
      <c r="G573" t="s">
        <v>112</v>
      </c>
      <c r="H573" t="s">
        <v>84</v>
      </c>
      <c r="I573" s="76">
        <v>0</v>
      </c>
    </row>
    <row r="574" spans="1:9" x14ac:dyDescent="0.35">
      <c r="A574" t="s">
        <v>14</v>
      </c>
      <c r="B574" t="s">
        <v>73</v>
      </c>
      <c r="C574" t="s">
        <v>81</v>
      </c>
      <c r="D574" t="s">
        <v>131</v>
      </c>
      <c r="E574" t="s">
        <v>73</v>
      </c>
      <c r="F574" t="s">
        <v>74</v>
      </c>
      <c r="G574" t="s">
        <v>113</v>
      </c>
      <c r="H574" t="s">
        <v>84</v>
      </c>
      <c r="I574" s="76">
        <f>'SUT_EU27 total'!$S$24</f>
        <v>5.0294789999999994E-8</v>
      </c>
    </row>
    <row r="575" spans="1:9" x14ac:dyDescent="0.35">
      <c r="A575" t="s">
        <v>14</v>
      </c>
      <c r="B575" t="s">
        <v>73</v>
      </c>
      <c r="C575" t="s">
        <v>81</v>
      </c>
      <c r="D575" t="s">
        <v>101</v>
      </c>
      <c r="E575" t="s">
        <v>73</v>
      </c>
      <c r="F575" t="s">
        <v>74</v>
      </c>
      <c r="G575" t="s">
        <v>113</v>
      </c>
      <c r="H575" t="s">
        <v>84</v>
      </c>
      <c r="I575" s="76" cm="1">
        <f t="array" ref="I575:I577">'SUT_EU27 total'!$S$32:$S$34</f>
        <v>1.7883556705882356E-5</v>
      </c>
    </row>
    <row r="576" spans="1:9" x14ac:dyDescent="0.35">
      <c r="A576" t="s">
        <v>14</v>
      </c>
      <c r="B576" t="s">
        <v>73</v>
      </c>
      <c r="C576" t="s">
        <v>81</v>
      </c>
      <c r="D576" t="s">
        <v>104</v>
      </c>
      <c r="E576" t="s">
        <v>73</v>
      </c>
      <c r="F576" t="s">
        <v>74</v>
      </c>
      <c r="G576" t="s">
        <v>113</v>
      </c>
      <c r="H576" t="s">
        <v>84</v>
      </c>
      <c r="I576" s="76">
        <v>3.3860913882352942E-5</v>
      </c>
    </row>
    <row r="577" spans="1:9" x14ac:dyDescent="0.35">
      <c r="A577" t="s">
        <v>14</v>
      </c>
      <c r="B577" t="s">
        <v>73</v>
      </c>
      <c r="C577" t="s">
        <v>81</v>
      </c>
      <c r="D577" t="s">
        <v>106</v>
      </c>
      <c r="E577" t="s">
        <v>73</v>
      </c>
      <c r="F577" t="s">
        <v>74</v>
      </c>
      <c r="G577" t="s">
        <v>113</v>
      </c>
      <c r="H577" t="s">
        <v>84</v>
      </c>
      <c r="I577" s="76">
        <v>1.1517317647058823E-4</v>
      </c>
    </row>
    <row r="578" spans="1:9" x14ac:dyDescent="0.35">
      <c r="A578" t="s">
        <v>14</v>
      </c>
      <c r="B578" t="s">
        <v>88</v>
      </c>
      <c r="C578" t="s">
        <v>81</v>
      </c>
      <c r="D578" t="s">
        <v>131</v>
      </c>
      <c r="E578" t="s">
        <v>73</v>
      </c>
      <c r="F578" t="s">
        <v>74</v>
      </c>
      <c r="G578" t="s">
        <v>113</v>
      </c>
      <c r="H578" t="s">
        <v>84</v>
      </c>
      <c r="I578" s="76">
        <f>'SUT_EU27 total'!$S$41</f>
        <v>0</v>
      </c>
    </row>
    <row r="579" spans="1:9" x14ac:dyDescent="0.35">
      <c r="A579" t="s">
        <v>14</v>
      </c>
      <c r="B579" t="s">
        <v>88</v>
      </c>
      <c r="C579" t="s">
        <v>81</v>
      </c>
      <c r="D579" t="s">
        <v>101</v>
      </c>
      <c r="E579" t="s">
        <v>73</v>
      </c>
      <c r="F579" t="s">
        <v>74</v>
      </c>
      <c r="G579" t="s">
        <v>113</v>
      </c>
      <c r="H579" t="s">
        <v>84</v>
      </c>
      <c r="I579" s="76" cm="1">
        <f t="array" ref="I579:I581">'SUT_EU27 total'!$S$49:$S$51</f>
        <v>0</v>
      </c>
    </row>
    <row r="580" spans="1:9" x14ac:dyDescent="0.35">
      <c r="A580" t="s">
        <v>14</v>
      </c>
      <c r="B580" t="s">
        <v>88</v>
      </c>
      <c r="C580" t="s">
        <v>81</v>
      </c>
      <c r="D580" t="s">
        <v>104</v>
      </c>
      <c r="E580" t="s">
        <v>73</v>
      </c>
      <c r="F580" t="s">
        <v>74</v>
      </c>
      <c r="G580" t="s">
        <v>113</v>
      </c>
      <c r="H580" t="s">
        <v>84</v>
      </c>
      <c r="I580" s="76">
        <v>0</v>
      </c>
    </row>
    <row r="581" spans="1:9" x14ac:dyDescent="0.35">
      <c r="A581" t="s">
        <v>14</v>
      </c>
      <c r="B581" t="s">
        <v>88</v>
      </c>
      <c r="C581" t="s">
        <v>81</v>
      </c>
      <c r="D581" t="s">
        <v>106</v>
      </c>
      <c r="E581" t="s">
        <v>73</v>
      </c>
      <c r="F581" t="s">
        <v>74</v>
      </c>
      <c r="G581" t="s">
        <v>113</v>
      </c>
      <c r="H581" t="s">
        <v>84</v>
      </c>
      <c r="I581" s="76">
        <v>0</v>
      </c>
    </row>
    <row r="582" spans="1:9" x14ac:dyDescent="0.35">
      <c r="A582" t="s">
        <v>14</v>
      </c>
      <c r="B582" t="s">
        <v>90</v>
      </c>
      <c r="C582" t="s">
        <v>81</v>
      </c>
      <c r="D582" t="s">
        <v>131</v>
      </c>
      <c r="E582" t="s">
        <v>73</v>
      </c>
      <c r="F582" t="s">
        <v>74</v>
      </c>
      <c r="G582" t="s">
        <v>113</v>
      </c>
      <c r="H582" t="s">
        <v>84</v>
      </c>
      <c r="I582" s="76">
        <f>'SUT_EU27 total'!$S$58</f>
        <v>0</v>
      </c>
    </row>
    <row r="583" spans="1:9" x14ac:dyDescent="0.35">
      <c r="A583" t="s">
        <v>14</v>
      </c>
      <c r="B583" t="s">
        <v>90</v>
      </c>
      <c r="C583" t="s">
        <v>81</v>
      </c>
      <c r="D583" t="s">
        <v>101</v>
      </c>
      <c r="E583" t="s">
        <v>73</v>
      </c>
      <c r="F583" t="s">
        <v>74</v>
      </c>
      <c r="G583" t="s">
        <v>113</v>
      </c>
      <c r="H583" t="s">
        <v>84</v>
      </c>
      <c r="I583" s="76" cm="1">
        <f t="array" ref="I583:I585">'SUT_EU27 total'!$S$66:$S$68</f>
        <v>0</v>
      </c>
    </row>
    <row r="584" spans="1:9" x14ac:dyDescent="0.35">
      <c r="A584" t="s">
        <v>14</v>
      </c>
      <c r="B584" t="s">
        <v>90</v>
      </c>
      <c r="C584" t="s">
        <v>81</v>
      </c>
      <c r="D584" t="s">
        <v>104</v>
      </c>
      <c r="E584" t="s">
        <v>73</v>
      </c>
      <c r="F584" t="s">
        <v>74</v>
      </c>
      <c r="G584" t="s">
        <v>113</v>
      </c>
      <c r="H584" t="s">
        <v>84</v>
      </c>
      <c r="I584" s="76">
        <v>0</v>
      </c>
    </row>
    <row r="585" spans="1:9" x14ac:dyDescent="0.35">
      <c r="A585" t="s">
        <v>14</v>
      </c>
      <c r="B585" t="s">
        <v>90</v>
      </c>
      <c r="C585" t="s">
        <v>81</v>
      </c>
      <c r="D585" t="s">
        <v>106</v>
      </c>
      <c r="E585" t="s">
        <v>73</v>
      </c>
      <c r="F585" t="s">
        <v>74</v>
      </c>
      <c r="G585" t="s">
        <v>113</v>
      </c>
      <c r="H585" t="s">
        <v>84</v>
      </c>
      <c r="I585" s="76">
        <v>0</v>
      </c>
    </row>
    <row r="586" spans="1:9" x14ac:dyDescent="0.35">
      <c r="A586" t="s">
        <v>14</v>
      </c>
      <c r="B586" t="s">
        <v>91</v>
      </c>
      <c r="C586" t="s">
        <v>81</v>
      </c>
      <c r="D586" t="s">
        <v>131</v>
      </c>
      <c r="E586" t="s">
        <v>73</v>
      </c>
      <c r="F586" t="s">
        <v>74</v>
      </c>
      <c r="G586" t="s">
        <v>113</v>
      </c>
      <c r="H586" t="s">
        <v>84</v>
      </c>
      <c r="I586" s="76">
        <f>'SUT_EU27 total'!$S$75</f>
        <v>0</v>
      </c>
    </row>
    <row r="587" spans="1:9" x14ac:dyDescent="0.35">
      <c r="A587" t="s">
        <v>14</v>
      </c>
      <c r="B587" t="s">
        <v>91</v>
      </c>
      <c r="C587" t="s">
        <v>81</v>
      </c>
      <c r="D587" t="s">
        <v>101</v>
      </c>
      <c r="E587" t="s">
        <v>73</v>
      </c>
      <c r="F587" t="s">
        <v>74</v>
      </c>
      <c r="G587" t="s">
        <v>113</v>
      </c>
      <c r="H587" t="s">
        <v>84</v>
      </c>
      <c r="I587" s="76" cm="1">
        <f t="array" ref="I587:I589">'SUT_EU27 total'!$S$83:$S$85</f>
        <v>0</v>
      </c>
    </row>
    <row r="588" spans="1:9" x14ac:dyDescent="0.35">
      <c r="A588" t="s">
        <v>14</v>
      </c>
      <c r="B588" t="s">
        <v>91</v>
      </c>
      <c r="C588" t="s">
        <v>81</v>
      </c>
      <c r="D588" t="s">
        <v>104</v>
      </c>
      <c r="E588" t="s">
        <v>73</v>
      </c>
      <c r="F588" t="s">
        <v>74</v>
      </c>
      <c r="G588" t="s">
        <v>113</v>
      </c>
      <c r="H588" t="s">
        <v>84</v>
      </c>
      <c r="I588" s="76">
        <v>0</v>
      </c>
    </row>
    <row r="589" spans="1:9" x14ac:dyDescent="0.35">
      <c r="A589" t="s">
        <v>14</v>
      </c>
      <c r="B589" t="s">
        <v>91</v>
      </c>
      <c r="C589" t="s">
        <v>81</v>
      </c>
      <c r="D589" t="s">
        <v>106</v>
      </c>
      <c r="E589" t="s">
        <v>73</v>
      </c>
      <c r="F589" t="s">
        <v>74</v>
      </c>
      <c r="G589" t="s">
        <v>113</v>
      </c>
      <c r="H589" t="s">
        <v>84</v>
      </c>
      <c r="I589" s="76">
        <v>0</v>
      </c>
    </row>
    <row r="590" spans="1:9" x14ac:dyDescent="0.35">
      <c r="A590" t="s">
        <v>14</v>
      </c>
      <c r="B590" t="s">
        <v>92</v>
      </c>
      <c r="C590" t="s">
        <v>81</v>
      </c>
      <c r="D590" t="s">
        <v>131</v>
      </c>
      <c r="E590" t="s">
        <v>73</v>
      </c>
      <c r="F590" t="s">
        <v>74</v>
      </c>
      <c r="G590" t="s">
        <v>113</v>
      </c>
      <c r="H590" t="s">
        <v>84</v>
      </c>
      <c r="I590" s="76">
        <f>'SUT_EU27 total'!$S$92</f>
        <v>0</v>
      </c>
    </row>
    <row r="591" spans="1:9" x14ac:dyDescent="0.35">
      <c r="A591" t="s">
        <v>14</v>
      </c>
      <c r="B591" t="s">
        <v>92</v>
      </c>
      <c r="C591" t="s">
        <v>81</v>
      </c>
      <c r="D591" t="s">
        <v>101</v>
      </c>
      <c r="E591" t="s">
        <v>73</v>
      </c>
      <c r="F591" t="s">
        <v>74</v>
      </c>
      <c r="G591" t="s">
        <v>113</v>
      </c>
      <c r="H591" t="s">
        <v>84</v>
      </c>
      <c r="I591" s="76" cm="1">
        <f t="array" ref="I591:I593">'SUT_EU27 total'!$S$100:$S$102</f>
        <v>0</v>
      </c>
    </row>
    <row r="592" spans="1:9" x14ac:dyDescent="0.35">
      <c r="A592" t="s">
        <v>14</v>
      </c>
      <c r="B592" t="s">
        <v>92</v>
      </c>
      <c r="C592" t="s">
        <v>81</v>
      </c>
      <c r="D592" t="s">
        <v>104</v>
      </c>
      <c r="E592" t="s">
        <v>73</v>
      </c>
      <c r="F592" t="s">
        <v>74</v>
      </c>
      <c r="G592" t="s">
        <v>113</v>
      </c>
      <c r="H592" t="s">
        <v>84</v>
      </c>
      <c r="I592" s="76">
        <v>0</v>
      </c>
    </row>
    <row r="593" spans="1:9" x14ac:dyDescent="0.35">
      <c r="A593" t="s">
        <v>14</v>
      </c>
      <c r="B593" t="s">
        <v>92</v>
      </c>
      <c r="C593" t="s">
        <v>81</v>
      </c>
      <c r="D593" t="s">
        <v>106</v>
      </c>
      <c r="E593" t="s">
        <v>73</v>
      </c>
      <c r="F593" t="s">
        <v>74</v>
      </c>
      <c r="G593" t="s">
        <v>113</v>
      </c>
      <c r="H593" t="s">
        <v>84</v>
      </c>
      <c r="I593" s="76">
        <v>0</v>
      </c>
    </row>
    <row r="594" spans="1:9" x14ac:dyDescent="0.35">
      <c r="A594" t="s">
        <v>14</v>
      </c>
      <c r="B594" t="s">
        <v>93</v>
      </c>
      <c r="C594" t="s">
        <v>81</v>
      </c>
      <c r="D594" t="s">
        <v>131</v>
      </c>
      <c r="E594" t="s">
        <v>73</v>
      </c>
      <c r="F594" t="s">
        <v>74</v>
      </c>
      <c r="G594" t="s">
        <v>113</v>
      </c>
      <c r="H594" t="s">
        <v>84</v>
      </c>
      <c r="I594" s="76">
        <f>'SUT_EU27 total'!$S$109</f>
        <v>0</v>
      </c>
    </row>
    <row r="595" spans="1:9" x14ac:dyDescent="0.35">
      <c r="A595" t="s">
        <v>14</v>
      </c>
      <c r="B595" t="s">
        <v>93</v>
      </c>
      <c r="C595" t="s">
        <v>81</v>
      </c>
      <c r="D595" t="s">
        <v>101</v>
      </c>
      <c r="E595" t="s">
        <v>73</v>
      </c>
      <c r="F595" t="s">
        <v>74</v>
      </c>
      <c r="G595" t="s">
        <v>113</v>
      </c>
      <c r="H595" t="s">
        <v>84</v>
      </c>
      <c r="I595" s="76" cm="1">
        <f t="array" ref="I595:I597">'SUT_EU27 total'!$S$117:$S$119</f>
        <v>0</v>
      </c>
    </row>
    <row r="596" spans="1:9" x14ac:dyDescent="0.35">
      <c r="A596" t="s">
        <v>14</v>
      </c>
      <c r="B596" t="s">
        <v>93</v>
      </c>
      <c r="C596" t="s">
        <v>81</v>
      </c>
      <c r="D596" t="s">
        <v>104</v>
      </c>
      <c r="E596" t="s">
        <v>73</v>
      </c>
      <c r="F596" t="s">
        <v>74</v>
      </c>
      <c r="G596" t="s">
        <v>113</v>
      </c>
      <c r="H596" t="s">
        <v>84</v>
      </c>
      <c r="I596" s="76">
        <v>0</v>
      </c>
    </row>
    <row r="597" spans="1:9" x14ac:dyDescent="0.35">
      <c r="A597" t="s">
        <v>14</v>
      </c>
      <c r="B597" t="s">
        <v>93</v>
      </c>
      <c r="C597" t="s">
        <v>81</v>
      </c>
      <c r="D597" t="s">
        <v>106</v>
      </c>
      <c r="E597" t="s">
        <v>73</v>
      </c>
      <c r="F597" t="s">
        <v>74</v>
      </c>
      <c r="G597" t="s">
        <v>113</v>
      </c>
      <c r="H597" t="s">
        <v>84</v>
      </c>
      <c r="I597" s="76">
        <v>0</v>
      </c>
    </row>
    <row r="598" spans="1:9" x14ac:dyDescent="0.35">
      <c r="A598" t="s">
        <v>14</v>
      </c>
      <c r="B598" t="s">
        <v>73</v>
      </c>
      <c r="C598" t="s">
        <v>74</v>
      </c>
      <c r="D598" t="s">
        <v>123</v>
      </c>
      <c r="E598" t="s">
        <v>73</v>
      </c>
      <c r="F598" t="s">
        <v>81</v>
      </c>
      <c r="G598" t="s">
        <v>115</v>
      </c>
      <c r="H598" t="s">
        <v>84</v>
      </c>
      <c r="I598" s="76" cm="1">
        <f t="array" ref="I598:I604">TRANSPOSE('2030 pathways'!C9:I9)</f>
        <v>5.8999999999999997E-2</v>
      </c>
    </row>
    <row r="599" spans="1:9" x14ac:dyDescent="0.35">
      <c r="A599" t="s">
        <v>14</v>
      </c>
      <c r="B599" t="s">
        <v>73</v>
      </c>
      <c r="C599" t="s">
        <v>74</v>
      </c>
      <c r="D599" t="s">
        <v>127</v>
      </c>
      <c r="E599" t="s">
        <v>73</v>
      </c>
      <c r="F599" t="s">
        <v>81</v>
      </c>
      <c r="G599" t="s">
        <v>115</v>
      </c>
      <c r="H599" t="s">
        <v>84</v>
      </c>
      <c r="I599" s="76">
        <v>5.8999999999999999E-3</v>
      </c>
    </row>
    <row r="600" spans="1:9" x14ac:dyDescent="0.35">
      <c r="A600" t="s">
        <v>14</v>
      </c>
      <c r="B600" t="s">
        <v>73</v>
      </c>
      <c r="C600" t="s">
        <v>74</v>
      </c>
      <c r="D600" t="s">
        <v>128</v>
      </c>
      <c r="E600" t="s">
        <v>73</v>
      </c>
      <c r="F600" t="s">
        <v>81</v>
      </c>
      <c r="G600" t="s">
        <v>115</v>
      </c>
      <c r="H600" t="s">
        <v>84</v>
      </c>
      <c r="I600" s="76">
        <v>1.18E-2</v>
      </c>
    </row>
    <row r="601" spans="1:9" x14ac:dyDescent="0.35">
      <c r="A601" t="s">
        <v>14</v>
      </c>
      <c r="B601" t="s">
        <v>73</v>
      </c>
      <c r="C601" t="s">
        <v>74</v>
      </c>
      <c r="D601" t="s">
        <v>129</v>
      </c>
      <c r="E601" t="s">
        <v>73</v>
      </c>
      <c r="F601" t="s">
        <v>81</v>
      </c>
      <c r="G601" t="s">
        <v>115</v>
      </c>
      <c r="H601" t="s">
        <v>84</v>
      </c>
      <c r="I601" s="76">
        <v>3.5399999999999994E-2</v>
      </c>
    </row>
    <row r="602" spans="1:9" x14ac:dyDescent="0.35">
      <c r="A602" t="s">
        <v>14</v>
      </c>
      <c r="B602" t="s">
        <v>73</v>
      </c>
      <c r="C602" t="s">
        <v>74</v>
      </c>
      <c r="D602" t="s">
        <v>77</v>
      </c>
      <c r="E602" t="s">
        <v>73</v>
      </c>
      <c r="F602" t="s">
        <v>81</v>
      </c>
      <c r="G602" t="s">
        <v>115</v>
      </c>
      <c r="H602" t="s">
        <v>84</v>
      </c>
      <c r="I602" s="76">
        <v>1.7699999999999997E-2</v>
      </c>
    </row>
    <row r="603" spans="1:9" x14ac:dyDescent="0.35">
      <c r="A603" t="s">
        <v>14</v>
      </c>
      <c r="B603" t="s">
        <v>73</v>
      </c>
      <c r="C603" t="s">
        <v>74</v>
      </c>
      <c r="D603" t="s">
        <v>130</v>
      </c>
      <c r="E603" t="s">
        <v>73</v>
      </c>
      <c r="F603" t="s">
        <v>81</v>
      </c>
      <c r="G603" t="s">
        <v>115</v>
      </c>
      <c r="H603" t="s">
        <v>84</v>
      </c>
      <c r="I603" s="76">
        <v>0.4602</v>
      </c>
    </row>
    <row r="604" spans="1:9" x14ac:dyDescent="0.35">
      <c r="A604" t="s">
        <v>14</v>
      </c>
      <c r="B604" t="s">
        <v>73</v>
      </c>
      <c r="C604" t="s">
        <v>74</v>
      </c>
      <c r="D604" t="s">
        <v>132</v>
      </c>
      <c r="E604" t="s">
        <v>73</v>
      </c>
      <c r="F604" t="s">
        <v>81</v>
      </c>
      <c r="G604" t="s">
        <v>115</v>
      </c>
      <c r="H604" t="s">
        <v>84</v>
      </c>
      <c r="I604" s="76">
        <v>0.41</v>
      </c>
    </row>
    <row r="605" spans="1:9" x14ac:dyDescent="0.35">
      <c r="A605" t="s">
        <v>14</v>
      </c>
      <c r="B605" t="s">
        <v>73</v>
      </c>
      <c r="C605" t="s">
        <v>74</v>
      </c>
      <c r="D605" t="s">
        <v>133</v>
      </c>
      <c r="E605" t="s">
        <v>73</v>
      </c>
      <c r="F605" t="s">
        <v>81</v>
      </c>
      <c r="G605" t="s">
        <v>115</v>
      </c>
      <c r="H605" t="s">
        <v>84</v>
      </c>
      <c r="I605" s="76">
        <v>0</v>
      </c>
    </row>
    <row r="606" spans="1:9" x14ac:dyDescent="0.35">
      <c r="A606" s="398" t="s">
        <v>15</v>
      </c>
      <c r="B606" s="399" t="s">
        <v>73</v>
      </c>
      <c r="C606" s="399" t="s">
        <v>81</v>
      </c>
      <c r="D606" s="399" t="s">
        <v>115</v>
      </c>
      <c r="E606" s="399" t="s">
        <v>73</v>
      </c>
      <c r="F606" s="399" t="s">
        <v>74</v>
      </c>
      <c r="G606" s="399" t="s">
        <v>102</v>
      </c>
      <c r="H606" s="399" t="s">
        <v>84</v>
      </c>
      <c r="I606" s="400" cm="1">
        <f t="array" ref="I606:I607">'SUT_EU27 total'!$J$19:$J$20</f>
        <v>11.828571428571427</v>
      </c>
    </row>
    <row r="607" spans="1:9" x14ac:dyDescent="0.35">
      <c r="A607" t="s">
        <v>15</v>
      </c>
      <c r="B607" t="s">
        <v>73</v>
      </c>
      <c r="C607" t="s">
        <v>81</v>
      </c>
      <c r="D607" t="s">
        <v>116</v>
      </c>
      <c r="E607" t="s">
        <v>73</v>
      </c>
      <c r="F607" t="s">
        <v>74</v>
      </c>
      <c r="G607" t="s">
        <v>102</v>
      </c>
      <c r="H607" t="s">
        <v>84</v>
      </c>
      <c r="I607" s="76">
        <v>3.3421988920214002E-2</v>
      </c>
    </row>
    <row r="608" spans="1:9" x14ac:dyDescent="0.35">
      <c r="A608" t="s">
        <v>15</v>
      </c>
      <c r="B608" t="s">
        <v>73</v>
      </c>
      <c r="C608" t="s">
        <v>81</v>
      </c>
      <c r="D608" t="s">
        <v>117</v>
      </c>
      <c r="E608" t="s">
        <v>73</v>
      </c>
      <c r="F608" t="s">
        <v>74</v>
      </c>
      <c r="G608" t="s">
        <v>102</v>
      </c>
      <c r="H608" t="s">
        <v>84</v>
      </c>
      <c r="I608" s="76">
        <f>'SUT_EU27 total'!$J$27</f>
        <v>20.996100000000002</v>
      </c>
    </row>
    <row r="609" spans="1:9" x14ac:dyDescent="0.35">
      <c r="A609" t="s">
        <v>15</v>
      </c>
      <c r="B609" t="s">
        <v>73</v>
      </c>
      <c r="C609" t="s">
        <v>81</v>
      </c>
      <c r="D609" t="s">
        <v>101</v>
      </c>
      <c r="E609" t="s">
        <v>73</v>
      </c>
      <c r="F609" t="s">
        <v>74</v>
      </c>
      <c r="G609" t="s">
        <v>102</v>
      </c>
      <c r="H609" t="s">
        <v>84</v>
      </c>
      <c r="I609" s="76" cm="1">
        <f t="array" ref="I609:I611">'SUT_EU27 total'!$J$32:$J$34</f>
        <v>0.13437998483817604</v>
      </c>
    </row>
    <row r="610" spans="1:9" x14ac:dyDescent="0.35">
      <c r="A610" t="s">
        <v>15</v>
      </c>
      <c r="B610" t="s">
        <v>73</v>
      </c>
      <c r="C610" t="s">
        <v>81</v>
      </c>
      <c r="D610" t="s">
        <v>104</v>
      </c>
      <c r="E610" t="s">
        <v>73</v>
      </c>
      <c r="F610" t="s">
        <v>74</v>
      </c>
      <c r="G610" t="s">
        <v>102</v>
      </c>
      <c r="H610" t="s">
        <v>84</v>
      </c>
      <c r="I610" s="76">
        <v>0.25443647306582401</v>
      </c>
    </row>
    <row r="611" spans="1:9" x14ac:dyDescent="0.35">
      <c r="A611" t="s">
        <v>15</v>
      </c>
      <c r="B611" t="s">
        <v>73</v>
      </c>
      <c r="C611" t="s">
        <v>81</v>
      </c>
      <c r="D611" t="s">
        <v>106</v>
      </c>
      <c r="E611" t="s">
        <v>73</v>
      </c>
      <c r="F611" t="s">
        <v>74</v>
      </c>
      <c r="G611" t="s">
        <v>102</v>
      </c>
      <c r="H611" t="s">
        <v>84</v>
      </c>
      <c r="I611" s="76">
        <v>0.86543018049599985</v>
      </c>
    </row>
    <row r="612" spans="1:9" x14ac:dyDescent="0.35">
      <c r="A612" t="s">
        <v>15</v>
      </c>
      <c r="B612" t="s">
        <v>88</v>
      </c>
      <c r="C612" t="s">
        <v>81</v>
      </c>
      <c r="D612" t="s">
        <v>115</v>
      </c>
      <c r="E612" t="s">
        <v>73</v>
      </c>
      <c r="F612" t="s">
        <v>74</v>
      </c>
      <c r="G612" t="s">
        <v>102</v>
      </c>
      <c r="H612" t="s">
        <v>84</v>
      </c>
      <c r="I612" s="76" cm="1">
        <f t="array" ref="I612:I613">'SUT_EU27 total'!$J$36:$J$37</f>
        <v>78.857142857142847</v>
      </c>
    </row>
    <row r="613" spans="1:9" x14ac:dyDescent="0.35">
      <c r="A613" t="s">
        <v>15</v>
      </c>
      <c r="B613" t="s">
        <v>88</v>
      </c>
      <c r="C613" t="s">
        <v>81</v>
      </c>
      <c r="D613" t="s">
        <v>116</v>
      </c>
      <c r="E613" t="s">
        <v>73</v>
      </c>
      <c r="F613" t="s">
        <v>74</v>
      </c>
      <c r="G613" t="s">
        <v>102</v>
      </c>
      <c r="H613" t="s">
        <v>84</v>
      </c>
      <c r="I613" s="76">
        <v>0.7862213561563367</v>
      </c>
    </row>
    <row r="614" spans="1:9" x14ac:dyDescent="0.35">
      <c r="A614" t="s">
        <v>15</v>
      </c>
      <c r="B614" t="s">
        <v>88</v>
      </c>
      <c r="C614" t="s">
        <v>81</v>
      </c>
      <c r="D614" t="s">
        <v>117</v>
      </c>
      <c r="E614" t="s">
        <v>73</v>
      </c>
      <c r="F614" t="s">
        <v>74</v>
      </c>
      <c r="G614" t="s">
        <v>102</v>
      </c>
      <c r="H614" t="s">
        <v>84</v>
      </c>
      <c r="I614" s="76">
        <f>'SUT_EU27 total'!$J$44</f>
        <v>286.26390000000004</v>
      </c>
    </row>
    <row r="615" spans="1:9" x14ac:dyDescent="0.35">
      <c r="A615" t="s">
        <v>15</v>
      </c>
      <c r="B615" t="s">
        <v>88</v>
      </c>
      <c r="C615" t="s">
        <v>81</v>
      </c>
      <c r="D615" t="s">
        <v>101</v>
      </c>
      <c r="E615" t="s">
        <v>73</v>
      </c>
      <c r="F615" t="s">
        <v>74</v>
      </c>
      <c r="G615" t="s">
        <v>102</v>
      </c>
      <c r="H615" t="s">
        <v>84</v>
      </c>
      <c r="I615" s="76" cm="1">
        <f t="array" ref="I615:I617">'SUT_EU27 total'!$J$49:$J$51</f>
        <v>0</v>
      </c>
    </row>
    <row r="616" spans="1:9" x14ac:dyDescent="0.35">
      <c r="A616" t="s">
        <v>15</v>
      </c>
      <c r="B616" t="s">
        <v>88</v>
      </c>
      <c r="C616" t="s">
        <v>81</v>
      </c>
      <c r="D616" t="s">
        <v>104</v>
      </c>
      <c r="E616" t="s">
        <v>73</v>
      </c>
      <c r="F616" t="s">
        <v>74</v>
      </c>
      <c r="G616" t="s">
        <v>102</v>
      </c>
      <c r="H616" t="s">
        <v>84</v>
      </c>
      <c r="I616" s="76">
        <v>0</v>
      </c>
    </row>
    <row r="617" spans="1:9" x14ac:dyDescent="0.35">
      <c r="A617" t="s">
        <v>15</v>
      </c>
      <c r="B617" t="s">
        <v>88</v>
      </c>
      <c r="C617" t="s">
        <v>81</v>
      </c>
      <c r="D617" t="s">
        <v>106</v>
      </c>
      <c r="E617" t="s">
        <v>73</v>
      </c>
      <c r="F617" t="s">
        <v>74</v>
      </c>
      <c r="G617" t="s">
        <v>102</v>
      </c>
      <c r="H617" t="s">
        <v>84</v>
      </c>
      <c r="I617" s="76">
        <v>0</v>
      </c>
    </row>
    <row r="618" spans="1:9" x14ac:dyDescent="0.35">
      <c r="A618" t="s">
        <v>15</v>
      </c>
      <c r="B618" t="s">
        <v>90</v>
      </c>
      <c r="C618" t="s">
        <v>81</v>
      </c>
      <c r="D618" t="s">
        <v>115</v>
      </c>
      <c r="E618" t="s">
        <v>73</v>
      </c>
      <c r="F618" t="s">
        <v>74</v>
      </c>
      <c r="G618" t="s">
        <v>102</v>
      </c>
      <c r="H618" t="s">
        <v>84</v>
      </c>
      <c r="I618" s="76" cm="1">
        <f t="array" ref="I618:I619">'SUT_EU27 total'!$J$53:$J$54</f>
        <v>7.7904761904761894</v>
      </c>
    </row>
    <row r="619" spans="1:9" x14ac:dyDescent="0.35">
      <c r="A619" t="s">
        <v>15</v>
      </c>
      <c r="B619" t="s">
        <v>90</v>
      </c>
      <c r="C619" t="s">
        <v>81</v>
      </c>
      <c r="D619" t="s">
        <v>116</v>
      </c>
      <c r="E619" t="s">
        <v>73</v>
      </c>
      <c r="F619" t="s">
        <v>74</v>
      </c>
      <c r="G619" t="s">
        <v>102</v>
      </c>
      <c r="H619" t="s">
        <v>84</v>
      </c>
      <c r="I619" s="76">
        <v>1.5473889063756709E-2</v>
      </c>
    </row>
    <row r="620" spans="1:9" x14ac:dyDescent="0.35">
      <c r="A620" t="s">
        <v>15</v>
      </c>
      <c r="B620" t="s">
        <v>90</v>
      </c>
      <c r="C620" t="s">
        <v>81</v>
      </c>
      <c r="D620" t="s">
        <v>117</v>
      </c>
      <c r="E620" t="s">
        <v>73</v>
      </c>
      <c r="F620" t="s">
        <v>74</v>
      </c>
      <c r="G620" t="s">
        <v>102</v>
      </c>
      <c r="H620" t="s">
        <v>84</v>
      </c>
      <c r="I620" s="76">
        <f>'SUT_EU27 total'!$J$61</f>
        <v>11.2662</v>
      </c>
    </row>
    <row r="621" spans="1:9" x14ac:dyDescent="0.35">
      <c r="A621" t="s">
        <v>15</v>
      </c>
      <c r="B621" t="s">
        <v>90</v>
      </c>
      <c r="C621" t="s">
        <v>81</v>
      </c>
      <c r="D621" t="s">
        <v>101</v>
      </c>
      <c r="E621" t="s">
        <v>73</v>
      </c>
      <c r="F621" t="s">
        <v>74</v>
      </c>
      <c r="G621" t="s">
        <v>102</v>
      </c>
      <c r="H621" t="s">
        <v>84</v>
      </c>
      <c r="I621" s="76" cm="1">
        <f t="array" ref="I621:I623">'SUT_EU27 total'!$J$66:$J$68</f>
        <v>0</v>
      </c>
    </row>
    <row r="622" spans="1:9" x14ac:dyDescent="0.35">
      <c r="A622" t="s">
        <v>15</v>
      </c>
      <c r="B622" t="s">
        <v>90</v>
      </c>
      <c r="C622" t="s">
        <v>81</v>
      </c>
      <c r="D622" t="s">
        <v>104</v>
      </c>
      <c r="E622" t="s">
        <v>73</v>
      </c>
      <c r="F622" t="s">
        <v>74</v>
      </c>
      <c r="G622" t="s">
        <v>102</v>
      </c>
      <c r="H622" t="s">
        <v>84</v>
      </c>
      <c r="I622" s="76">
        <v>0</v>
      </c>
    </row>
    <row r="623" spans="1:9" x14ac:dyDescent="0.35">
      <c r="A623" t="s">
        <v>15</v>
      </c>
      <c r="B623" t="s">
        <v>90</v>
      </c>
      <c r="C623" t="s">
        <v>81</v>
      </c>
      <c r="D623" t="s">
        <v>106</v>
      </c>
      <c r="E623" t="s">
        <v>73</v>
      </c>
      <c r="F623" t="s">
        <v>74</v>
      </c>
      <c r="G623" t="s">
        <v>102</v>
      </c>
      <c r="H623" t="s">
        <v>84</v>
      </c>
      <c r="I623" s="76">
        <v>0</v>
      </c>
    </row>
    <row r="624" spans="1:9" x14ac:dyDescent="0.35">
      <c r="A624" t="s">
        <v>15</v>
      </c>
      <c r="B624" t="s">
        <v>91</v>
      </c>
      <c r="C624" t="s">
        <v>81</v>
      </c>
      <c r="D624" t="s">
        <v>115</v>
      </c>
      <c r="E624" t="s">
        <v>73</v>
      </c>
      <c r="F624" t="s">
        <v>74</v>
      </c>
      <c r="G624" t="s">
        <v>102</v>
      </c>
      <c r="H624" t="s">
        <v>84</v>
      </c>
      <c r="I624" s="76" cm="1">
        <f t="array" ref="I624:I625">'SUT_EU27 total'!$J$70:$J$71</f>
        <v>15.771428571428569</v>
      </c>
    </row>
    <row r="625" spans="1:9" x14ac:dyDescent="0.35">
      <c r="A625" t="s">
        <v>15</v>
      </c>
      <c r="B625" t="s">
        <v>91</v>
      </c>
      <c r="C625" t="s">
        <v>81</v>
      </c>
      <c r="D625" t="s">
        <v>116</v>
      </c>
      <c r="E625" t="s">
        <v>73</v>
      </c>
      <c r="F625" t="s">
        <v>74</v>
      </c>
      <c r="G625" t="s">
        <v>102</v>
      </c>
      <c r="H625" t="s">
        <v>84</v>
      </c>
      <c r="I625" s="76">
        <v>8.7507175559917313E-2</v>
      </c>
    </row>
    <row r="626" spans="1:9" x14ac:dyDescent="0.35">
      <c r="A626" t="s">
        <v>15</v>
      </c>
      <c r="B626" t="s">
        <v>91</v>
      </c>
      <c r="C626" t="s">
        <v>81</v>
      </c>
      <c r="D626" t="s">
        <v>117</v>
      </c>
      <c r="E626" t="s">
        <v>73</v>
      </c>
      <c r="F626" t="s">
        <v>74</v>
      </c>
      <c r="G626" t="s">
        <v>102</v>
      </c>
      <c r="H626" t="s">
        <v>84</v>
      </c>
      <c r="I626" s="76">
        <f>'SUT_EU27 total'!$J$78</f>
        <v>41.4801</v>
      </c>
    </row>
    <row r="627" spans="1:9" x14ac:dyDescent="0.35">
      <c r="A627" t="s">
        <v>15</v>
      </c>
      <c r="B627" t="s">
        <v>91</v>
      </c>
      <c r="C627" t="s">
        <v>81</v>
      </c>
      <c r="D627" t="s">
        <v>101</v>
      </c>
      <c r="E627" t="s">
        <v>73</v>
      </c>
      <c r="F627" t="s">
        <v>74</v>
      </c>
      <c r="G627" t="s">
        <v>102</v>
      </c>
      <c r="H627" t="s">
        <v>84</v>
      </c>
      <c r="I627" s="76" cm="1">
        <f t="array" ref="I627:I629">'SUT_EU27 total'!$J$83:$J$85</f>
        <v>0</v>
      </c>
    </row>
    <row r="628" spans="1:9" x14ac:dyDescent="0.35">
      <c r="A628" t="s">
        <v>15</v>
      </c>
      <c r="B628" t="s">
        <v>91</v>
      </c>
      <c r="C628" t="s">
        <v>81</v>
      </c>
      <c r="D628" t="s">
        <v>104</v>
      </c>
      <c r="E628" t="s">
        <v>73</v>
      </c>
      <c r="F628" t="s">
        <v>74</v>
      </c>
      <c r="G628" t="s">
        <v>102</v>
      </c>
      <c r="H628" t="s">
        <v>84</v>
      </c>
      <c r="I628" s="76">
        <v>0</v>
      </c>
    </row>
    <row r="629" spans="1:9" x14ac:dyDescent="0.35">
      <c r="A629" t="s">
        <v>15</v>
      </c>
      <c r="B629" t="s">
        <v>91</v>
      </c>
      <c r="C629" t="s">
        <v>81</v>
      </c>
      <c r="D629" t="s">
        <v>106</v>
      </c>
      <c r="E629" t="s">
        <v>73</v>
      </c>
      <c r="F629" t="s">
        <v>74</v>
      </c>
      <c r="G629" t="s">
        <v>102</v>
      </c>
      <c r="H629" t="s">
        <v>84</v>
      </c>
      <c r="I629" s="76">
        <v>0</v>
      </c>
    </row>
    <row r="630" spans="1:9" x14ac:dyDescent="0.35">
      <c r="A630" t="s">
        <v>15</v>
      </c>
      <c r="B630" t="s">
        <v>92</v>
      </c>
      <c r="C630" t="s">
        <v>81</v>
      </c>
      <c r="D630" t="s">
        <v>115</v>
      </c>
      <c r="E630" t="s">
        <v>73</v>
      </c>
      <c r="F630" t="s">
        <v>74</v>
      </c>
      <c r="G630" t="s">
        <v>102</v>
      </c>
      <c r="H630" t="s">
        <v>84</v>
      </c>
      <c r="I630" s="76" cm="1">
        <f t="array" ref="I630:I631">'SUT_EU27 total'!$J$87:$J$88</f>
        <v>6.6239999999999997</v>
      </c>
    </row>
    <row r="631" spans="1:9" x14ac:dyDescent="0.35">
      <c r="A631" t="s">
        <v>15</v>
      </c>
      <c r="B631" t="s">
        <v>92</v>
      </c>
      <c r="C631" t="s">
        <v>81</v>
      </c>
      <c r="D631" t="s">
        <v>116</v>
      </c>
      <c r="E631" t="s">
        <v>73</v>
      </c>
      <c r="F631" t="s">
        <v>74</v>
      </c>
      <c r="G631" t="s">
        <v>102</v>
      </c>
      <c r="H631" t="s">
        <v>84</v>
      </c>
      <c r="I631" s="76">
        <v>6.0040746268656714E-2</v>
      </c>
    </row>
    <row r="632" spans="1:9" x14ac:dyDescent="0.35">
      <c r="A632" t="s">
        <v>15</v>
      </c>
      <c r="B632" t="s">
        <v>92</v>
      </c>
      <c r="C632" t="s">
        <v>81</v>
      </c>
      <c r="D632" t="s">
        <v>117</v>
      </c>
      <c r="E632" t="s">
        <v>73</v>
      </c>
      <c r="F632" t="s">
        <v>74</v>
      </c>
      <c r="G632" t="s">
        <v>102</v>
      </c>
      <c r="H632" t="s">
        <v>84</v>
      </c>
      <c r="I632" s="76">
        <f>'SUT_EU27 total'!$J$95</f>
        <v>13.3146</v>
      </c>
    </row>
    <row r="633" spans="1:9" x14ac:dyDescent="0.35">
      <c r="A633" t="s">
        <v>15</v>
      </c>
      <c r="B633" t="s">
        <v>92</v>
      </c>
      <c r="C633" t="s">
        <v>81</v>
      </c>
      <c r="D633" t="s">
        <v>101</v>
      </c>
      <c r="E633" t="s">
        <v>73</v>
      </c>
      <c r="F633" t="s">
        <v>74</v>
      </c>
      <c r="G633" t="s">
        <v>102</v>
      </c>
      <c r="H633" t="s">
        <v>84</v>
      </c>
      <c r="I633" s="76" cm="1">
        <f t="array" ref="I633:I635">'SUT_EU27 total'!$J$100:$J$102</f>
        <v>0</v>
      </c>
    </row>
    <row r="634" spans="1:9" x14ac:dyDescent="0.35">
      <c r="A634" t="s">
        <v>15</v>
      </c>
      <c r="B634" t="s">
        <v>92</v>
      </c>
      <c r="C634" t="s">
        <v>81</v>
      </c>
      <c r="D634" t="s">
        <v>104</v>
      </c>
      <c r="E634" t="s">
        <v>73</v>
      </c>
      <c r="F634" t="s">
        <v>74</v>
      </c>
      <c r="G634" t="s">
        <v>102</v>
      </c>
      <c r="H634" t="s">
        <v>84</v>
      </c>
      <c r="I634" s="76">
        <v>0</v>
      </c>
    </row>
    <row r="635" spans="1:9" x14ac:dyDescent="0.35">
      <c r="A635" t="s">
        <v>15</v>
      </c>
      <c r="B635" t="s">
        <v>92</v>
      </c>
      <c r="C635" t="s">
        <v>81</v>
      </c>
      <c r="D635" t="s">
        <v>106</v>
      </c>
      <c r="E635" t="s">
        <v>73</v>
      </c>
      <c r="F635" t="s">
        <v>74</v>
      </c>
      <c r="G635" t="s">
        <v>102</v>
      </c>
      <c r="H635" t="s">
        <v>84</v>
      </c>
      <c r="I635" s="76">
        <v>0</v>
      </c>
    </row>
    <row r="636" spans="1:9" x14ac:dyDescent="0.35">
      <c r="A636" t="s">
        <v>15</v>
      </c>
      <c r="B636" t="s">
        <v>93</v>
      </c>
      <c r="C636" t="s">
        <v>81</v>
      </c>
      <c r="D636" t="s">
        <v>115</v>
      </c>
      <c r="E636" t="s">
        <v>73</v>
      </c>
      <c r="F636" t="s">
        <v>74</v>
      </c>
      <c r="G636" t="s">
        <v>102</v>
      </c>
      <c r="H636" t="s">
        <v>84</v>
      </c>
      <c r="I636" s="76" cm="1">
        <f t="array" ref="I636:I637">'SUT_EU27 total'!$J$104:$J$105</f>
        <v>44.633142857142865</v>
      </c>
    </row>
    <row r="637" spans="1:9" x14ac:dyDescent="0.35">
      <c r="A637" t="s">
        <v>15</v>
      </c>
      <c r="B637" t="s">
        <v>93</v>
      </c>
      <c r="C637" t="s">
        <v>81</v>
      </c>
      <c r="D637" t="s">
        <v>116</v>
      </c>
      <c r="E637" t="s">
        <v>73</v>
      </c>
      <c r="F637" t="s">
        <v>74</v>
      </c>
      <c r="G637" t="s">
        <v>102</v>
      </c>
      <c r="H637" t="s">
        <v>84</v>
      </c>
      <c r="I637" s="76">
        <v>0.3673348440311186</v>
      </c>
    </row>
    <row r="638" spans="1:9" x14ac:dyDescent="0.35">
      <c r="A638" t="s">
        <v>15</v>
      </c>
      <c r="B638" t="s">
        <v>93</v>
      </c>
      <c r="C638" t="s">
        <v>81</v>
      </c>
      <c r="D638" t="s">
        <v>117</v>
      </c>
      <c r="E638" t="s">
        <v>73</v>
      </c>
      <c r="F638" t="s">
        <v>74</v>
      </c>
      <c r="G638" t="s">
        <v>102</v>
      </c>
      <c r="H638" t="s">
        <v>84</v>
      </c>
      <c r="I638" s="76">
        <f>'SUT_EU27 total'!$J$112</f>
        <v>138.77909999999997</v>
      </c>
    </row>
    <row r="639" spans="1:9" x14ac:dyDescent="0.35">
      <c r="A639" t="s">
        <v>15</v>
      </c>
      <c r="B639" t="s">
        <v>93</v>
      </c>
      <c r="C639" t="s">
        <v>81</v>
      </c>
      <c r="D639" t="s">
        <v>101</v>
      </c>
      <c r="E639" t="s">
        <v>73</v>
      </c>
      <c r="F639" t="s">
        <v>74</v>
      </c>
      <c r="G639" t="s">
        <v>102</v>
      </c>
      <c r="H639" t="s">
        <v>84</v>
      </c>
      <c r="I639" s="76" cm="1">
        <f t="array" ref="I639:I641">'SUT_EU27 total'!$J$117:$J$119</f>
        <v>0</v>
      </c>
    </row>
    <row r="640" spans="1:9" x14ac:dyDescent="0.35">
      <c r="A640" t="s">
        <v>15</v>
      </c>
      <c r="B640" t="s">
        <v>93</v>
      </c>
      <c r="C640" t="s">
        <v>81</v>
      </c>
      <c r="D640" t="s">
        <v>104</v>
      </c>
      <c r="E640" t="s">
        <v>73</v>
      </c>
      <c r="F640" t="s">
        <v>74</v>
      </c>
      <c r="G640" t="s">
        <v>102</v>
      </c>
      <c r="H640" t="s">
        <v>84</v>
      </c>
      <c r="I640" s="76">
        <v>0</v>
      </c>
    </row>
    <row r="641" spans="1:9" x14ac:dyDescent="0.35">
      <c r="A641" t="s">
        <v>15</v>
      </c>
      <c r="B641" t="s">
        <v>93</v>
      </c>
      <c r="C641" t="s">
        <v>81</v>
      </c>
      <c r="D641" t="s">
        <v>106</v>
      </c>
      <c r="E641" t="s">
        <v>73</v>
      </c>
      <c r="F641" t="s">
        <v>74</v>
      </c>
      <c r="G641" t="s">
        <v>102</v>
      </c>
      <c r="H641" t="s">
        <v>84</v>
      </c>
      <c r="I641" s="76">
        <v>0</v>
      </c>
    </row>
    <row r="642" spans="1:9" x14ac:dyDescent="0.35">
      <c r="A642" t="s">
        <v>15</v>
      </c>
      <c r="B642" t="s">
        <v>73</v>
      </c>
      <c r="C642" t="s">
        <v>81</v>
      </c>
      <c r="D642" t="s">
        <v>118</v>
      </c>
      <c r="E642" t="s">
        <v>73</v>
      </c>
      <c r="F642" t="s">
        <v>74</v>
      </c>
      <c r="G642" t="s">
        <v>108</v>
      </c>
      <c r="H642" t="s">
        <v>84</v>
      </c>
      <c r="I642" s="76" cm="1">
        <f t="array" ref="I642:I644">'SUT_EU27 total'!$K$21:$K$23</f>
        <v>1.4582562144772118E-3</v>
      </c>
    </row>
    <row r="643" spans="1:9" x14ac:dyDescent="0.35">
      <c r="A643" t="s">
        <v>15</v>
      </c>
      <c r="B643" t="s">
        <v>73</v>
      </c>
      <c r="C643" t="s">
        <v>81</v>
      </c>
      <c r="D643" t="s">
        <v>119</v>
      </c>
      <c r="E643" t="s">
        <v>73</v>
      </c>
      <c r="F643" t="s">
        <v>74</v>
      </c>
      <c r="G643" t="s">
        <v>108</v>
      </c>
      <c r="H643" t="s">
        <v>84</v>
      </c>
      <c r="I643" s="76">
        <v>8.4634636521458274E-4</v>
      </c>
    </row>
    <row r="644" spans="1:9" x14ac:dyDescent="0.35">
      <c r="A644" t="s">
        <v>15</v>
      </c>
      <c r="B644" t="s">
        <v>73</v>
      </c>
      <c r="C644" t="s">
        <v>81</v>
      </c>
      <c r="D644" t="s">
        <v>120</v>
      </c>
      <c r="E644" t="s">
        <v>73</v>
      </c>
      <c r="F644" t="s">
        <v>74</v>
      </c>
      <c r="G644" t="s">
        <v>108</v>
      </c>
      <c r="H644" t="s">
        <v>84</v>
      </c>
      <c r="I644" s="76">
        <v>1.2517329093179335E-4</v>
      </c>
    </row>
    <row r="645" spans="1:9" x14ac:dyDescent="0.35">
      <c r="A645" t="s">
        <v>15</v>
      </c>
      <c r="B645" t="s">
        <v>73</v>
      </c>
      <c r="C645" t="s">
        <v>81</v>
      </c>
      <c r="D645" s="77" t="s">
        <v>121</v>
      </c>
      <c r="E645" t="s">
        <v>73</v>
      </c>
      <c r="F645" t="s">
        <v>74</v>
      </c>
      <c r="G645" t="s">
        <v>108</v>
      </c>
      <c r="H645" t="s">
        <v>84</v>
      </c>
      <c r="I645" s="76">
        <f>'SUT_EU27 total'!$K$25</f>
        <v>6.9749679999999994E-2</v>
      </c>
    </row>
    <row r="646" spans="1:9" x14ac:dyDescent="0.35">
      <c r="A646" t="s">
        <v>15</v>
      </c>
      <c r="B646" t="s">
        <v>73</v>
      </c>
      <c r="C646" t="s">
        <v>81</v>
      </c>
      <c r="D646" t="s">
        <v>117</v>
      </c>
      <c r="E646" t="s">
        <v>73</v>
      </c>
      <c r="F646" t="s">
        <v>74</v>
      </c>
      <c r="G646" t="s">
        <v>108</v>
      </c>
      <c r="H646" t="s">
        <v>84</v>
      </c>
      <c r="I646" s="76">
        <f>'SUT_EU27 total'!$K$27</f>
        <v>1.1932942595726979E-3</v>
      </c>
    </row>
    <row r="647" spans="1:9" x14ac:dyDescent="0.35">
      <c r="A647" t="s">
        <v>15</v>
      </c>
      <c r="B647" t="s">
        <v>73</v>
      </c>
      <c r="C647" t="s">
        <v>81</v>
      </c>
      <c r="D647" t="s">
        <v>122</v>
      </c>
      <c r="E647" t="s">
        <v>73</v>
      </c>
      <c r="F647" t="s">
        <v>74</v>
      </c>
      <c r="G647" t="s">
        <v>108</v>
      </c>
      <c r="H647" t="s">
        <v>84</v>
      </c>
      <c r="I647" s="76">
        <f>'SUT_EU27 total'!$K$30</f>
        <v>1.5965533412604042E-3</v>
      </c>
    </row>
    <row r="648" spans="1:9" x14ac:dyDescent="0.35">
      <c r="A648" t="s">
        <v>15</v>
      </c>
      <c r="B648" t="s">
        <v>73</v>
      </c>
      <c r="C648" t="s">
        <v>81</v>
      </c>
      <c r="D648" t="s">
        <v>101</v>
      </c>
      <c r="E648" t="s">
        <v>73</v>
      </c>
      <c r="F648" t="s">
        <v>74</v>
      </c>
      <c r="G648" t="s">
        <v>108</v>
      </c>
      <c r="H648" t="s">
        <v>84</v>
      </c>
      <c r="I648" s="76" cm="1">
        <f t="array" ref="I648:I650">'SUT_EU27 total'!$K$32:$K$34</f>
        <v>2.4335351040000001E-4</v>
      </c>
    </row>
    <row r="649" spans="1:9" x14ac:dyDescent="0.35">
      <c r="A649" t="s">
        <v>15</v>
      </c>
      <c r="B649" t="s">
        <v>73</v>
      </c>
      <c r="C649" t="s">
        <v>81</v>
      </c>
      <c r="D649" t="s">
        <v>104</v>
      </c>
      <c r="E649" t="s">
        <v>73</v>
      </c>
      <c r="F649" t="s">
        <v>74</v>
      </c>
      <c r="G649" t="s">
        <v>108</v>
      </c>
      <c r="H649" t="s">
        <v>84</v>
      </c>
      <c r="I649" s="76">
        <v>4.6076808959999996E-4</v>
      </c>
    </row>
    <row r="650" spans="1:9" x14ac:dyDescent="0.35">
      <c r="A650" t="s">
        <v>15</v>
      </c>
      <c r="B650" t="s">
        <v>73</v>
      </c>
      <c r="C650" t="s">
        <v>81</v>
      </c>
      <c r="D650" t="s">
        <v>106</v>
      </c>
      <c r="E650" t="s">
        <v>73</v>
      </c>
      <c r="F650" t="s">
        <v>74</v>
      </c>
      <c r="G650" t="s">
        <v>108</v>
      </c>
      <c r="H650" t="s">
        <v>84</v>
      </c>
      <c r="I650" s="76">
        <v>1.5672383999999996E-3</v>
      </c>
    </row>
    <row r="651" spans="1:9" x14ac:dyDescent="0.35">
      <c r="A651" t="s">
        <v>15</v>
      </c>
      <c r="B651" t="s">
        <v>88</v>
      </c>
      <c r="C651" t="s">
        <v>81</v>
      </c>
      <c r="D651" t="s">
        <v>118</v>
      </c>
      <c r="E651" t="s">
        <v>73</v>
      </c>
      <c r="F651" t="s">
        <v>74</v>
      </c>
      <c r="G651" t="s">
        <v>108</v>
      </c>
      <c r="H651" t="s">
        <v>84</v>
      </c>
      <c r="I651" s="76" cm="1">
        <f t="array" ref="I651:I653">'SUT_EU27 total'!$K$38:$K$40</f>
        <v>3.3029309855227888E-2</v>
      </c>
    </row>
    <row r="652" spans="1:9" x14ac:dyDescent="0.35">
      <c r="A652" t="s">
        <v>15</v>
      </c>
      <c r="B652" t="s">
        <v>88</v>
      </c>
      <c r="C652" t="s">
        <v>81</v>
      </c>
      <c r="D652" t="s">
        <v>119</v>
      </c>
      <c r="E652" t="s">
        <v>73</v>
      </c>
      <c r="F652" t="s">
        <v>74</v>
      </c>
      <c r="G652" t="s">
        <v>108</v>
      </c>
      <c r="H652" t="s">
        <v>84</v>
      </c>
      <c r="I652" s="76">
        <v>6.9915569300335089E-3</v>
      </c>
    </row>
    <row r="653" spans="1:9" x14ac:dyDescent="0.35">
      <c r="A653" t="s">
        <v>15</v>
      </c>
      <c r="B653" t="s">
        <v>88</v>
      </c>
      <c r="C653" t="s">
        <v>81</v>
      </c>
      <c r="D653" t="s">
        <v>120</v>
      </c>
      <c r="E653" t="s">
        <v>73</v>
      </c>
      <c r="F653" t="s">
        <v>74</v>
      </c>
      <c r="G653" t="s">
        <v>108</v>
      </c>
      <c r="H653" t="s">
        <v>84</v>
      </c>
      <c r="I653" s="76">
        <v>1.5283979779928203E-3</v>
      </c>
    </row>
    <row r="654" spans="1:9" x14ac:dyDescent="0.35">
      <c r="A654" t="s">
        <v>15</v>
      </c>
      <c r="B654" t="s">
        <v>88</v>
      </c>
      <c r="C654" t="s">
        <v>81</v>
      </c>
      <c r="D654" s="77" t="s">
        <v>121</v>
      </c>
      <c r="E654" t="s">
        <v>73</v>
      </c>
      <c r="F654" t="s">
        <v>74</v>
      </c>
      <c r="G654" t="s">
        <v>108</v>
      </c>
      <c r="H654" t="s">
        <v>84</v>
      </c>
      <c r="I654" s="76">
        <f>'SUT_EU27 total'!$K$42</f>
        <v>0</v>
      </c>
    </row>
    <row r="655" spans="1:9" x14ac:dyDescent="0.35">
      <c r="A655" t="s">
        <v>15</v>
      </c>
      <c r="B655" t="s">
        <v>88</v>
      </c>
      <c r="C655" t="s">
        <v>81</v>
      </c>
      <c r="D655" t="s">
        <v>117</v>
      </c>
      <c r="E655" t="s">
        <v>73</v>
      </c>
      <c r="F655" t="s">
        <v>74</v>
      </c>
      <c r="G655" t="s">
        <v>108</v>
      </c>
      <c r="H655" t="s">
        <v>84</v>
      </c>
      <c r="I655" s="76">
        <f>'SUT_EU27 total'!$K$44</f>
        <v>9.9090099874062521E-4</v>
      </c>
    </row>
    <row r="656" spans="1:9" x14ac:dyDescent="0.35">
      <c r="A656" t="s">
        <v>15</v>
      </c>
      <c r="B656" t="s">
        <v>88</v>
      </c>
      <c r="C656" t="s">
        <v>81</v>
      </c>
      <c r="D656" t="s">
        <v>122</v>
      </c>
      <c r="E656" t="s">
        <v>73</v>
      </c>
      <c r="F656" t="s">
        <v>74</v>
      </c>
      <c r="G656" t="s">
        <v>108</v>
      </c>
      <c r="H656" t="s">
        <v>84</v>
      </c>
      <c r="I656" s="76">
        <f>'SUT_EU27 total'!$K$47</f>
        <v>0</v>
      </c>
    </row>
    <row r="657" spans="1:9" x14ac:dyDescent="0.35">
      <c r="A657" t="s">
        <v>15</v>
      </c>
      <c r="B657" t="s">
        <v>88</v>
      </c>
      <c r="C657" t="s">
        <v>81</v>
      </c>
      <c r="D657" t="s">
        <v>101</v>
      </c>
      <c r="E657" t="s">
        <v>73</v>
      </c>
      <c r="F657" t="s">
        <v>74</v>
      </c>
      <c r="G657" t="s">
        <v>108</v>
      </c>
      <c r="H657" t="s">
        <v>84</v>
      </c>
      <c r="I657" s="76" cm="1">
        <f t="array" ref="I657:I659">'SUT_EU27 total'!$K$49:$K$51</f>
        <v>0</v>
      </c>
    </row>
    <row r="658" spans="1:9" x14ac:dyDescent="0.35">
      <c r="A658" t="s">
        <v>15</v>
      </c>
      <c r="B658" t="s">
        <v>88</v>
      </c>
      <c r="C658" t="s">
        <v>81</v>
      </c>
      <c r="D658" t="s">
        <v>104</v>
      </c>
      <c r="E658" t="s">
        <v>73</v>
      </c>
      <c r="F658" t="s">
        <v>74</v>
      </c>
      <c r="G658" t="s">
        <v>108</v>
      </c>
      <c r="H658" t="s">
        <v>84</v>
      </c>
      <c r="I658" s="76">
        <v>0</v>
      </c>
    </row>
    <row r="659" spans="1:9" x14ac:dyDescent="0.35">
      <c r="A659" t="s">
        <v>15</v>
      </c>
      <c r="B659" t="s">
        <v>88</v>
      </c>
      <c r="C659" t="s">
        <v>81</v>
      </c>
      <c r="D659" t="s">
        <v>106</v>
      </c>
      <c r="E659" t="s">
        <v>73</v>
      </c>
      <c r="F659" t="s">
        <v>74</v>
      </c>
      <c r="G659" t="s">
        <v>108</v>
      </c>
      <c r="H659" t="s">
        <v>84</v>
      </c>
      <c r="I659" s="76">
        <v>0</v>
      </c>
    </row>
    <row r="660" spans="1:9" x14ac:dyDescent="0.35">
      <c r="A660" t="s">
        <v>15</v>
      </c>
      <c r="B660" t="s">
        <v>90</v>
      </c>
      <c r="C660" t="s">
        <v>81</v>
      </c>
      <c r="D660" t="s">
        <v>118</v>
      </c>
      <c r="E660" t="s">
        <v>73</v>
      </c>
      <c r="F660" t="s">
        <v>74</v>
      </c>
      <c r="G660" t="s">
        <v>108</v>
      </c>
      <c r="H660" t="s">
        <v>84</v>
      </c>
      <c r="I660" s="76" cm="1">
        <f t="array" ref="I660:I662">'SUT_EU27 total'!$K$55:$K$57</f>
        <v>4.323194595174263E-3</v>
      </c>
    </row>
    <row r="661" spans="1:9" x14ac:dyDescent="0.35">
      <c r="A661" t="s">
        <v>15</v>
      </c>
      <c r="B661" t="s">
        <v>90</v>
      </c>
      <c r="C661" t="s">
        <v>81</v>
      </c>
      <c r="D661" t="s">
        <v>119</v>
      </c>
      <c r="E661" t="s">
        <v>73</v>
      </c>
      <c r="F661" t="s">
        <v>74</v>
      </c>
      <c r="G661" t="s">
        <v>108</v>
      </c>
      <c r="H661" t="s">
        <v>84</v>
      </c>
      <c r="I661" s="76">
        <v>1.2800331672655335E-3</v>
      </c>
    </row>
    <row r="662" spans="1:9" x14ac:dyDescent="0.35">
      <c r="A662" t="s">
        <v>15</v>
      </c>
      <c r="B662" t="s">
        <v>90</v>
      </c>
      <c r="C662" t="s">
        <v>81</v>
      </c>
      <c r="D662" t="s">
        <v>120</v>
      </c>
      <c r="E662" t="s">
        <v>73</v>
      </c>
      <c r="F662" t="s">
        <v>74</v>
      </c>
      <c r="G662" t="s">
        <v>108</v>
      </c>
      <c r="H662" t="s">
        <v>84</v>
      </c>
      <c r="I662" s="76">
        <v>5.6700291220540041E-3</v>
      </c>
    </row>
    <row r="663" spans="1:9" x14ac:dyDescent="0.35">
      <c r="A663" t="s">
        <v>15</v>
      </c>
      <c r="B663" t="s">
        <v>90</v>
      </c>
      <c r="C663" t="s">
        <v>81</v>
      </c>
      <c r="D663" s="77" t="s">
        <v>121</v>
      </c>
      <c r="E663" t="s">
        <v>73</v>
      </c>
      <c r="F663" t="s">
        <v>74</v>
      </c>
      <c r="G663" t="s">
        <v>108</v>
      </c>
      <c r="H663" t="s">
        <v>84</v>
      </c>
      <c r="I663" s="76">
        <f>'SUT_EU27 total'!$K$59</f>
        <v>0</v>
      </c>
    </row>
    <row r="664" spans="1:9" x14ac:dyDescent="0.35">
      <c r="A664" t="s">
        <v>15</v>
      </c>
      <c r="B664" t="s">
        <v>90</v>
      </c>
      <c r="C664" t="s">
        <v>81</v>
      </c>
      <c r="D664" t="s">
        <v>117</v>
      </c>
      <c r="E664" t="s">
        <v>73</v>
      </c>
      <c r="F664" t="s">
        <v>74</v>
      </c>
      <c r="G664" t="s">
        <v>108</v>
      </c>
      <c r="H664" t="s">
        <v>84</v>
      </c>
      <c r="I664" s="76">
        <f>'SUT_EU27 total'!$K$61</f>
        <v>1.1930979242119881E-3</v>
      </c>
    </row>
    <row r="665" spans="1:9" x14ac:dyDescent="0.35">
      <c r="A665" t="s">
        <v>15</v>
      </c>
      <c r="B665" t="s">
        <v>90</v>
      </c>
      <c r="C665" t="s">
        <v>81</v>
      </c>
      <c r="D665" t="s">
        <v>122</v>
      </c>
      <c r="E665" t="s">
        <v>73</v>
      </c>
      <c r="F665" t="s">
        <v>74</v>
      </c>
      <c r="G665" t="s">
        <v>108</v>
      </c>
      <c r="H665" t="s">
        <v>84</v>
      </c>
      <c r="I665" s="76">
        <f>'SUT_EU27 total'!$K$64</f>
        <v>2.5776238002378116E-3</v>
      </c>
    </row>
    <row r="666" spans="1:9" x14ac:dyDescent="0.35">
      <c r="A666" t="s">
        <v>15</v>
      </c>
      <c r="B666" t="s">
        <v>90</v>
      </c>
      <c r="C666" t="s">
        <v>81</v>
      </c>
      <c r="D666" t="s">
        <v>101</v>
      </c>
      <c r="E666" t="s">
        <v>73</v>
      </c>
      <c r="F666" t="s">
        <v>74</v>
      </c>
      <c r="G666" t="s">
        <v>108</v>
      </c>
      <c r="H666" t="s">
        <v>84</v>
      </c>
      <c r="I666" s="76" cm="1">
        <f t="array" ref="I666:I668">'SUT_EU27 total'!$K$66:$K$68</f>
        <v>0</v>
      </c>
    </row>
    <row r="667" spans="1:9" x14ac:dyDescent="0.35">
      <c r="A667" t="s">
        <v>15</v>
      </c>
      <c r="B667" t="s">
        <v>90</v>
      </c>
      <c r="C667" t="s">
        <v>81</v>
      </c>
      <c r="D667" t="s">
        <v>104</v>
      </c>
      <c r="E667" t="s">
        <v>73</v>
      </c>
      <c r="F667" t="s">
        <v>74</v>
      </c>
      <c r="G667" t="s">
        <v>108</v>
      </c>
      <c r="H667" t="s">
        <v>84</v>
      </c>
      <c r="I667" s="76">
        <v>0</v>
      </c>
    </row>
    <row r="668" spans="1:9" x14ac:dyDescent="0.35">
      <c r="A668" t="s">
        <v>15</v>
      </c>
      <c r="B668" t="s">
        <v>90</v>
      </c>
      <c r="C668" t="s">
        <v>81</v>
      </c>
      <c r="D668" t="s">
        <v>106</v>
      </c>
      <c r="E668" t="s">
        <v>73</v>
      </c>
      <c r="F668" t="s">
        <v>74</v>
      </c>
      <c r="G668" t="s">
        <v>108</v>
      </c>
      <c r="H668" t="s">
        <v>84</v>
      </c>
      <c r="I668" s="76">
        <v>0</v>
      </c>
    </row>
    <row r="669" spans="1:9" x14ac:dyDescent="0.35">
      <c r="A669" t="s">
        <v>15</v>
      </c>
      <c r="B669" t="s">
        <v>91</v>
      </c>
      <c r="C669" t="s">
        <v>81</v>
      </c>
      <c r="D669" t="s">
        <v>118</v>
      </c>
      <c r="E669" t="s">
        <v>73</v>
      </c>
      <c r="F669" t="s">
        <v>74</v>
      </c>
      <c r="G669" t="s">
        <v>108</v>
      </c>
      <c r="H669" t="s">
        <v>84</v>
      </c>
      <c r="I669" s="76" cm="1">
        <f t="array" ref="I669:I671">'SUT_EU27 total'!$K$72:$K$74</f>
        <v>5.3791732332439677E-3</v>
      </c>
    </row>
    <row r="670" spans="1:9" x14ac:dyDescent="0.35">
      <c r="A670" t="s">
        <v>15</v>
      </c>
      <c r="B670" t="s">
        <v>91</v>
      </c>
      <c r="C670" t="s">
        <v>81</v>
      </c>
      <c r="D670" t="s">
        <v>119</v>
      </c>
      <c r="E670" t="s">
        <v>73</v>
      </c>
      <c r="F670" t="s">
        <v>74</v>
      </c>
      <c r="G670" t="s">
        <v>108</v>
      </c>
      <c r="H670" t="s">
        <v>84</v>
      </c>
      <c r="I670" s="76">
        <v>6.5526133182607291E-3</v>
      </c>
    </row>
    <row r="671" spans="1:9" x14ac:dyDescent="0.35">
      <c r="A671" t="s">
        <v>15</v>
      </c>
      <c r="B671" t="s">
        <v>91</v>
      </c>
      <c r="C671" t="s">
        <v>81</v>
      </c>
      <c r="D671" t="s">
        <v>120</v>
      </c>
      <c r="E671" t="s">
        <v>73</v>
      </c>
      <c r="F671" t="s">
        <v>74</v>
      </c>
      <c r="G671" t="s">
        <v>108</v>
      </c>
      <c r="H671" t="s">
        <v>84</v>
      </c>
      <c r="I671" s="76">
        <v>2.464950959887623E-4</v>
      </c>
    </row>
    <row r="672" spans="1:9" x14ac:dyDescent="0.35">
      <c r="A672" t="s">
        <v>15</v>
      </c>
      <c r="B672" t="s">
        <v>91</v>
      </c>
      <c r="C672" t="s">
        <v>81</v>
      </c>
      <c r="D672" s="77" t="s">
        <v>121</v>
      </c>
      <c r="E672" t="s">
        <v>73</v>
      </c>
      <c r="F672" t="s">
        <v>74</v>
      </c>
      <c r="G672" t="s">
        <v>108</v>
      </c>
      <c r="H672" t="s">
        <v>84</v>
      </c>
      <c r="I672" s="76">
        <f>'SUT_EU27 total'!$K$76</f>
        <v>0</v>
      </c>
    </row>
    <row r="673" spans="1:9" x14ac:dyDescent="0.35">
      <c r="A673" t="s">
        <v>15</v>
      </c>
      <c r="B673" t="s">
        <v>91</v>
      </c>
      <c r="C673" t="s">
        <v>81</v>
      </c>
      <c r="D673" t="s">
        <v>117</v>
      </c>
      <c r="E673" t="s">
        <v>73</v>
      </c>
      <c r="F673" t="s">
        <v>74</v>
      </c>
      <c r="G673" t="s">
        <v>108</v>
      </c>
      <c r="H673" t="s">
        <v>84</v>
      </c>
      <c r="I673" s="76">
        <f>'SUT_EU27 total'!$K$78</f>
        <v>1.1485683451306521E-3</v>
      </c>
    </row>
    <row r="674" spans="1:9" x14ac:dyDescent="0.35">
      <c r="A674" t="s">
        <v>15</v>
      </c>
      <c r="B674" t="s">
        <v>91</v>
      </c>
      <c r="C674" t="s">
        <v>81</v>
      </c>
      <c r="D674" t="s">
        <v>122</v>
      </c>
      <c r="E674" t="s">
        <v>73</v>
      </c>
      <c r="F674" t="s">
        <v>74</v>
      </c>
      <c r="G674" t="s">
        <v>108</v>
      </c>
      <c r="H674" t="s">
        <v>84</v>
      </c>
      <c r="I674" s="76">
        <f>'SUT_EU27 total'!$K$81</f>
        <v>0</v>
      </c>
    </row>
    <row r="675" spans="1:9" x14ac:dyDescent="0.35">
      <c r="A675" t="s">
        <v>15</v>
      </c>
      <c r="B675" t="s">
        <v>91</v>
      </c>
      <c r="C675" t="s">
        <v>81</v>
      </c>
      <c r="D675" t="s">
        <v>101</v>
      </c>
      <c r="E675" t="s">
        <v>73</v>
      </c>
      <c r="F675" t="s">
        <v>74</v>
      </c>
      <c r="G675" t="s">
        <v>108</v>
      </c>
      <c r="H675" t="s">
        <v>84</v>
      </c>
      <c r="I675" s="76" cm="1">
        <f t="array" ref="I675:I677">'SUT_EU27 total'!$K$83:$K$85</f>
        <v>0</v>
      </c>
    </row>
    <row r="676" spans="1:9" x14ac:dyDescent="0.35">
      <c r="A676" t="s">
        <v>15</v>
      </c>
      <c r="B676" t="s">
        <v>91</v>
      </c>
      <c r="C676" t="s">
        <v>81</v>
      </c>
      <c r="D676" t="s">
        <v>104</v>
      </c>
      <c r="E676" t="s">
        <v>73</v>
      </c>
      <c r="F676" t="s">
        <v>74</v>
      </c>
      <c r="G676" t="s">
        <v>108</v>
      </c>
      <c r="H676" t="s">
        <v>84</v>
      </c>
      <c r="I676" s="76">
        <v>0</v>
      </c>
    </row>
    <row r="677" spans="1:9" x14ac:dyDescent="0.35">
      <c r="A677" t="s">
        <v>15</v>
      </c>
      <c r="B677" t="s">
        <v>91</v>
      </c>
      <c r="C677" t="s">
        <v>81</v>
      </c>
      <c r="D677" t="s">
        <v>106</v>
      </c>
      <c r="E677" t="s">
        <v>73</v>
      </c>
      <c r="F677" t="s">
        <v>74</v>
      </c>
      <c r="G677" t="s">
        <v>108</v>
      </c>
      <c r="H677" t="s">
        <v>84</v>
      </c>
      <c r="I677" s="76">
        <v>0</v>
      </c>
    </row>
    <row r="678" spans="1:9" x14ac:dyDescent="0.35">
      <c r="A678" t="s">
        <v>15</v>
      </c>
      <c r="B678" t="s">
        <v>92</v>
      </c>
      <c r="C678" t="s">
        <v>81</v>
      </c>
      <c r="D678" t="s">
        <v>118</v>
      </c>
      <c r="E678" t="s">
        <v>73</v>
      </c>
      <c r="F678" t="s">
        <v>74</v>
      </c>
      <c r="G678" t="s">
        <v>108</v>
      </c>
      <c r="H678" t="s">
        <v>84</v>
      </c>
      <c r="I678" s="76" cm="1">
        <f t="array" ref="I678:I680">'SUT_EU27 total'!$K$89:$K$91</f>
        <v>3.3497344343163542E-3</v>
      </c>
    </row>
    <row r="679" spans="1:9" x14ac:dyDescent="0.35">
      <c r="A679" t="s">
        <v>15</v>
      </c>
      <c r="B679" t="s">
        <v>92</v>
      </c>
      <c r="C679" t="s">
        <v>81</v>
      </c>
      <c r="D679" t="s">
        <v>119</v>
      </c>
      <c r="E679" t="s">
        <v>73</v>
      </c>
      <c r="F679" t="s">
        <v>74</v>
      </c>
      <c r="G679" t="s">
        <v>108</v>
      </c>
      <c r="H679" t="s">
        <v>84</v>
      </c>
      <c r="I679" s="76">
        <v>6.0269323460777589E-3</v>
      </c>
    </row>
    <row r="680" spans="1:9" x14ac:dyDescent="0.35">
      <c r="A680" t="s">
        <v>15</v>
      </c>
      <c r="B680" t="s">
        <v>92</v>
      </c>
      <c r="C680" t="s">
        <v>81</v>
      </c>
      <c r="D680" t="s">
        <v>120</v>
      </c>
      <c r="E680" t="s">
        <v>73</v>
      </c>
      <c r="F680" t="s">
        <v>74</v>
      </c>
      <c r="G680" t="s">
        <v>108</v>
      </c>
      <c r="H680" t="s">
        <v>84</v>
      </c>
      <c r="I680" s="76">
        <v>4.0947713992508196E-3</v>
      </c>
    </row>
    <row r="681" spans="1:9" x14ac:dyDescent="0.35">
      <c r="A681" t="s">
        <v>15</v>
      </c>
      <c r="B681" t="s">
        <v>92</v>
      </c>
      <c r="C681" t="s">
        <v>81</v>
      </c>
      <c r="D681" s="77" t="s">
        <v>121</v>
      </c>
      <c r="E681" t="s">
        <v>73</v>
      </c>
      <c r="F681" t="s">
        <v>74</v>
      </c>
      <c r="G681" t="s">
        <v>108</v>
      </c>
      <c r="H681" t="s">
        <v>84</v>
      </c>
      <c r="I681" s="76">
        <f>'SUT_EU27 total'!$K$93</f>
        <v>0</v>
      </c>
    </row>
    <row r="682" spans="1:9" x14ac:dyDescent="0.35">
      <c r="A682" t="s">
        <v>15</v>
      </c>
      <c r="B682" t="s">
        <v>92</v>
      </c>
      <c r="C682" t="s">
        <v>81</v>
      </c>
      <c r="D682" t="s">
        <v>117</v>
      </c>
      <c r="E682" t="s">
        <v>73</v>
      </c>
      <c r="F682" t="s">
        <v>74</v>
      </c>
      <c r="G682" t="s">
        <v>108</v>
      </c>
      <c r="H682" t="s">
        <v>84</v>
      </c>
      <c r="I682" s="76">
        <f>'SUT_EU27 total'!$K$95</f>
        <v>0</v>
      </c>
    </row>
    <row r="683" spans="1:9" x14ac:dyDescent="0.35">
      <c r="A683" t="s">
        <v>15</v>
      </c>
      <c r="B683" t="s">
        <v>92</v>
      </c>
      <c r="C683" t="s">
        <v>81</v>
      </c>
      <c r="D683" t="s">
        <v>122</v>
      </c>
      <c r="E683" t="s">
        <v>73</v>
      </c>
      <c r="F683" t="s">
        <v>74</v>
      </c>
      <c r="G683" t="s">
        <v>108</v>
      </c>
      <c r="H683" t="s">
        <v>84</v>
      </c>
      <c r="I683" s="76">
        <f>'SUT_EU27 total'!$K$98</f>
        <v>0</v>
      </c>
    </row>
    <row r="684" spans="1:9" x14ac:dyDescent="0.35">
      <c r="A684" t="s">
        <v>15</v>
      </c>
      <c r="B684" t="s">
        <v>92</v>
      </c>
      <c r="C684" t="s">
        <v>81</v>
      </c>
      <c r="D684" t="s">
        <v>101</v>
      </c>
      <c r="E684" t="s">
        <v>73</v>
      </c>
      <c r="F684" t="s">
        <v>74</v>
      </c>
      <c r="G684" t="s">
        <v>108</v>
      </c>
      <c r="H684" t="s">
        <v>84</v>
      </c>
      <c r="I684" s="76" cm="1">
        <f t="array" ref="I684:I686">'SUT_EU27 total'!$K$100:$K$102</f>
        <v>0</v>
      </c>
    </row>
    <row r="685" spans="1:9" x14ac:dyDescent="0.35">
      <c r="A685" t="s">
        <v>15</v>
      </c>
      <c r="B685" t="s">
        <v>92</v>
      </c>
      <c r="C685" t="s">
        <v>81</v>
      </c>
      <c r="D685" t="s">
        <v>104</v>
      </c>
      <c r="E685" t="s">
        <v>73</v>
      </c>
      <c r="F685" t="s">
        <v>74</v>
      </c>
      <c r="G685" t="s">
        <v>108</v>
      </c>
      <c r="H685" t="s">
        <v>84</v>
      </c>
      <c r="I685" s="76">
        <v>0</v>
      </c>
    </row>
    <row r="686" spans="1:9" x14ac:dyDescent="0.35">
      <c r="A686" t="s">
        <v>15</v>
      </c>
      <c r="B686" t="s">
        <v>92</v>
      </c>
      <c r="C686" t="s">
        <v>81</v>
      </c>
      <c r="D686" t="s">
        <v>106</v>
      </c>
      <c r="E686" t="s">
        <v>73</v>
      </c>
      <c r="F686" t="s">
        <v>74</v>
      </c>
      <c r="G686" t="s">
        <v>108</v>
      </c>
      <c r="H686" t="s">
        <v>84</v>
      </c>
      <c r="I686" s="76">
        <v>0</v>
      </c>
    </row>
    <row r="687" spans="1:9" x14ac:dyDescent="0.35">
      <c r="A687" t="s">
        <v>15</v>
      </c>
      <c r="B687" t="s">
        <v>93</v>
      </c>
      <c r="C687" t="s">
        <v>81</v>
      </c>
      <c r="D687" t="s">
        <v>118</v>
      </c>
      <c r="E687" t="s">
        <v>73</v>
      </c>
      <c r="F687" t="s">
        <v>74</v>
      </c>
      <c r="G687" t="s">
        <v>108</v>
      </c>
      <c r="H687" t="s">
        <v>84</v>
      </c>
      <c r="I687" s="76" cm="1">
        <f t="array" ref="I687:I689">'SUT_EU27 total'!$K$106:$K$108</f>
        <v>1.4980971667560324E-2</v>
      </c>
    </row>
    <row r="688" spans="1:9" x14ac:dyDescent="0.35">
      <c r="A688" t="s">
        <v>15</v>
      </c>
      <c r="B688" t="s">
        <v>93</v>
      </c>
      <c r="C688" t="s">
        <v>81</v>
      </c>
      <c r="D688" t="s">
        <v>119</v>
      </c>
      <c r="E688" t="s">
        <v>73</v>
      </c>
      <c r="F688" t="s">
        <v>74</v>
      </c>
      <c r="G688" t="s">
        <v>108</v>
      </c>
      <c r="H688" t="s">
        <v>84</v>
      </c>
      <c r="I688" s="76">
        <v>4.3405477873147885E-2</v>
      </c>
    </row>
    <row r="689" spans="1:10" x14ac:dyDescent="0.35">
      <c r="A689" t="s">
        <v>15</v>
      </c>
      <c r="B689" t="s">
        <v>93</v>
      </c>
      <c r="C689" t="s">
        <v>81</v>
      </c>
      <c r="D689" t="s">
        <v>120</v>
      </c>
      <c r="E689" t="s">
        <v>73</v>
      </c>
      <c r="F689" t="s">
        <v>74</v>
      </c>
      <c r="G689" t="s">
        <v>108</v>
      </c>
      <c r="H689" t="s">
        <v>84</v>
      </c>
      <c r="I689" s="76">
        <v>2.1237093113781802E-2</v>
      </c>
    </row>
    <row r="690" spans="1:10" x14ac:dyDescent="0.35">
      <c r="A690" t="s">
        <v>15</v>
      </c>
      <c r="B690" t="s">
        <v>93</v>
      </c>
      <c r="C690" t="s">
        <v>81</v>
      </c>
      <c r="D690" s="77" t="s">
        <v>121</v>
      </c>
      <c r="E690" t="s">
        <v>73</v>
      </c>
      <c r="F690" t="s">
        <v>74</v>
      </c>
      <c r="G690" t="s">
        <v>108</v>
      </c>
      <c r="H690" t="s">
        <v>84</v>
      </c>
      <c r="I690" s="76">
        <f>'SUT_EU27 total'!$K$110</f>
        <v>0</v>
      </c>
    </row>
    <row r="691" spans="1:10" x14ac:dyDescent="0.35">
      <c r="A691" t="s">
        <v>15</v>
      </c>
      <c r="B691" t="s">
        <v>93</v>
      </c>
      <c r="C691" t="s">
        <v>81</v>
      </c>
      <c r="D691" t="s">
        <v>117</v>
      </c>
      <c r="E691" t="s">
        <v>73</v>
      </c>
      <c r="F691" t="s">
        <v>74</v>
      </c>
      <c r="G691" t="s">
        <v>108</v>
      </c>
      <c r="H691" t="s">
        <v>84</v>
      </c>
      <c r="I691" s="76">
        <f>'SUT_EU27 total'!$K$112</f>
        <v>1.1930984723440377E-3</v>
      </c>
    </row>
    <row r="692" spans="1:10" x14ac:dyDescent="0.35">
      <c r="A692" t="s">
        <v>15</v>
      </c>
      <c r="B692" t="s">
        <v>93</v>
      </c>
      <c r="C692" t="s">
        <v>81</v>
      </c>
      <c r="D692" t="s">
        <v>122</v>
      </c>
      <c r="E692" t="s">
        <v>73</v>
      </c>
      <c r="F692" t="s">
        <v>74</v>
      </c>
      <c r="G692" t="s">
        <v>108</v>
      </c>
      <c r="H692" t="s">
        <v>84</v>
      </c>
      <c r="I692" s="76">
        <f>'SUT_EU27 total'!$K$115</f>
        <v>8.7987828585017833E-3</v>
      </c>
    </row>
    <row r="693" spans="1:10" x14ac:dyDescent="0.35">
      <c r="A693" t="s">
        <v>15</v>
      </c>
      <c r="B693" t="s">
        <v>93</v>
      </c>
      <c r="C693" t="s">
        <v>81</v>
      </c>
      <c r="D693" t="s">
        <v>101</v>
      </c>
      <c r="E693" t="s">
        <v>73</v>
      </c>
      <c r="F693" t="s">
        <v>74</v>
      </c>
      <c r="G693" t="s">
        <v>108</v>
      </c>
      <c r="H693" t="s">
        <v>84</v>
      </c>
      <c r="I693" s="76" cm="1">
        <f t="array" ref="I693:I695">'SUT_EU27 total'!$K$117:$K$119</f>
        <v>0</v>
      </c>
    </row>
    <row r="694" spans="1:10" x14ac:dyDescent="0.35">
      <c r="A694" t="s">
        <v>15</v>
      </c>
      <c r="B694" t="s">
        <v>93</v>
      </c>
      <c r="C694" t="s">
        <v>81</v>
      </c>
      <c r="D694" t="s">
        <v>104</v>
      </c>
      <c r="E694" t="s">
        <v>73</v>
      </c>
      <c r="F694" t="s">
        <v>74</v>
      </c>
      <c r="G694" t="s">
        <v>108</v>
      </c>
      <c r="H694" t="s">
        <v>84</v>
      </c>
      <c r="I694" s="76">
        <v>0</v>
      </c>
    </row>
    <row r="695" spans="1:10" x14ac:dyDescent="0.35">
      <c r="A695" t="s">
        <v>15</v>
      </c>
      <c r="B695" t="s">
        <v>93</v>
      </c>
      <c r="C695" t="s">
        <v>81</v>
      </c>
      <c r="D695" t="s">
        <v>106</v>
      </c>
      <c r="E695" t="s">
        <v>73</v>
      </c>
      <c r="F695" t="s">
        <v>74</v>
      </c>
      <c r="G695" t="s">
        <v>108</v>
      </c>
      <c r="H695" t="s">
        <v>84</v>
      </c>
      <c r="I695" s="76">
        <v>0</v>
      </c>
    </row>
    <row r="696" spans="1:10" x14ac:dyDescent="0.35">
      <c r="A696" t="s">
        <v>15</v>
      </c>
      <c r="B696" t="s">
        <v>73</v>
      </c>
      <c r="C696" t="s">
        <v>81</v>
      </c>
      <c r="D696" t="s">
        <v>119</v>
      </c>
      <c r="E696" t="s">
        <v>73</v>
      </c>
      <c r="F696" t="s">
        <v>74</v>
      </c>
      <c r="G696" t="s">
        <v>123</v>
      </c>
      <c r="H696" t="s">
        <v>84</v>
      </c>
      <c r="I696" s="76">
        <f>'SUT_EU27 total'!$L$22</f>
        <v>1.9500181678711294E-2</v>
      </c>
    </row>
    <row r="697" spans="1:10" x14ac:dyDescent="0.35">
      <c r="A697" t="s">
        <v>15</v>
      </c>
      <c r="B697" t="s">
        <v>73</v>
      </c>
      <c r="C697" t="s">
        <v>81</v>
      </c>
      <c r="D697" t="s">
        <v>124</v>
      </c>
      <c r="E697" t="s">
        <v>73</v>
      </c>
      <c r="F697" t="s">
        <v>74</v>
      </c>
      <c r="G697" t="s">
        <v>123</v>
      </c>
      <c r="H697" t="s">
        <v>84</v>
      </c>
      <c r="I697" s="76" cm="1">
        <f t="array" ref="I697:I705">'SUT_EU27 total'!$L$26:$L$34</f>
        <v>1.9404661061278542E-3</v>
      </c>
    </row>
    <row r="698" spans="1:10" x14ac:dyDescent="0.35">
      <c r="A698" t="s">
        <v>15</v>
      </c>
      <c r="B698" t="s">
        <v>73</v>
      </c>
      <c r="C698" t="s">
        <v>81</v>
      </c>
      <c r="D698" t="s">
        <v>117</v>
      </c>
      <c r="E698" t="s">
        <v>73</v>
      </c>
      <c r="F698" t="s">
        <v>74</v>
      </c>
      <c r="G698" t="s">
        <v>123</v>
      </c>
      <c r="H698" t="s">
        <v>84</v>
      </c>
      <c r="I698" s="76">
        <v>5.8423628191201782E-3</v>
      </c>
    </row>
    <row r="699" spans="1:10" x14ac:dyDescent="0.35">
      <c r="A699" t="s">
        <v>15</v>
      </c>
      <c r="B699" t="s">
        <v>73</v>
      </c>
      <c r="C699" t="s">
        <v>81</v>
      </c>
      <c r="D699" t="s">
        <v>82</v>
      </c>
      <c r="E699" t="s">
        <v>73</v>
      </c>
      <c r="F699" t="s">
        <v>74</v>
      </c>
      <c r="G699" t="s">
        <v>123</v>
      </c>
      <c r="H699" t="s">
        <v>84</v>
      </c>
      <c r="I699" s="76">
        <v>4.8981233243967828E-4</v>
      </c>
    </row>
    <row r="700" spans="1:10" x14ac:dyDescent="0.35">
      <c r="A700" t="s">
        <v>15</v>
      </c>
      <c r="B700" t="s">
        <v>73</v>
      </c>
      <c r="C700" t="s">
        <v>81</v>
      </c>
      <c r="D700" t="s">
        <v>125</v>
      </c>
      <c r="E700" t="s">
        <v>73</v>
      </c>
      <c r="F700" t="s">
        <v>74</v>
      </c>
      <c r="G700" t="s">
        <v>123</v>
      </c>
      <c r="H700" t="s">
        <v>84</v>
      </c>
      <c r="I700" s="76">
        <v>2.4658201215687387E-3</v>
      </c>
    </row>
    <row r="701" spans="1:10" x14ac:dyDescent="0.35">
      <c r="A701" t="s">
        <v>15</v>
      </c>
      <c r="B701" t="s">
        <v>73</v>
      </c>
      <c r="C701" t="s">
        <v>81</v>
      </c>
      <c r="D701" t="s">
        <v>122</v>
      </c>
      <c r="E701" t="s">
        <v>73</v>
      </c>
      <c r="F701" t="s">
        <v>74</v>
      </c>
      <c r="G701" t="s">
        <v>123</v>
      </c>
      <c r="H701" t="s">
        <v>84</v>
      </c>
      <c r="I701" s="76">
        <v>4.922711058263972E-4</v>
      </c>
    </row>
    <row r="702" spans="1:10" x14ac:dyDescent="0.35">
      <c r="A702" t="s">
        <v>15</v>
      </c>
      <c r="B702" t="s">
        <v>73</v>
      </c>
      <c r="C702" t="s">
        <v>81</v>
      </c>
      <c r="D702" t="s">
        <v>126</v>
      </c>
      <c r="E702" t="s">
        <v>73</v>
      </c>
      <c r="F702" t="s">
        <v>74</v>
      </c>
      <c r="G702" t="s">
        <v>123</v>
      </c>
      <c r="H702" t="s">
        <v>84</v>
      </c>
      <c r="I702" s="76">
        <v>0</v>
      </c>
    </row>
    <row r="703" spans="1:10" x14ac:dyDescent="0.35">
      <c r="A703" t="s">
        <v>15</v>
      </c>
      <c r="B703" t="s">
        <v>73</v>
      </c>
      <c r="C703" t="s">
        <v>81</v>
      </c>
      <c r="D703" t="s">
        <v>101</v>
      </c>
      <c r="E703" t="s">
        <v>73</v>
      </c>
      <c r="F703" t="s">
        <v>74</v>
      </c>
      <c r="G703" t="s">
        <v>123</v>
      </c>
      <c r="H703" t="s">
        <v>84</v>
      </c>
      <c r="I703" s="76">
        <v>3.7860913795851507E-4</v>
      </c>
    </row>
    <row r="704" spans="1:10" x14ac:dyDescent="0.35">
      <c r="A704" t="s">
        <v>15</v>
      </c>
      <c r="B704" t="s">
        <v>73</v>
      </c>
      <c r="C704" t="s">
        <v>81</v>
      </c>
      <c r="D704" t="s">
        <v>104</v>
      </c>
      <c r="E704" t="s">
        <v>73</v>
      </c>
      <c r="F704" t="s">
        <v>74</v>
      </c>
      <c r="G704" t="s">
        <v>123</v>
      </c>
      <c r="H704" t="s">
        <v>84</v>
      </c>
      <c r="I704" s="76">
        <v>7.1686251377883477E-4</v>
      </c>
      <c r="J704" s="72"/>
    </row>
    <row r="705" spans="1:9" x14ac:dyDescent="0.35">
      <c r="A705" t="s">
        <v>15</v>
      </c>
      <c r="B705" t="s">
        <v>73</v>
      </c>
      <c r="C705" t="s">
        <v>81</v>
      </c>
      <c r="D705" t="s">
        <v>106</v>
      </c>
      <c r="E705" t="s">
        <v>73</v>
      </c>
      <c r="F705" t="s">
        <v>74</v>
      </c>
      <c r="G705" t="s">
        <v>123</v>
      </c>
      <c r="H705" t="s">
        <v>84</v>
      </c>
      <c r="I705" s="76">
        <v>2.438307869996036E-3</v>
      </c>
    </row>
    <row r="706" spans="1:9" x14ac:dyDescent="0.35">
      <c r="A706" t="s">
        <v>15</v>
      </c>
      <c r="B706" t="s">
        <v>88</v>
      </c>
      <c r="C706" t="s">
        <v>81</v>
      </c>
      <c r="D706" t="s">
        <v>119</v>
      </c>
      <c r="E706" t="s">
        <v>73</v>
      </c>
      <c r="F706" t="s">
        <v>74</v>
      </c>
      <c r="G706" t="s">
        <v>123</v>
      </c>
      <c r="H706" t="s">
        <v>84</v>
      </c>
      <c r="I706" s="76">
        <f>'SUT_EU27 total'!$L$39</f>
        <v>0.16108845734587587</v>
      </c>
    </row>
    <row r="707" spans="1:9" x14ac:dyDescent="0.35">
      <c r="A707" t="s">
        <v>15</v>
      </c>
      <c r="B707" t="s">
        <v>88</v>
      </c>
      <c r="C707" t="s">
        <v>81</v>
      </c>
      <c r="D707" t="s">
        <v>124</v>
      </c>
      <c r="E707" t="s">
        <v>73</v>
      </c>
      <c r="F707" t="s">
        <v>74</v>
      </c>
      <c r="G707" t="s">
        <v>123</v>
      </c>
      <c r="H707" t="s">
        <v>84</v>
      </c>
      <c r="I707" s="76" cm="1">
        <f t="array" ref="I707:I715">'SUT_EU27 total'!$M$43:$M$51</f>
        <v>5.0558836222750793E-4</v>
      </c>
    </row>
    <row r="708" spans="1:9" x14ac:dyDescent="0.35">
      <c r="A708" t="s">
        <v>15</v>
      </c>
      <c r="B708" t="s">
        <v>88</v>
      </c>
      <c r="C708" t="s">
        <v>81</v>
      </c>
      <c r="D708" t="s">
        <v>117</v>
      </c>
      <c r="E708" t="s">
        <v>73</v>
      </c>
      <c r="F708" t="s">
        <v>74</v>
      </c>
      <c r="G708" t="s">
        <v>123</v>
      </c>
      <c r="H708" t="s">
        <v>84</v>
      </c>
      <c r="I708" s="76">
        <v>4.8514464106651379E-3</v>
      </c>
    </row>
    <row r="709" spans="1:9" x14ac:dyDescent="0.35">
      <c r="A709" t="s">
        <v>15</v>
      </c>
      <c r="B709" t="s">
        <v>88</v>
      </c>
      <c r="C709" t="s">
        <v>81</v>
      </c>
      <c r="D709" t="s">
        <v>82</v>
      </c>
      <c r="E709" t="s">
        <v>73</v>
      </c>
      <c r="F709" t="s">
        <v>74</v>
      </c>
      <c r="G709" t="s">
        <v>123</v>
      </c>
      <c r="H709" t="s">
        <v>84</v>
      </c>
      <c r="I709" s="76">
        <v>1.109418436791091E-2</v>
      </c>
    </row>
    <row r="710" spans="1:9" x14ac:dyDescent="0.35">
      <c r="A710" t="s">
        <v>15</v>
      </c>
      <c r="B710" t="s">
        <v>88</v>
      </c>
      <c r="C710" t="s">
        <v>81</v>
      </c>
      <c r="D710" t="s">
        <v>125</v>
      </c>
      <c r="E710" t="s">
        <v>73</v>
      </c>
      <c r="F710" t="s">
        <v>74</v>
      </c>
      <c r="G710" t="s">
        <v>123</v>
      </c>
      <c r="H710" t="s">
        <v>84</v>
      </c>
      <c r="I710" s="76">
        <v>2.890870278990243E-5</v>
      </c>
    </row>
    <row r="711" spans="1:9" x14ac:dyDescent="0.35">
      <c r="A711" t="s">
        <v>15</v>
      </c>
      <c r="B711" t="s">
        <v>88</v>
      </c>
      <c r="C711" t="s">
        <v>81</v>
      </c>
      <c r="D711" t="s">
        <v>122</v>
      </c>
      <c r="E711" t="s">
        <v>73</v>
      </c>
      <c r="F711" t="s">
        <v>74</v>
      </c>
      <c r="G711" t="s">
        <v>123</v>
      </c>
      <c r="H711" t="s">
        <v>84</v>
      </c>
      <c r="I711" s="76">
        <v>0</v>
      </c>
    </row>
    <row r="712" spans="1:9" x14ac:dyDescent="0.35">
      <c r="A712" t="s">
        <v>15</v>
      </c>
      <c r="B712" t="s">
        <v>88</v>
      </c>
      <c r="C712" t="s">
        <v>81</v>
      </c>
      <c r="D712" t="s">
        <v>126</v>
      </c>
      <c r="E712" t="s">
        <v>73</v>
      </c>
      <c r="F712" t="s">
        <v>74</v>
      </c>
      <c r="G712" t="s">
        <v>123</v>
      </c>
      <c r="H712" t="s">
        <v>84</v>
      </c>
      <c r="I712" s="76">
        <v>2.8514320987501449E-3</v>
      </c>
    </row>
    <row r="713" spans="1:9" x14ac:dyDescent="0.35">
      <c r="A713" t="s">
        <v>15</v>
      </c>
      <c r="B713" t="s">
        <v>88</v>
      </c>
      <c r="C713" t="s">
        <v>81</v>
      </c>
      <c r="D713" t="s">
        <v>101</v>
      </c>
      <c r="E713" t="s">
        <v>73</v>
      </c>
      <c r="F713" t="s">
        <v>74</v>
      </c>
      <c r="G713" t="s">
        <v>123</v>
      </c>
      <c r="H713" t="s">
        <v>84</v>
      </c>
      <c r="I713" s="76">
        <v>0</v>
      </c>
    </row>
    <row r="714" spans="1:9" x14ac:dyDescent="0.35">
      <c r="A714" t="s">
        <v>15</v>
      </c>
      <c r="B714" t="s">
        <v>88</v>
      </c>
      <c r="C714" t="s">
        <v>81</v>
      </c>
      <c r="D714" t="s">
        <v>104</v>
      </c>
      <c r="E714" t="s">
        <v>73</v>
      </c>
      <c r="F714" t="s">
        <v>74</v>
      </c>
      <c r="G714" t="s">
        <v>123</v>
      </c>
      <c r="H714" t="s">
        <v>84</v>
      </c>
      <c r="I714" s="76">
        <v>0</v>
      </c>
    </row>
    <row r="715" spans="1:9" x14ac:dyDescent="0.35">
      <c r="A715" t="s">
        <v>15</v>
      </c>
      <c r="B715" t="s">
        <v>88</v>
      </c>
      <c r="C715" t="s">
        <v>81</v>
      </c>
      <c r="D715" t="s">
        <v>106</v>
      </c>
      <c r="E715" t="s">
        <v>73</v>
      </c>
      <c r="F715" t="s">
        <v>74</v>
      </c>
      <c r="G715" t="s">
        <v>123</v>
      </c>
      <c r="H715" t="s">
        <v>84</v>
      </c>
      <c r="I715" s="76">
        <v>0</v>
      </c>
    </row>
    <row r="716" spans="1:9" x14ac:dyDescent="0.35">
      <c r="A716" t="s">
        <v>15</v>
      </c>
      <c r="B716" t="s">
        <v>90</v>
      </c>
      <c r="C716" t="s">
        <v>81</v>
      </c>
      <c r="D716" t="s">
        <v>119</v>
      </c>
      <c r="E716" t="s">
        <v>73</v>
      </c>
      <c r="F716" t="s">
        <v>74</v>
      </c>
      <c r="G716" t="s">
        <v>123</v>
      </c>
      <c r="H716" t="s">
        <v>84</v>
      </c>
      <c r="I716" s="76">
        <f>'SUT_EU27 total'!$M$56</f>
        <v>2.949251079979006E-2</v>
      </c>
    </row>
    <row r="717" spans="1:9" x14ac:dyDescent="0.35">
      <c r="A717" t="s">
        <v>15</v>
      </c>
      <c r="B717" t="s">
        <v>90</v>
      </c>
      <c r="C717" t="s">
        <v>81</v>
      </c>
      <c r="D717" t="s">
        <v>124</v>
      </c>
      <c r="E717" t="s">
        <v>73</v>
      </c>
      <c r="F717" t="s">
        <v>74</v>
      </c>
      <c r="G717" t="s">
        <v>123</v>
      </c>
      <c r="H717" t="s">
        <v>84</v>
      </c>
      <c r="I717" s="76" cm="1">
        <f t="array" ref="I717:I725">'SUT_EU27 total'!$L$60:$L$68</f>
        <v>2.1047443073980527E-5</v>
      </c>
    </row>
    <row r="718" spans="1:9" x14ac:dyDescent="0.35">
      <c r="A718" t="s">
        <v>15</v>
      </c>
      <c r="B718" t="s">
        <v>90</v>
      </c>
      <c r="C718" t="s">
        <v>81</v>
      </c>
      <c r="D718" t="s">
        <v>117</v>
      </c>
      <c r="E718" t="s">
        <v>73</v>
      </c>
      <c r="F718" t="s">
        <v>74</v>
      </c>
      <c r="G718" t="s">
        <v>123</v>
      </c>
      <c r="H718" t="s">
        <v>84</v>
      </c>
      <c r="I718" s="76">
        <v>5.8414015621608938E-3</v>
      </c>
    </row>
    <row r="719" spans="1:9" x14ac:dyDescent="0.35">
      <c r="A719" t="s">
        <v>15</v>
      </c>
      <c r="B719" t="s">
        <v>90</v>
      </c>
      <c r="C719" t="s">
        <v>81</v>
      </c>
      <c r="D719" t="s">
        <v>82</v>
      </c>
      <c r="E719" t="s">
        <v>73</v>
      </c>
      <c r="F719" t="s">
        <v>74</v>
      </c>
      <c r="G719" t="s">
        <v>123</v>
      </c>
      <c r="H719" t="s">
        <v>84</v>
      </c>
      <c r="I719" s="76">
        <v>1.4521138379047227E-3</v>
      </c>
    </row>
    <row r="720" spans="1:9" x14ac:dyDescent="0.35">
      <c r="A720" t="s">
        <v>15</v>
      </c>
      <c r="B720" t="s">
        <v>90</v>
      </c>
      <c r="C720" t="s">
        <v>81</v>
      </c>
      <c r="D720" t="s">
        <v>125</v>
      </c>
      <c r="E720" t="s">
        <v>73</v>
      </c>
      <c r="F720" t="s">
        <v>74</v>
      </c>
      <c r="G720" t="s">
        <v>123</v>
      </c>
      <c r="H720" t="s">
        <v>84</v>
      </c>
      <c r="I720" s="76">
        <v>6.5130870114372285E-5</v>
      </c>
    </row>
    <row r="721" spans="1:9" x14ac:dyDescent="0.35">
      <c r="A721" t="s">
        <v>15</v>
      </c>
      <c r="B721" t="s">
        <v>90</v>
      </c>
      <c r="C721" t="s">
        <v>81</v>
      </c>
      <c r="D721" t="s">
        <v>122</v>
      </c>
      <c r="E721" t="s">
        <v>73</v>
      </c>
      <c r="F721" t="s">
        <v>74</v>
      </c>
      <c r="G721" t="s">
        <v>123</v>
      </c>
      <c r="H721" t="s">
        <v>84</v>
      </c>
      <c r="I721" s="76">
        <v>7.9476813317479189E-4</v>
      </c>
    </row>
    <row r="722" spans="1:9" x14ac:dyDescent="0.35">
      <c r="A722" t="s">
        <v>15</v>
      </c>
      <c r="B722" t="s">
        <v>90</v>
      </c>
      <c r="C722" t="s">
        <v>81</v>
      </c>
      <c r="D722" t="s">
        <v>126</v>
      </c>
      <c r="E722" t="s">
        <v>73</v>
      </c>
      <c r="F722" t="s">
        <v>74</v>
      </c>
      <c r="G722" t="s">
        <v>123</v>
      </c>
      <c r="H722" t="s">
        <v>84</v>
      </c>
      <c r="I722" s="76">
        <v>8.4821183458843076E-3</v>
      </c>
    </row>
    <row r="723" spans="1:9" x14ac:dyDescent="0.35">
      <c r="A723" t="s">
        <v>15</v>
      </c>
      <c r="B723" t="s">
        <v>90</v>
      </c>
      <c r="C723" t="s">
        <v>81</v>
      </c>
      <c r="D723" t="s">
        <v>101</v>
      </c>
      <c r="E723" t="s">
        <v>73</v>
      </c>
      <c r="F723" t="s">
        <v>74</v>
      </c>
      <c r="G723" t="s">
        <v>123</v>
      </c>
      <c r="H723" t="s">
        <v>84</v>
      </c>
      <c r="I723" s="76">
        <v>0</v>
      </c>
    </row>
    <row r="724" spans="1:9" x14ac:dyDescent="0.35">
      <c r="A724" t="s">
        <v>15</v>
      </c>
      <c r="B724" t="s">
        <v>90</v>
      </c>
      <c r="C724" t="s">
        <v>81</v>
      </c>
      <c r="D724" t="s">
        <v>104</v>
      </c>
      <c r="E724" t="s">
        <v>73</v>
      </c>
      <c r="F724" t="s">
        <v>74</v>
      </c>
      <c r="G724" t="s">
        <v>123</v>
      </c>
      <c r="H724" t="s">
        <v>84</v>
      </c>
      <c r="I724" s="76">
        <v>0</v>
      </c>
    </row>
    <row r="725" spans="1:9" x14ac:dyDescent="0.35">
      <c r="A725" t="s">
        <v>15</v>
      </c>
      <c r="B725" t="s">
        <v>90</v>
      </c>
      <c r="C725" t="s">
        <v>81</v>
      </c>
      <c r="D725" t="s">
        <v>106</v>
      </c>
      <c r="E725" t="s">
        <v>73</v>
      </c>
      <c r="F725" t="s">
        <v>74</v>
      </c>
      <c r="G725" t="s">
        <v>123</v>
      </c>
      <c r="H725" t="s">
        <v>84</v>
      </c>
      <c r="I725" s="76">
        <v>0</v>
      </c>
    </row>
    <row r="726" spans="1:9" x14ac:dyDescent="0.35">
      <c r="A726" t="s">
        <v>15</v>
      </c>
      <c r="B726" t="s">
        <v>91</v>
      </c>
      <c r="C726" t="s">
        <v>81</v>
      </c>
      <c r="D726" t="s">
        <v>119</v>
      </c>
      <c r="E726" t="s">
        <v>73</v>
      </c>
      <c r="F726" t="s">
        <v>74</v>
      </c>
      <c r="G726" t="s">
        <v>123</v>
      </c>
      <c r="H726" t="s">
        <v>84</v>
      </c>
      <c r="I726" s="76">
        <f>'SUT_EU27 total'!$L$73</f>
        <v>0.15097500908393557</v>
      </c>
    </row>
    <row r="727" spans="1:9" x14ac:dyDescent="0.35">
      <c r="A727" t="s">
        <v>15</v>
      </c>
      <c r="B727" t="s">
        <v>91</v>
      </c>
      <c r="C727" t="s">
        <v>81</v>
      </c>
      <c r="D727" t="s">
        <v>124</v>
      </c>
      <c r="E727" t="s">
        <v>73</v>
      </c>
      <c r="F727" t="s">
        <v>74</v>
      </c>
      <c r="G727" t="s">
        <v>123</v>
      </c>
      <c r="H727" t="s">
        <v>84</v>
      </c>
      <c r="I727" s="76" cm="1">
        <f t="array" ref="I727:I735">'SUT_EU27 total'!$L$77:$L$85</f>
        <v>6.7728942399646885E-5</v>
      </c>
    </row>
    <row r="728" spans="1:9" x14ac:dyDescent="0.35">
      <c r="A728" t="s">
        <v>15</v>
      </c>
      <c r="B728" t="s">
        <v>91</v>
      </c>
      <c r="C728" t="s">
        <v>81</v>
      </c>
      <c r="D728" t="s">
        <v>117</v>
      </c>
      <c r="E728" t="s">
        <v>73</v>
      </c>
      <c r="F728" t="s">
        <v>74</v>
      </c>
      <c r="G728" t="s">
        <v>123</v>
      </c>
      <c r="H728" t="s">
        <v>84</v>
      </c>
      <c r="I728" s="76">
        <v>5.6233849622410815E-3</v>
      </c>
    </row>
    <row r="729" spans="1:9" x14ac:dyDescent="0.35">
      <c r="A729" t="s">
        <v>15</v>
      </c>
      <c r="B729" t="s">
        <v>91</v>
      </c>
      <c r="C729" t="s">
        <v>81</v>
      </c>
      <c r="D729" t="s">
        <v>82</v>
      </c>
      <c r="E729" t="s">
        <v>73</v>
      </c>
      <c r="F729" t="s">
        <v>74</v>
      </c>
      <c r="G729" t="s">
        <v>123</v>
      </c>
      <c r="H729" t="s">
        <v>84</v>
      </c>
      <c r="I729" s="76">
        <v>1.8068055269127655E-3</v>
      </c>
    </row>
    <row r="730" spans="1:9" x14ac:dyDescent="0.35">
      <c r="A730" t="s">
        <v>15</v>
      </c>
      <c r="B730" t="s">
        <v>91</v>
      </c>
      <c r="C730" t="s">
        <v>81</v>
      </c>
      <c r="D730" t="s">
        <v>125</v>
      </c>
      <c r="E730" t="s">
        <v>73</v>
      </c>
      <c r="F730" t="s">
        <v>74</v>
      </c>
      <c r="G730" t="s">
        <v>123</v>
      </c>
      <c r="H730" t="s">
        <v>84</v>
      </c>
      <c r="I730" s="76">
        <v>5.6492118062760293E-6</v>
      </c>
    </row>
    <row r="731" spans="1:9" x14ac:dyDescent="0.35">
      <c r="A731" t="s">
        <v>15</v>
      </c>
      <c r="B731" t="s">
        <v>91</v>
      </c>
      <c r="C731" t="s">
        <v>81</v>
      </c>
      <c r="D731" t="s">
        <v>122</v>
      </c>
      <c r="E731" t="s">
        <v>73</v>
      </c>
      <c r="F731" t="s">
        <v>74</v>
      </c>
      <c r="G731" t="s">
        <v>123</v>
      </c>
      <c r="H731" t="s">
        <v>84</v>
      </c>
      <c r="I731" s="76">
        <v>0</v>
      </c>
    </row>
    <row r="732" spans="1:9" x14ac:dyDescent="0.35">
      <c r="A732" t="s">
        <v>15</v>
      </c>
      <c r="B732" t="s">
        <v>91</v>
      </c>
      <c r="C732" t="s">
        <v>81</v>
      </c>
      <c r="D732" t="s">
        <v>126</v>
      </c>
      <c r="E732" t="s">
        <v>73</v>
      </c>
      <c r="F732" t="s">
        <v>74</v>
      </c>
      <c r="G732" t="s">
        <v>123</v>
      </c>
      <c r="H732" t="s">
        <v>84</v>
      </c>
      <c r="I732" s="76">
        <v>8.1093795177776388E-4</v>
      </c>
    </row>
    <row r="733" spans="1:9" x14ac:dyDescent="0.35">
      <c r="A733" t="s">
        <v>15</v>
      </c>
      <c r="B733" t="s">
        <v>91</v>
      </c>
      <c r="C733" t="s">
        <v>81</v>
      </c>
      <c r="D733" t="s">
        <v>101</v>
      </c>
      <c r="E733" t="s">
        <v>73</v>
      </c>
      <c r="F733" t="s">
        <v>74</v>
      </c>
      <c r="G733" t="s">
        <v>123</v>
      </c>
      <c r="H733" t="s">
        <v>84</v>
      </c>
      <c r="I733" s="76">
        <v>0</v>
      </c>
    </row>
    <row r="734" spans="1:9" x14ac:dyDescent="0.35">
      <c r="A734" t="s">
        <v>15</v>
      </c>
      <c r="B734" t="s">
        <v>91</v>
      </c>
      <c r="C734" t="s">
        <v>81</v>
      </c>
      <c r="D734" t="s">
        <v>104</v>
      </c>
      <c r="E734" t="s">
        <v>73</v>
      </c>
      <c r="F734" t="s">
        <v>74</v>
      </c>
      <c r="G734" t="s">
        <v>123</v>
      </c>
      <c r="H734" t="s">
        <v>84</v>
      </c>
      <c r="I734" s="76">
        <v>0</v>
      </c>
    </row>
    <row r="735" spans="1:9" x14ac:dyDescent="0.35">
      <c r="A735" t="s">
        <v>15</v>
      </c>
      <c r="B735" t="s">
        <v>91</v>
      </c>
      <c r="C735" t="s">
        <v>81</v>
      </c>
      <c r="D735" t="s">
        <v>106</v>
      </c>
      <c r="E735" t="s">
        <v>73</v>
      </c>
      <c r="F735" t="s">
        <v>74</v>
      </c>
      <c r="G735" t="s">
        <v>123</v>
      </c>
      <c r="H735" t="s">
        <v>84</v>
      </c>
      <c r="I735" s="76">
        <v>0</v>
      </c>
    </row>
    <row r="736" spans="1:9" x14ac:dyDescent="0.35">
      <c r="A736" t="s">
        <v>15</v>
      </c>
      <c r="B736" t="s">
        <v>92</v>
      </c>
      <c r="C736" t="s">
        <v>81</v>
      </c>
      <c r="D736" t="s">
        <v>119</v>
      </c>
      <c r="E736" t="s">
        <v>73</v>
      </c>
      <c r="F736" t="s">
        <v>74</v>
      </c>
      <c r="G736" t="s">
        <v>123</v>
      </c>
      <c r="H736" t="s">
        <v>84</v>
      </c>
      <c r="I736" s="76">
        <f>'SUT_EU27 total'!$L$90</f>
        <v>0.13886309499777949</v>
      </c>
    </row>
    <row r="737" spans="1:9" x14ac:dyDescent="0.35">
      <c r="A737" t="s">
        <v>15</v>
      </c>
      <c r="B737" t="s">
        <v>92</v>
      </c>
      <c r="C737" t="s">
        <v>81</v>
      </c>
      <c r="D737" t="s">
        <v>124</v>
      </c>
      <c r="E737" t="s">
        <v>73</v>
      </c>
      <c r="F737" t="s">
        <v>74</v>
      </c>
      <c r="G737" t="s">
        <v>123</v>
      </c>
      <c r="H737" t="s">
        <v>84</v>
      </c>
      <c r="I737" s="76" cm="1">
        <f t="array" ref="I737:I745">'SUT_EU27 total'!$L$94:$L$102</f>
        <v>9.2968907089085616E-5</v>
      </c>
    </row>
    <row r="738" spans="1:9" x14ac:dyDescent="0.35">
      <c r="A738" t="s">
        <v>15</v>
      </c>
      <c r="B738" t="s">
        <v>92</v>
      </c>
      <c r="C738" t="s">
        <v>81</v>
      </c>
      <c r="D738" t="s">
        <v>117</v>
      </c>
      <c r="E738" t="s">
        <v>73</v>
      </c>
      <c r="F738" t="s">
        <v>74</v>
      </c>
      <c r="G738" t="s">
        <v>123</v>
      </c>
      <c r="H738" t="s">
        <v>84</v>
      </c>
      <c r="I738" s="76">
        <v>0</v>
      </c>
    </row>
    <row r="739" spans="1:9" x14ac:dyDescent="0.35">
      <c r="A739" t="s">
        <v>15</v>
      </c>
      <c r="B739" t="s">
        <v>92</v>
      </c>
      <c r="C739" t="s">
        <v>81</v>
      </c>
      <c r="D739" t="s">
        <v>82</v>
      </c>
      <c r="E739" t="s">
        <v>73</v>
      </c>
      <c r="F739" t="s">
        <v>74</v>
      </c>
      <c r="G739" t="s">
        <v>123</v>
      </c>
      <c r="H739" t="s">
        <v>84</v>
      </c>
      <c r="I739" s="76">
        <v>1.1251392039595793E-3</v>
      </c>
    </row>
    <row r="740" spans="1:9" x14ac:dyDescent="0.35">
      <c r="A740" t="s">
        <v>15</v>
      </c>
      <c r="B740" t="s">
        <v>92</v>
      </c>
      <c r="C740" t="s">
        <v>81</v>
      </c>
      <c r="D740" t="s">
        <v>125</v>
      </c>
      <c r="E740" t="s">
        <v>73</v>
      </c>
      <c r="F740" t="s">
        <v>74</v>
      </c>
      <c r="G740" t="s">
        <v>123</v>
      </c>
      <c r="H740" t="s">
        <v>84</v>
      </c>
      <c r="I740" s="76">
        <v>5.0048817841215026E-7</v>
      </c>
    </row>
    <row r="741" spans="1:9" x14ac:dyDescent="0.35">
      <c r="A741" t="s">
        <v>15</v>
      </c>
      <c r="B741" t="s">
        <v>92</v>
      </c>
      <c r="C741" t="s">
        <v>81</v>
      </c>
      <c r="D741" t="s">
        <v>122</v>
      </c>
      <c r="E741" t="s">
        <v>73</v>
      </c>
      <c r="F741" t="s">
        <v>74</v>
      </c>
      <c r="G741" t="s">
        <v>123</v>
      </c>
      <c r="H741" t="s">
        <v>84</v>
      </c>
      <c r="I741" s="76">
        <v>0</v>
      </c>
    </row>
    <row r="742" spans="1:9" x14ac:dyDescent="0.35">
      <c r="A742" t="s">
        <v>15</v>
      </c>
      <c r="B742" t="s">
        <v>92</v>
      </c>
      <c r="C742" t="s">
        <v>81</v>
      </c>
      <c r="D742" t="s">
        <v>126</v>
      </c>
      <c r="E742" t="s">
        <v>73</v>
      </c>
      <c r="F742" t="s">
        <v>74</v>
      </c>
      <c r="G742" t="s">
        <v>123</v>
      </c>
      <c r="H742" t="s">
        <v>84</v>
      </c>
      <c r="I742" s="76">
        <v>0</v>
      </c>
    </row>
    <row r="743" spans="1:9" x14ac:dyDescent="0.35">
      <c r="A743" t="s">
        <v>15</v>
      </c>
      <c r="B743" t="s">
        <v>92</v>
      </c>
      <c r="C743" t="s">
        <v>81</v>
      </c>
      <c r="D743" t="s">
        <v>101</v>
      </c>
      <c r="E743" t="s">
        <v>73</v>
      </c>
      <c r="F743" t="s">
        <v>74</v>
      </c>
      <c r="G743" t="s">
        <v>123</v>
      </c>
      <c r="H743" t="s">
        <v>84</v>
      </c>
      <c r="I743" s="76">
        <v>0</v>
      </c>
    </row>
    <row r="744" spans="1:9" x14ac:dyDescent="0.35">
      <c r="A744" t="s">
        <v>15</v>
      </c>
      <c r="B744" t="s">
        <v>92</v>
      </c>
      <c r="C744" t="s">
        <v>81</v>
      </c>
      <c r="D744" t="s">
        <v>104</v>
      </c>
      <c r="E744" t="s">
        <v>73</v>
      </c>
      <c r="F744" t="s">
        <v>74</v>
      </c>
      <c r="G744" t="s">
        <v>123</v>
      </c>
      <c r="H744" t="s">
        <v>84</v>
      </c>
      <c r="I744" s="76">
        <v>0</v>
      </c>
    </row>
    <row r="745" spans="1:9" x14ac:dyDescent="0.35">
      <c r="A745" t="s">
        <v>15</v>
      </c>
      <c r="B745" t="s">
        <v>92</v>
      </c>
      <c r="C745" t="s">
        <v>81</v>
      </c>
      <c r="D745" t="s">
        <v>106</v>
      </c>
      <c r="E745" t="s">
        <v>73</v>
      </c>
      <c r="F745" t="s">
        <v>74</v>
      </c>
      <c r="G745" t="s">
        <v>123</v>
      </c>
      <c r="H745" t="s">
        <v>84</v>
      </c>
      <c r="I745" s="76">
        <v>0</v>
      </c>
    </row>
    <row r="746" spans="1:9" x14ac:dyDescent="0.35">
      <c r="A746" t="s">
        <v>15</v>
      </c>
      <c r="B746" t="s">
        <v>93</v>
      </c>
      <c r="C746" t="s">
        <v>81</v>
      </c>
      <c r="D746" t="s">
        <v>119</v>
      </c>
      <c r="E746" t="s">
        <v>73</v>
      </c>
      <c r="F746" t="s">
        <v>74</v>
      </c>
      <c r="G746" t="s">
        <v>123</v>
      </c>
      <c r="H746" t="s">
        <v>84</v>
      </c>
      <c r="I746" s="76">
        <f>'SUT_EU27 total'!$L$107</f>
        <v>1.0000807460939076</v>
      </c>
    </row>
    <row r="747" spans="1:9" x14ac:dyDescent="0.35">
      <c r="A747" t="s">
        <v>15</v>
      </c>
      <c r="B747" t="s">
        <v>93</v>
      </c>
      <c r="C747" t="s">
        <v>81</v>
      </c>
      <c r="D747" t="s">
        <v>124</v>
      </c>
      <c r="E747" t="s">
        <v>73</v>
      </c>
      <c r="F747" t="s">
        <v>74</v>
      </c>
      <c r="G747" t="s">
        <v>123</v>
      </c>
      <c r="H747" t="s">
        <v>84</v>
      </c>
      <c r="I747" s="76" cm="1">
        <f t="array" ref="I747:I755">'SUT_EU27 total'!$L$111:$L$119</f>
        <v>3.7052409430862396E-4</v>
      </c>
    </row>
    <row r="748" spans="1:9" x14ac:dyDescent="0.35">
      <c r="A748" t="s">
        <v>15</v>
      </c>
      <c r="B748" t="s">
        <v>93</v>
      </c>
      <c r="C748" t="s">
        <v>81</v>
      </c>
      <c r="D748" t="s">
        <v>117</v>
      </c>
      <c r="E748" t="s">
        <v>73</v>
      </c>
      <c r="F748" t="s">
        <v>74</v>
      </c>
      <c r="G748" t="s">
        <v>123</v>
      </c>
      <c r="H748" t="s">
        <v>84</v>
      </c>
      <c r="I748" s="76">
        <v>5.8414042458127093E-3</v>
      </c>
    </row>
    <row r="749" spans="1:9" x14ac:dyDescent="0.35">
      <c r="A749" t="s">
        <v>15</v>
      </c>
      <c r="B749" t="s">
        <v>93</v>
      </c>
      <c r="C749" t="s">
        <v>81</v>
      </c>
      <c r="D749" t="s">
        <v>82</v>
      </c>
      <c r="E749" t="s">
        <v>73</v>
      </c>
      <c r="F749" t="s">
        <v>74</v>
      </c>
      <c r="G749" t="s">
        <v>123</v>
      </c>
      <c r="H749" t="s">
        <v>84</v>
      </c>
      <c r="I749" s="76">
        <v>5.0319447308723453E-3</v>
      </c>
    </row>
    <row r="750" spans="1:9" x14ac:dyDescent="0.35">
      <c r="A750" t="s">
        <v>15</v>
      </c>
      <c r="B750" t="s">
        <v>93</v>
      </c>
      <c r="C750" t="s">
        <v>81</v>
      </c>
      <c r="D750" t="s">
        <v>125</v>
      </c>
      <c r="E750" t="s">
        <v>73</v>
      </c>
      <c r="F750" t="s">
        <v>74</v>
      </c>
      <c r="G750" t="s">
        <v>123</v>
      </c>
      <c r="H750" t="s">
        <v>84</v>
      </c>
      <c r="I750" s="76">
        <v>4.336096678710085E-4</v>
      </c>
    </row>
    <row r="751" spans="1:9" x14ac:dyDescent="0.35">
      <c r="A751" t="s">
        <v>15</v>
      </c>
      <c r="B751" t="s">
        <v>93</v>
      </c>
      <c r="C751" t="s">
        <v>81</v>
      </c>
      <c r="D751" t="s">
        <v>122</v>
      </c>
      <c r="E751" t="s">
        <v>73</v>
      </c>
      <c r="F751" t="s">
        <v>74</v>
      </c>
      <c r="G751" t="s">
        <v>123</v>
      </c>
      <c r="H751" t="s">
        <v>84</v>
      </c>
      <c r="I751" s="76">
        <v>2.7129607609988112E-3</v>
      </c>
    </row>
    <row r="752" spans="1:9" x14ac:dyDescent="0.35">
      <c r="A752" t="s">
        <v>15</v>
      </c>
      <c r="B752" t="s">
        <v>93</v>
      </c>
      <c r="C752" t="s">
        <v>81</v>
      </c>
      <c r="D752" t="s">
        <v>126</v>
      </c>
      <c r="E752" t="s">
        <v>73</v>
      </c>
      <c r="F752" t="s">
        <v>74</v>
      </c>
      <c r="G752" t="s">
        <v>123</v>
      </c>
      <c r="H752" t="s">
        <v>84</v>
      </c>
      <c r="I752" s="76">
        <v>4.3855511603587784E-2</v>
      </c>
    </row>
    <row r="753" spans="1:9" x14ac:dyDescent="0.35">
      <c r="A753" t="s">
        <v>15</v>
      </c>
      <c r="B753" t="s">
        <v>93</v>
      </c>
      <c r="C753" t="s">
        <v>81</v>
      </c>
      <c r="D753" t="s">
        <v>101</v>
      </c>
      <c r="E753" t="s">
        <v>73</v>
      </c>
      <c r="F753" t="s">
        <v>74</v>
      </c>
      <c r="G753" t="s">
        <v>123</v>
      </c>
      <c r="H753" t="s">
        <v>84</v>
      </c>
      <c r="I753" s="76">
        <v>0</v>
      </c>
    </row>
    <row r="754" spans="1:9" x14ac:dyDescent="0.35">
      <c r="A754" t="s">
        <v>15</v>
      </c>
      <c r="B754" t="s">
        <v>93</v>
      </c>
      <c r="C754" t="s">
        <v>81</v>
      </c>
      <c r="D754" t="s">
        <v>104</v>
      </c>
      <c r="E754" t="s">
        <v>73</v>
      </c>
      <c r="F754" t="s">
        <v>74</v>
      </c>
      <c r="G754" t="s">
        <v>123</v>
      </c>
      <c r="H754" t="s">
        <v>84</v>
      </c>
      <c r="I754" s="76">
        <v>0</v>
      </c>
    </row>
    <row r="755" spans="1:9" x14ac:dyDescent="0.35">
      <c r="A755" t="s">
        <v>15</v>
      </c>
      <c r="B755" t="s">
        <v>93</v>
      </c>
      <c r="C755" t="s">
        <v>81</v>
      </c>
      <c r="D755" t="s">
        <v>106</v>
      </c>
      <c r="E755" t="s">
        <v>73</v>
      </c>
      <c r="F755" t="s">
        <v>74</v>
      </c>
      <c r="G755" t="s">
        <v>123</v>
      </c>
      <c r="H755" t="s">
        <v>84</v>
      </c>
      <c r="I755" s="76">
        <v>0</v>
      </c>
    </row>
    <row r="756" spans="1:9" x14ac:dyDescent="0.35">
      <c r="A756" t="s">
        <v>15</v>
      </c>
      <c r="B756" t="s">
        <v>73</v>
      </c>
      <c r="C756" t="s">
        <v>81</v>
      </c>
      <c r="D756" t="s">
        <v>119</v>
      </c>
      <c r="E756" t="s">
        <v>73</v>
      </c>
      <c r="F756" t="s">
        <v>74</v>
      </c>
      <c r="G756" t="s">
        <v>127</v>
      </c>
      <c r="H756" t="s">
        <v>84</v>
      </c>
      <c r="I756" s="76">
        <f>'SUT_EU27 total'!$M$22</f>
        <v>1.9500181678711294E-2</v>
      </c>
    </row>
    <row r="757" spans="1:9" x14ac:dyDescent="0.35">
      <c r="A757" t="s">
        <v>15</v>
      </c>
      <c r="B757" t="s">
        <v>73</v>
      </c>
      <c r="C757" t="s">
        <v>81</v>
      </c>
      <c r="D757" t="s">
        <v>124</v>
      </c>
      <c r="E757" t="s">
        <v>73</v>
      </c>
      <c r="F757" t="s">
        <v>74</v>
      </c>
      <c r="G757" t="s">
        <v>127</v>
      </c>
      <c r="H757" t="s">
        <v>84</v>
      </c>
      <c r="I757" s="76" cm="1">
        <f t="array" ref="I757:I765">'SUT_EU27 total'!$M$26:$M$34</f>
        <v>1.9404661061278542E-3</v>
      </c>
    </row>
    <row r="758" spans="1:9" x14ac:dyDescent="0.35">
      <c r="A758" t="s">
        <v>15</v>
      </c>
      <c r="B758" t="s">
        <v>73</v>
      </c>
      <c r="C758" t="s">
        <v>81</v>
      </c>
      <c r="D758" t="s">
        <v>117</v>
      </c>
      <c r="E758" t="s">
        <v>73</v>
      </c>
      <c r="F758" t="s">
        <v>74</v>
      </c>
      <c r="G758" t="s">
        <v>127</v>
      </c>
      <c r="H758" t="s">
        <v>84</v>
      </c>
      <c r="I758" s="76">
        <v>5.8423628191201782E-3</v>
      </c>
    </row>
    <row r="759" spans="1:9" x14ac:dyDescent="0.35">
      <c r="A759" t="s">
        <v>15</v>
      </c>
      <c r="B759" t="s">
        <v>73</v>
      </c>
      <c r="C759" t="s">
        <v>81</v>
      </c>
      <c r="D759" t="s">
        <v>82</v>
      </c>
      <c r="E759" t="s">
        <v>73</v>
      </c>
      <c r="F759" t="s">
        <v>74</v>
      </c>
      <c r="G759" t="s">
        <v>127</v>
      </c>
      <c r="H759" t="s">
        <v>84</v>
      </c>
      <c r="I759" s="76">
        <v>4.8981233243967828E-4</v>
      </c>
    </row>
    <row r="760" spans="1:9" x14ac:dyDescent="0.35">
      <c r="A760" t="s">
        <v>15</v>
      </c>
      <c r="B760" t="s">
        <v>73</v>
      </c>
      <c r="C760" t="s">
        <v>81</v>
      </c>
      <c r="D760" t="s">
        <v>125</v>
      </c>
      <c r="E760" t="s">
        <v>73</v>
      </c>
      <c r="F760" t="s">
        <v>74</v>
      </c>
      <c r="G760" t="s">
        <v>127</v>
      </c>
      <c r="H760" t="s">
        <v>84</v>
      </c>
      <c r="I760" s="76">
        <v>2.4658201215687387E-3</v>
      </c>
    </row>
    <row r="761" spans="1:9" x14ac:dyDescent="0.35">
      <c r="A761" t="s">
        <v>15</v>
      </c>
      <c r="B761" t="s">
        <v>73</v>
      </c>
      <c r="C761" t="s">
        <v>81</v>
      </c>
      <c r="D761" t="s">
        <v>122</v>
      </c>
      <c r="E761" t="s">
        <v>73</v>
      </c>
      <c r="F761" t="s">
        <v>74</v>
      </c>
      <c r="G761" t="s">
        <v>127</v>
      </c>
      <c r="H761" t="s">
        <v>84</v>
      </c>
      <c r="I761" s="76">
        <v>4.922711058263972E-4</v>
      </c>
    </row>
    <row r="762" spans="1:9" x14ac:dyDescent="0.35">
      <c r="A762" t="s">
        <v>15</v>
      </c>
      <c r="B762" t="s">
        <v>73</v>
      </c>
      <c r="C762" t="s">
        <v>81</v>
      </c>
      <c r="D762" t="s">
        <v>126</v>
      </c>
      <c r="E762" t="s">
        <v>73</v>
      </c>
      <c r="F762" t="s">
        <v>74</v>
      </c>
      <c r="G762" t="s">
        <v>127</v>
      </c>
      <c r="H762" t="s">
        <v>84</v>
      </c>
      <c r="I762" s="76">
        <v>0</v>
      </c>
    </row>
    <row r="763" spans="1:9" x14ac:dyDescent="0.35">
      <c r="A763" t="s">
        <v>15</v>
      </c>
      <c r="B763" t="s">
        <v>73</v>
      </c>
      <c r="C763" t="s">
        <v>81</v>
      </c>
      <c r="D763" t="s">
        <v>101</v>
      </c>
      <c r="E763" t="s">
        <v>73</v>
      </c>
      <c r="F763" t="s">
        <v>74</v>
      </c>
      <c r="G763" t="s">
        <v>127</v>
      </c>
      <c r="H763" t="s">
        <v>84</v>
      </c>
      <c r="I763" s="76">
        <v>3.6586167200000007E-4</v>
      </c>
    </row>
    <row r="764" spans="1:9" x14ac:dyDescent="0.35">
      <c r="A764" t="s">
        <v>15</v>
      </c>
      <c r="B764" t="s">
        <v>73</v>
      </c>
      <c r="C764" t="s">
        <v>81</v>
      </c>
      <c r="D764" t="s">
        <v>104</v>
      </c>
      <c r="E764" t="s">
        <v>73</v>
      </c>
      <c r="F764" t="s">
        <v>74</v>
      </c>
      <c r="G764" t="s">
        <v>127</v>
      </c>
      <c r="H764" t="s">
        <v>84</v>
      </c>
      <c r="I764" s="76">
        <v>6.9272632800000005E-4</v>
      </c>
    </row>
    <row r="765" spans="1:9" x14ac:dyDescent="0.35">
      <c r="A765" t="s">
        <v>15</v>
      </c>
      <c r="B765" t="s">
        <v>73</v>
      </c>
      <c r="C765" t="s">
        <v>81</v>
      </c>
      <c r="D765" t="s">
        <v>106</v>
      </c>
      <c r="E765" t="s">
        <v>73</v>
      </c>
      <c r="F765" t="s">
        <v>74</v>
      </c>
      <c r="G765" t="s">
        <v>127</v>
      </c>
      <c r="H765" t="s">
        <v>84</v>
      </c>
      <c r="I765" s="76">
        <v>2.3562119999999999E-3</v>
      </c>
    </row>
    <row r="766" spans="1:9" x14ac:dyDescent="0.35">
      <c r="A766" t="s">
        <v>15</v>
      </c>
      <c r="B766" t="s">
        <v>88</v>
      </c>
      <c r="C766" t="s">
        <v>81</v>
      </c>
      <c r="D766" t="s">
        <v>119</v>
      </c>
      <c r="E766" t="s">
        <v>73</v>
      </c>
      <c r="F766" t="s">
        <v>74</v>
      </c>
      <c r="G766" t="s">
        <v>127</v>
      </c>
      <c r="H766" t="s">
        <v>84</v>
      </c>
      <c r="I766" s="76">
        <f>'SUT_EU27 total'!$M$39</f>
        <v>0.16108845734587587</v>
      </c>
    </row>
    <row r="767" spans="1:9" x14ac:dyDescent="0.35">
      <c r="A767" t="s">
        <v>15</v>
      </c>
      <c r="B767" t="s">
        <v>88</v>
      </c>
      <c r="C767" t="s">
        <v>81</v>
      </c>
      <c r="D767" t="s">
        <v>124</v>
      </c>
      <c r="E767" t="s">
        <v>73</v>
      </c>
      <c r="F767" t="s">
        <v>74</v>
      </c>
      <c r="G767" t="s">
        <v>127</v>
      </c>
      <c r="H767" t="s">
        <v>84</v>
      </c>
      <c r="I767" s="76" cm="1">
        <f t="array" ref="I767:I775">'SUT_EU27 total'!$L$43:$L$51</f>
        <v>5.0558836222750793E-4</v>
      </c>
    </row>
    <row r="768" spans="1:9" x14ac:dyDescent="0.35">
      <c r="A768" t="s">
        <v>15</v>
      </c>
      <c r="B768" t="s">
        <v>88</v>
      </c>
      <c r="C768" t="s">
        <v>81</v>
      </c>
      <c r="D768" t="s">
        <v>117</v>
      </c>
      <c r="E768" t="s">
        <v>73</v>
      </c>
      <c r="F768" t="s">
        <v>74</v>
      </c>
      <c r="G768" t="s">
        <v>127</v>
      </c>
      <c r="H768" t="s">
        <v>84</v>
      </c>
      <c r="I768" s="76">
        <v>4.8514464106651379E-3</v>
      </c>
    </row>
    <row r="769" spans="1:9" x14ac:dyDescent="0.35">
      <c r="A769" t="s">
        <v>15</v>
      </c>
      <c r="B769" t="s">
        <v>88</v>
      </c>
      <c r="C769" t="s">
        <v>81</v>
      </c>
      <c r="D769" t="s">
        <v>82</v>
      </c>
      <c r="E769" t="s">
        <v>73</v>
      </c>
      <c r="F769" t="s">
        <v>74</v>
      </c>
      <c r="G769" t="s">
        <v>127</v>
      </c>
      <c r="H769" t="s">
        <v>84</v>
      </c>
      <c r="I769" s="76">
        <v>1.109418436791091E-2</v>
      </c>
    </row>
    <row r="770" spans="1:9" x14ac:dyDescent="0.35">
      <c r="A770" t="s">
        <v>15</v>
      </c>
      <c r="B770" t="s">
        <v>88</v>
      </c>
      <c r="C770" t="s">
        <v>81</v>
      </c>
      <c r="D770" t="s">
        <v>125</v>
      </c>
      <c r="E770" t="s">
        <v>73</v>
      </c>
      <c r="F770" t="s">
        <v>74</v>
      </c>
      <c r="G770" t="s">
        <v>127</v>
      </c>
      <c r="H770" t="s">
        <v>84</v>
      </c>
      <c r="I770" s="76">
        <v>2.890870278990243E-5</v>
      </c>
    </row>
    <row r="771" spans="1:9" x14ac:dyDescent="0.35">
      <c r="A771" t="s">
        <v>15</v>
      </c>
      <c r="B771" t="s">
        <v>88</v>
      </c>
      <c r="C771" t="s">
        <v>81</v>
      </c>
      <c r="D771" t="s">
        <v>122</v>
      </c>
      <c r="E771" t="s">
        <v>73</v>
      </c>
      <c r="F771" t="s">
        <v>74</v>
      </c>
      <c r="G771" t="s">
        <v>127</v>
      </c>
      <c r="H771" t="s">
        <v>84</v>
      </c>
      <c r="I771" s="76">
        <v>0</v>
      </c>
    </row>
    <row r="772" spans="1:9" x14ac:dyDescent="0.35">
      <c r="A772" t="s">
        <v>15</v>
      </c>
      <c r="B772" t="s">
        <v>88</v>
      </c>
      <c r="C772" t="s">
        <v>81</v>
      </c>
      <c r="D772" t="s">
        <v>126</v>
      </c>
      <c r="E772" t="s">
        <v>73</v>
      </c>
      <c r="F772" t="s">
        <v>74</v>
      </c>
      <c r="G772" t="s">
        <v>127</v>
      </c>
      <c r="H772" t="s">
        <v>84</v>
      </c>
      <c r="I772" s="76">
        <v>2.8514320987501449E-3</v>
      </c>
    </row>
    <row r="773" spans="1:9" x14ac:dyDescent="0.35">
      <c r="A773" t="s">
        <v>15</v>
      </c>
      <c r="B773" t="s">
        <v>88</v>
      </c>
      <c r="C773" t="s">
        <v>81</v>
      </c>
      <c r="D773" t="s">
        <v>101</v>
      </c>
      <c r="E773" t="s">
        <v>73</v>
      </c>
      <c r="F773" t="s">
        <v>74</v>
      </c>
      <c r="G773" t="s">
        <v>127</v>
      </c>
      <c r="H773" t="s">
        <v>84</v>
      </c>
      <c r="I773" s="76">
        <v>0</v>
      </c>
    </row>
    <row r="774" spans="1:9" x14ac:dyDescent="0.35">
      <c r="A774" t="s">
        <v>15</v>
      </c>
      <c r="B774" t="s">
        <v>88</v>
      </c>
      <c r="C774" t="s">
        <v>81</v>
      </c>
      <c r="D774" t="s">
        <v>104</v>
      </c>
      <c r="E774" t="s">
        <v>73</v>
      </c>
      <c r="F774" t="s">
        <v>74</v>
      </c>
      <c r="G774" t="s">
        <v>127</v>
      </c>
      <c r="H774" t="s">
        <v>84</v>
      </c>
      <c r="I774" s="76">
        <v>0</v>
      </c>
    </row>
    <row r="775" spans="1:9" x14ac:dyDescent="0.35">
      <c r="A775" t="s">
        <v>15</v>
      </c>
      <c r="B775" t="s">
        <v>88</v>
      </c>
      <c r="C775" t="s">
        <v>81</v>
      </c>
      <c r="D775" t="s">
        <v>106</v>
      </c>
      <c r="E775" t="s">
        <v>73</v>
      </c>
      <c r="F775" t="s">
        <v>74</v>
      </c>
      <c r="G775" t="s">
        <v>127</v>
      </c>
      <c r="H775" t="s">
        <v>84</v>
      </c>
      <c r="I775" s="76">
        <v>0</v>
      </c>
    </row>
    <row r="776" spans="1:9" x14ac:dyDescent="0.35">
      <c r="A776" t="s">
        <v>15</v>
      </c>
      <c r="B776" t="s">
        <v>90</v>
      </c>
      <c r="C776" t="s">
        <v>81</v>
      </c>
      <c r="D776" t="s">
        <v>119</v>
      </c>
      <c r="E776" t="s">
        <v>73</v>
      </c>
      <c r="F776" t="s">
        <v>74</v>
      </c>
      <c r="G776" t="s">
        <v>127</v>
      </c>
      <c r="H776" t="s">
        <v>84</v>
      </c>
      <c r="I776" s="76">
        <f>'SUT_EU27 total'!$M$56</f>
        <v>2.949251079979006E-2</v>
      </c>
    </row>
    <row r="777" spans="1:9" x14ac:dyDescent="0.35">
      <c r="A777" t="s">
        <v>15</v>
      </c>
      <c r="B777" t="s">
        <v>90</v>
      </c>
      <c r="C777" t="s">
        <v>81</v>
      </c>
      <c r="D777" t="s">
        <v>124</v>
      </c>
      <c r="E777" t="s">
        <v>73</v>
      </c>
      <c r="F777" t="s">
        <v>74</v>
      </c>
      <c r="G777" t="s">
        <v>127</v>
      </c>
      <c r="H777" t="s">
        <v>84</v>
      </c>
      <c r="I777" s="76" cm="1">
        <f t="array" ref="I777:I785">'SUT_EU27 total'!$M$60:$M$68</f>
        <v>2.1047443073980527E-5</v>
      </c>
    </row>
    <row r="778" spans="1:9" x14ac:dyDescent="0.35">
      <c r="A778" t="s">
        <v>15</v>
      </c>
      <c r="B778" t="s">
        <v>90</v>
      </c>
      <c r="C778" t="s">
        <v>81</v>
      </c>
      <c r="D778" t="s">
        <v>117</v>
      </c>
      <c r="E778" t="s">
        <v>73</v>
      </c>
      <c r="F778" t="s">
        <v>74</v>
      </c>
      <c r="G778" t="s">
        <v>127</v>
      </c>
      <c r="H778" t="s">
        <v>84</v>
      </c>
      <c r="I778" s="76">
        <v>5.8414015621608938E-3</v>
      </c>
    </row>
    <row r="779" spans="1:9" x14ac:dyDescent="0.35">
      <c r="A779" t="s">
        <v>15</v>
      </c>
      <c r="B779" t="s">
        <v>90</v>
      </c>
      <c r="C779" t="s">
        <v>81</v>
      </c>
      <c r="D779" t="s">
        <v>82</v>
      </c>
      <c r="E779" t="s">
        <v>73</v>
      </c>
      <c r="F779" t="s">
        <v>74</v>
      </c>
      <c r="G779" t="s">
        <v>127</v>
      </c>
      <c r="H779" t="s">
        <v>84</v>
      </c>
      <c r="I779" s="76">
        <v>1.4521138379047227E-3</v>
      </c>
    </row>
    <row r="780" spans="1:9" x14ac:dyDescent="0.35">
      <c r="A780" t="s">
        <v>15</v>
      </c>
      <c r="B780" t="s">
        <v>90</v>
      </c>
      <c r="C780" t="s">
        <v>81</v>
      </c>
      <c r="D780" t="s">
        <v>125</v>
      </c>
      <c r="E780" t="s">
        <v>73</v>
      </c>
      <c r="F780" t="s">
        <v>74</v>
      </c>
      <c r="G780" t="s">
        <v>127</v>
      </c>
      <c r="H780" t="s">
        <v>84</v>
      </c>
      <c r="I780" s="76">
        <v>6.5130870114372285E-5</v>
      </c>
    </row>
    <row r="781" spans="1:9" x14ac:dyDescent="0.35">
      <c r="A781" t="s">
        <v>15</v>
      </c>
      <c r="B781" t="s">
        <v>90</v>
      </c>
      <c r="C781" t="s">
        <v>81</v>
      </c>
      <c r="D781" t="s">
        <v>122</v>
      </c>
      <c r="E781" t="s">
        <v>73</v>
      </c>
      <c r="F781" t="s">
        <v>74</v>
      </c>
      <c r="G781" t="s">
        <v>127</v>
      </c>
      <c r="H781" t="s">
        <v>84</v>
      </c>
      <c r="I781" s="76">
        <v>7.9476813317479189E-4</v>
      </c>
    </row>
    <row r="782" spans="1:9" x14ac:dyDescent="0.35">
      <c r="A782" t="s">
        <v>15</v>
      </c>
      <c r="B782" t="s">
        <v>90</v>
      </c>
      <c r="C782" t="s">
        <v>81</v>
      </c>
      <c r="D782" t="s">
        <v>126</v>
      </c>
      <c r="E782" t="s">
        <v>73</v>
      </c>
      <c r="F782" t="s">
        <v>74</v>
      </c>
      <c r="G782" t="s">
        <v>127</v>
      </c>
      <c r="H782" t="s">
        <v>84</v>
      </c>
      <c r="I782" s="76">
        <v>8.4821183458843076E-3</v>
      </c>
    </row>
    <row r="783" spans="1:9" x14ac:dyDescent="0.35">
      <c r="A783" t="s">
        <v>15</v>
      </c>
      <c r="B783" t="s">
        <v>90</v>
      </c>
      <c r="C783" t="s">
        <v>81</v>
      </c>
      <c r="D783" t="s">
        <v>101</v>
      </c>
      <c r="E783" t="s">
        <v>73</v>
      </c>
      <c r="F783" t="s">
        <v>74</v>
      </c>
      <c r="G783" t="s">
        <v>127</v>
      </c>
      <c r="H783" t="s">
        <v>84</v>
      </c>
      <c r="I783" s="76">
        <v>0</v>
      </c>
    </row>
    <row r="784" spans="1:9" x14ac:dyDescent="0.35">
      <c r="A784" t="s">
        <v>15</v>
      </c>
      <c r="B784" t="s">
        <v>90</v>
      </c>
      <c r="C784" t="s">
        <v>81</v>
      </c>
      <c r="D784" t="s">
        <v>104</v>
      </c>
      <c r="E784" t="s">
        <v>73</v>
      </c>
      <c r="F784" t="s">
        <v>74</v>
      </c>
      <c r="G784" t="s">
        <v>127</v>
      </c>
      <c r="H784" t="s">
        <v>84</v>
      </c>
      <c r="I784" s="76">
        <v>0</v>
      </c>
    </row>
    <row r="785" spans="1:9" x14ac:dyDescent="0.35">
      <c r="A785" t="s">
        <v>15</v>
      </c>
      <c r="B785" t="s">
        <v>90</v>
      </c>
      <c r="C785" t="s">
        <v>81</v>
      </c>
      <c r="D785" t="s">
        <v>106</v>
      </c>
      <c r="E785" t="s">
        <v>73</v>
      </c>
      <c r="F785" t="s">
        <v>74</v>
      </c>
      <c r="G785" t="s">
        <v>127</v>
      </c>
      <c r="H785" t="s">
        <v>84</v>
      </c>
      <c r="I785" s="76">
        <v>0</v>
      </c>
    </row>
    <row r="786" spans="1:9" x14ac:dyDescent="0.35">
      <c r="A786" t="s">
        <v>15</v>
      </c>
      <c r="B786" t="s">
        <v>91</v>
      </c>
      <c r="C786" t="s">
        <v>81</v>
      </c>
      <c r="D786" t="s">
        <v>119</v>
      </c>
      <c r="E786" t="s">
        <v>73</v>
      </c>
      <c r="F786" t="s">
        <v>74</v>
      </c>
      <c r="G786" t="s">
        <v>127</v>
      </c>
      <c r="H786" t="s">
        <v>84</v>
      </c>
      <c r="I786" s="76">
        <f>'SUT_EU27 total'!$M$73</f>
        <v>0.15097500908393557</v>
      </c>
    </row>
    <row r="787" spans="1:9" x14ac:dyDescent="0.35">
      <c r="A787" t="s">
        <v>15</v>
      </c>
      <c r="B787" t="s">
        <v>91</v>
      </c>
      <c r="C787" t="s">
        <v>81</v>
      </c>
      <c r="D787" t="s">
        <v>124</v>
      </c>
      <c r="E787" t="s">
        <v>73</v>
      </c>
      <c r="F787" t="s">
        <v>74</v>
      </c>
      <c r="G787" t="s">
        <v>127</v>
      </c>
      <c r="H787" t="s">
        <v>84</v>
      </c>
      <c r="I787" s="76" cm="1">
        <f t="array" ref="I787:I795">'SUT_EU27 total'!$M$77:$M$85</f>
        <v>6.7728942399646885E-5</v>
      </c>
    </row>
    <row r="788" spans="1:9" x14ac:dyDescent="0.35">
      <c r="A788" t="s">
        <v>15</v>
      </c>
      <c r="B788" t="s">
        <v>91</v>
      </c>
      <c r="C788" t="s">
        <v>81</v>
      </c>
      <c r="D788" t="s">
        <v>117</v>
      </c>
      <c r="E788" t="s">
        <v>73</v>
      </c>
      <c r="F788" t="s">
        <v>74</v>
      </c>
      <c r="G788" t="s">
        <v>127</v>
      </c>
      <c r="H788" t="s">
        <v>84</v>
      </c>
      <c r="I788" s="76">
        <v>5.6233849622410815E-3</v>
      </c>
    </row>
    <row r="789" spans="1:9" x14ac:dyDescent="0.35">
      <c r="A789" t="s">
        <v>15</v>
      </c>
      <c r="B789" t="s">
        <v>91</v>
      </c>
      <c r="C789" t="s">
        <v>81</v>
      </c>
      <c r="D789" t="s">
        <v>82</v>
      </c>
      <c r="E789" t="s">
        <v>73</v>
      </c>
      <c r="F789" t="s">
        <v>74</v>
      </c>
      <c r="G789" t="s">
        <v>127</v>
      </c>
      <c r="H789" t="s">
        <v>84</v>
      </c>
      <c r="I789" s="76">
        <v>1.8068055269127655E-3</v>
      </c>
    </row>
    <row r="790" spans="1:9" x14ac:dyDescent="0.35">
      <c r="A790" t="s">
        <v>15</v>
      </c>
      <c r="B790" t="s">
        <v>91</v>
      </c>
      <c r="C790" t="s">
        <v>81</v>
      </c>
      <c r="D790" t="s">
        <v>125</v>
      </c>
      <c r="E790" t="s">
        <v>73</v>
      </c>
      <c r="F790" t="s">
        <v>74</v>
      </c>
      <c r="G790" t="s">
        <v>127</v>
      </c>
      <c r="H790" t="s">
        <v>84</v>
      </c>
      <c r="I790" s="76">
        <v>5.6492118062760293E-6</v>
      </c>
    </row>
    <row r="791" spans="1:9" x14ac:dyDescent="0.35">
      <c r="A791" t="s">
        <v>15</v>
      </c>
      <c r="B791" t="s">
        <v>91</v>
      </c>
      <c r="C791" t="s">
        <v>81</v>
      </c>
      <c r="D791" t="s">
        <v>122</v>
      </c>
      <c r="E791" t="s">
        <v>73</v>
      </c>
      <c r="F791" t="s">
        <v>74</v>
      </c>
      <c r="G791" t="s">
        <v>127</v>
      </c>
      <c r="H791" t="s">
        <v>84</v>
      </c>
      <c r="I791" s="76">
        <v>0</v>
      </c>
    </row>
    <row r="792" spans="1:9" x14ac:dyDescent="0.35">
      <c r="A792" t="s">
        <v>15</v>
      </c>
      <c r="B792" t="s">
        <v>91</v>
      </c>
      <c r="C792" t="s">
        <v>81</v>
      </c>
      <c r="D792" t="s">
        <v>126</v>
      </c>
      <c r="E792" t="s">
        <v>73</v>
      </c>
      <c r="F792" t="s">
        <v>74</v>
      </c>
      <c r="G792" t="s">
        <v>127</v>
      </c>
      <c r="H792" t="s">
        <v>84</v>
      </c>
      <c r="I792" s="76">
        <v>8.1093795177776388E-4</v>
      </c>
    </row>
    <row r="793" spans="1:9" x14ac:dyDescent="0.35">
      <c r="A793" t="s">
        <v>15</v>
      </c>
      <c r="B793" t="s">
        <v>91</v>
      </c>
      <c r="C793" t="s">
        <v>81</v>
      </c>
      <c r="D793" t="s">
        <v>101</v>
      </c>
      <c r="E793" t="s">
        <v>73</v>
      </c>
      <c r="F793" t="s">
        <v>74</v>
      </c>
      <c r="G793" t="s">
        <v>127</v>
      </c>
      <c r="H793" t="s">
        <v>84</v>
      </c>
      <c r="I793" s="76">
        <v>0</v>
      </c>
    </row>
    <row r="794" spans="1:9" x14ac:dyDescent="0.35">
      <c r="A794" t="s">
        <v>15</v>
      </c>
      <c r="B794" t="s">
        <v>91</v>
      </c>
      <c r="C794" t="s">
        <v>81</v>
      </c>
      <c r="D794" t="s">
        <v>104</v>
      </c>
      <c r="E794" t="s">
        <v>73</v>
      </c>
      <c r="F794" t="s">
        <v>74</v>
      </c>
      <c r="G794" t="s">
        <v>127</v>
      </c>
      <c r="H794" t="s">
        <v>84</v>
      </c>
      <c r="I794" s="76">
        <v>0</v>
      </c>
    </row>
    <row r="795" spans="1:9" x14ac:dyDescent="0.35">
      <c r="A795" t="s">
        <v>15</v>
      </c>
      <c r="B795" t="s">
        <v>91</v>
      </c>
      <c r="C795" t="s">
        <v>81</v>
      </c>
      <c r="D795" t="s">
        <v>106</v>
      </c>
      <c r="E795" t="s">
        <v>73</v>
      </c>
      <c r="F795" t="s">
        <v>74</v>
      </c>
      <c r="G795" t="s">
        <v>127</v>
      </c>
      <c r="H795" t="s">
        <v>84</v>
      </c>
      <c r="I795" s="76">
        <v>0</v>
      </c>
    </row>
    <row r="796" spans="1:9" x14ac:dyDescent="0.35">
      <c r="A796" t="s">
        <v>15</v>
      </c>
      <c r="B796" t="s">
        <v>92</v>
      </c>
      <c r="C796" t="s">
        <v>81</v>
      </c>
      <c r="D796" t="s">
        <v>119</v>
      </c>
      <c r="E796" t="s">
        <v>73</v>
      </c>
      <c r="F796" t="s">
        <v>74</v>
      </c>
      <c r="G796" t="s">
        <v>127</v>
      </c>
      <c r="H796" t="s">
        <v>84</v>
      </c>
      <c r="I796" s="76">
        <f>'SUT_EU27 total'!$M$90</f>
        <v>0.13886309499777949</v>
      </c>
    </row>
    <row r="797" spans="1:9" x14ac:dyDescent="0.35">
      <c r="A797" t="s">
        <v>15</v>
      </c>
      <c r="B797" t="s">
        <v>92</v>
      </c>
      <c r="C797" t="s">
        <v>81</v>
      </c>
      <c r="D797" t="s">
        <v>124</v>
      </c>
      <c r="E797" t="s">
        <v>73</v>
      </c>
      <c r="F797" t="s">
        <v>74</v>
      </c>
      <c r="G797" t="s">
        <v>127</v>
      </c>
      <c r="H797" t="s">
        <v>84</v>
      </c>
      <c r="I797" s="76" cm="1">
        <f t="array" ref="I797:I805">'SUT_EU27 total'!$M$94:$M$102</f>
        <v>9.2968907089085616E-5</v>
      </c>
    </row>
    <row r="798" spans="1:9" x14ac:dyDescent="0.35">
      <c r="A798" t="s">
        <v>15</v>
      </c>
      <c r="B798" t="s">
        <v>92</v>
      </c>
      <c r="C798" t="s">
        <v>81</v>
      </c>
      <c r="D798" t="s">
        <v>117</v>
      </c>
      <c r="E798" t="s">
        <v>73</v>
      </c>
      <c r="F798" t="s">
        <v>74</v>
      </c>
      <c r="G798" t="s">
        <v>127</v>
      </c>
      <c r="H798" t="s">
        <v>84</v>
      </c>
      <c r="I798" s="76">
        <v>0</v>
      </c>
    </row>
    <row r="799" spans="1:9" x14ac:dyDescent="0.35">
      <c r="A799" t="s">
        <v>15</v>
      </c>
      <c r="B799" t="s">
        <v>92</v>
      </c>
      <c r="C799" t="s">
        <v>81</v>
      </c>
      <c r="D799" t="s">
        <v>82</v>
      </c>
      <c r="E799" t="s">
        <v>73</v>
      </c>
      <c r="F799" t="s">
        <v>74</v>
      </c>
      <c r="G799" t="s">
        <v>127</v>
      </c>
      <c r="H799" t="s">
        <v>84</v>
      </c>
      <c r="I799" s="76">
        <v>1.1251392039595793E-3</v>
      </c>
    </row>
    <row r="800" spans="1:9" x14ac:dyDescent="0.35">
      <c r="A800" t="s">
        <v>15</v>
      </c>
      <c r="B800" t="s">
        <v>92</v>
      </c>
      <c r="C800" t="s">
        <v>81</v>
      </c>
      <c r="D800" t="s">
        <v>125</v>
      </c>
      <c r="E800" t="s">
        <v>73</v>
      </c>
      <c r="F800" t="s">
        <v>74</v>
      </c>
      <c r="G800" t="s">
        <v>127</v>
      </c>
      <c r="H800" t="s">
        <v>84</v>
      </c>
      <c r="I800" s="76">
        <v>5.0048817841215026E-7</v>
      </c>
    </row>
    <row r="801" spans="1:9" x14ac:dyDescent="0.35">
      <c r="A801" t="s">
        <v>15</v>
      </c>
      <c r="B801" t="s">
        <v>92</v>
      </c>
      <c r="C801" t="s">
        <v>81</v>
      </c>
      <c r="D801" t="s">
        <v>122</v>
      </c>
      <c r="E801" t="s">
        <v>73</v>
      </c>
      <c r="F801" t="s">
        <v>74</v>
      </c>
      <c r="G801" t="s">
        <v>127</v>
      </c>
      <c r="H801" t="s">
        <v>84</v>
      </c>
      <c r="I801" s="76">
        <v>0</v>
      </c>
    </row>
    <row r="802" spans="1:9" x14ac:dyDescent="0.35">
      <c r="A802" t="s">
        <v>15</v>
      </c>
      <c r="B802" t="s">
        <v>92</v>
      </c>
      <c r="C802" t="s">
        <v>81</v>
      </c>
      <c r="D802" t="s">
        <v>126</v>
      </c>
      <c r="E802" t="s">
        <v>73</v>
      </c>
      <c r="F802" t="s">
        <v>74</v>
      </c>
      <c r="G802" t="s">
        <v>127</v>
      </c>
      <c r="H802" t="s">
        <v>84</v>
      </c>
      <c r="I802" s="76">
        <v>0</v>
      </c>
    </row>
    <row r="803" spans="1:9" x14ac:dyDescent="0.35">
      <c r="A803" t="s">
        <v>15</v>
      </c>
      <c r="B803" t="s">
        <v>92</v>
      </c>
      <c r="C803" t="s">
        <v>81</v>
      </c>
      <c r="D803" t="s">
        <v>101</v>
      </c>
      <c r="E803" t="s">
        <v>73</v>
      </c>
      <c r="F803" t="s">
        <v>74</v>
      </c>
      <c r="G803" t="s">
        <v>127</v>
      </c>
      <c r="H803" t="s">
        <v>84</v>
      </c>
      <c r="I803" s="76">
        <v>0</v>
      </c>
    </row>
    <row r="804" spans="1:9" x14ac:dyDescent="0.35">
      <c r="A804" t="s">
        <v>15</v>
      </c>
      <c r="B804" t="s">
        <v>92</v>
      </c>
      <c r="C804" t="s">
        <v>81</v>
      </c>
      <c r="D804" t="s">
        <v>104</v>
      </c>
      <c r="E804" t="s">
        <v>73</v>
      </c>
      <c r="F804" t="s">
        <v>74</v>
      </c>
      <c r="G804" t="s">
        <v>127</v>
      </c>
      <c r="H804" t="s">
        <v>84</v>
      </c>
      <c r="I804" s="76">
        <v>0</v>
      </c>
    </row>
    <row r="805" spans="1:9" x14ac:dyDescent="0.35">
      <c r="A805" t="s">
        <v>15</v>
      </c>
      <c r="B805" t="s">
        <v>92</v>
      </c>
      <c r="C805" t="s">
        <v>81</v>
      </c>
      <c r="D805" t="s">
        <v>106</v>
      </c>
      <c r="E805" t="s">
        <v>73</v>
      </c>
      <c r="F805" t="s">
        <v>74</v>
      </c>
      <c r="G805" t="s">
        <v>127</v>
      </c>
      <c r="H805" t="s">
        <v>84</v>
      </c>
      <c r="I805" s="76">
        <v>0</v>
      </c>
    </row>
    <row r="806" spans="1:9" x14ac:dyDescent="0.35">
      <c r="A806" t="s">
        <v>15</v>
      </c>
      <c r="B806" t="s">
        <v>93</v>
      </c>
      <c r="C806" t="s">
        <v>81</v>
      </c>
      <c r="D806" t="s">
        <v>119</v>
      </c>
      <c r="E806" t="s">
        <v>73</v>
      </c>
      <c r="F806" t="s">
        <v>74</v>
      </c>
      <c r="G806" t="s">
        <v>127</v>
      </c>
      <c r="H806" t="s">
        <v>84</v>
      </c>
      <c r="I806" s="76">
        <f>'SUT_EU27 total'!$M$107</f>
        <v>1.0000807460939076</v>
      </c>
    </row>
    <row r="807" spans="1:9" x14ac:dyDescent="0.35">
      <c r="A807" t="s">
        <v>15</v>
      </c>
      <c r="B807" t="s">
        <v>93</v>
      </c>
      <c r="C807" t="s">
        <v>81</v>
      </c>
      <c r="D807" t="s">
        <v>124</v>
      </c>
      <c r="E807" t="s">
        <v>73</v>
      </c>
      <c r="F807" t="s">
        <v>74</v>
      </c>
      <c r="G807" t="s">
        <v>127</v>
      </c>
      <c r="H807" t="s">
        <v>84</v>
      </c>
      <c r="I807" s="76" cm="1">
        <f t="array" ref="I807:I815">'SUT_EU27 total'!$M$111:$M$119</f>
        <v>3.7052409430862396E-4</v>
      </c>
    </row>
    <row r="808" spans="1:9" x14ac:dyDescent="0.35">
      <c r="A808" t="s">
        <v>15</v>
      </c>
      <c r="B808" t="s">
        <v>93</v>
      </c>
      <c r="C808" t="s">
        <v>81</v>
      </c>
      <c r="D808" t="s">
        <v>117</v>
      </c>
      <c r="E808" t="s">
        <v>73</v>
      </c>
      <c r="F808" t="s">
        <v>74</v>
      </c>
      <c r="G808" t="s">
        <v>127</v>
      </c>
      <c r="H808" t="s">
        <v>84</v>
      </c>
      <c r="I808" s="76">
        <v>5.8414042458127093E-3</v>
      </c>
    </row>
    <row r="809" spans="1:9" x14ac:dyDescent="0.35">
      <c r="A809" t="s">
        <v>15</v>
      </c>
      <c r="B809" t="s">
        <v>93</v>
      </c>
      <c r="C809" t="s">
        <v>81</v>
      </c>
      <c r="D809" t="s">
        <v>82</v>
      </c>
      <c r="E809" t="s">
        <v>73</v>
      </c>
      <c r="F809" t="s">
        <v>74</v>
      </c>
      <c r="G809" t="s">
        <v>127</v>
      </c>
      <c r="H809" t="s">
        <v>84</v>
      </c>
      <c r="I809" s="76">
        <v>5.0319447308723453E-3</v>
      </c>
    </row>
    <row r="810" spans="1:9" x14ac:dyDescent="0.35">
      <c r="A810" t="s">
        <v>15</v>
      </c>
      <c r="B810" t="s">
        <v>93</v>
      </c>
      <c r="C810" t="s">
        <v>81</v>
      </c>
      <c r="D810" t="s">
        <v>125</v>
      </c>
      <c r="E810" t="s">
        <v>73</v>
      </c>
      <c r="F810" t="s">
        <v>74</v>
      </c>
      <c r="G810" t="s">
        <v>127</v>
      </c>
      <c r="H810" t="s">
        <v>84</v>
      </c>
      <c r="I810" s="76">
        <v>4.336096678710085E-4</v>
      </c>
    </row>
    <row r="811" spans="1:9" x14ac:dyDescent="0.35">
      <c r="A811" t="s">
        <v>15</v>
      </c>
      <c r="B811" t="s">
        <v>93</v>
      </c>
      <c r="C811" t="s">
        <v>81</v>
      </c>
      <c r="D811" t="s">
        <v>122</v>
      </c>
      <c r="E811" t="s">
        <v>73</v>
      </c>
      <c r="F811" t="s">
        <v>74</v>
      </c>
      <c r="G811" t="s">
        <v>127</v>
      </c>
      <c r="H811" t="s">
        <v>84</v>
      </c>
      <c r="I811" s="76">
        <v>2.7129607609988112E-3</v>
      </c>
    </row>
    <row r="812" spans="1:9" x14ac:dyDescent="0.35">
      <c r="A812" t="s">
        <v>15</v>
      </c>
      <c r="B812" t="s">
        <v>93</v>
      </c>
      <c r="C812" t="s">
        <v>81</v>
      </c>
      <c r="D812" t="s">
        <v>126</v>
      </c>
      <c r="E812" t="s">
        <v>73</v>
      </c>
      <c r="F812" t="s">
        <v>74</v>
      </c>
      <c r="G812" t="s">
        <v>127</v>
      </c>
      <c r="H812" t="s">
        <v>84</v>
      </c>
      <c r="I812" s="76">
        <v>4.3855511603587784E-2</v>
      </c>
    </row>
    <row r="813" spans="1:9" x14ac:dyDescent="0.35">
      <c r="A813" t="s">
        <v>15</v>
      </c>
      <c r="B813" t="s">
        <v>93</v>
      </c>
      <c r="C813" t="s">
        <v>81</v>
      </c>
      <c r="D813" t="s">
        <v>101</v>
      </c>
      <c r="E813" t="s">
        <v>73</v>
      </c>
      <c r="F813" t="s">
        <v>74</v>
      </c>
      <c r="G813" t="s">
        <v>127</v>
      </c>
      <c r="H813" t="s">
        <v>84</v>
      </c>
      <c r="I813" s="76">
        <v>0</v>
      </c>
    </row>
    <row r="814" spans="1:9" x14ac:dyDescent="0.35">
      <c r="A814" t="s">
        <v>15</v>
      </c>
      <c r="B814" t="s">
        <v>93</v>
      </c>
      <c r="C814" t="s">
        <v>81</v>
      </c>
      <c r="D814" t="s">
        <v>104</v>
      </c>
      <c r="E814" t="s">
        <v>73</v>
      </c>
      <c r="F814" t="s">
        <v>74</v>
      </c>
      <c r="G814" t="s">
        <v>127</v>
      </c>
      <c r="H814" t="s">
        <v>84</v>
      </c>
      <c r="I814" s="76">
        <v>0</v>
      </c>
    </row>
    <row r="815" spans="1:9" x14ac:dyDescent="0.35">
      <c r="A815" t="s">
        <v>15</v>
      </c>
      <c r="B815" t="s">
        <v>93</v>
      </c>
      <c r="C815" t="s">
        <v>81</v>
      </c>
      <c r="D815" t="s">
        <v>106</v>
      </c>
      <c r="E815" t="s">
        <v>73</v>
      </c>
      <c r="F815" t="s">
        <v>74</v>
      </c>
      <c r="G815" t="s">
        <v>127</v>
      </c>
      <c r="H815" t="s">
        <v>84</v>
      </c>
      <c r="I815" s="76">
        <v>0</v>
      </c>
    </row>
    <row r="816" spans="1:9" x14ac:dyDescent="0.35">
      <c r="A816" t="s">
        <v>15</v>
      </c>
      <c r="B816" t="s">
        <v>73</v>
      </c>
      <c r="C816" t="s">
        <v>81</v>
      </c>
      <c r="D816" t="s">
        <v>82</v>
      </c>
      <c r="E816" t="s">
        <v>73</v>
      </c>
      <c r="F816" t="s">
        <v>74</v>
      </c>
      <c r="G816" t="s">
        <v>128</v>
      </c>
      <c r="H816" t="s">
        <v>84</v>
      </c>
      <c r="I816" s="76">
        <f>'SUT_EU27 total'!$N$28</f>
        <v>1.4658301341380521E-2</v>
      </c>
    </row>
    <row r="817" spans="1:9" x14ac:dyDescent="0.35">
      <c r="A817" t="s">
        <v>15</v>
      </c>
      <c r="B817" t="s">
        <v>73</v>
      </c>
      <c r="C817" t="s">
        <v>81</v>
      </c>
      <c r="D817" t="s">
        <v>86</v>
      </c>
      <c r="E817" t="s">
        <v>73</v>
      </c>
      <c r="F817" t="s">
        <v>74</v>
      </c>
      <c r="G817" t="s">
        <v>128</v>
      </c>
      <c r="H817" t="s">
        <v>84</v>
      </c>
      <c r="I817" s="76">
        <f>'SUT_EU27 total'!$N$35</f>
        <v>3.0740776778828832E-3</v>
      </c>
    </row>
    <row r="818" spans="1:9" x14ac:dyDescent="0.35">
      <c r="A818" t="s">
        <v>15</v>
      </c>
      <c r="B818" t="s">
        <v>88</v>
      </c>
      <c r="C818" t="s">
        <v>81</v>
      </c>
      <c r="D818" t="s">
        <v>82</v>
      </c>
      <c r="E818" t="s">
        <v>73</v>
      </c>
      <c r="F818" t="s">
        <v>74</v>
      </c>
      <c r="G818" t="s">
        <v>128</v>
      </c>
      <c r="H818" t="s">
        <v>84</v>
      </c>
      <c r="I818" s="76">
        <f>'SUT_EU27 total'!$N$45</f>
        <v>9.2276548594747033E-3</v>
      </c>
    </row>
    <row r="819" spans="1:9" x14ac:dyDescent="0.35">
      <c r="A819" t="s">
        <v>15</v>
      </c>
      <c r="B819" t="s">
        <v>88</v>
      </c>
      <c r="C819" t="s">
        <v>81</v>
      </c>
      <c r="D819" t="s">
        <v>86</v>
      </c>
      <c r="E819" t="s">
        <v>73</v>
      </c>
      <c r="F819" t="s">
        <v>74</v>
      </c>
      <c r="G819" t="s">
        <v>128</v>
      </c>
      <c r="H819" t="s">
        <v>84</v>
      </c>
      <c r="I819" s="76">
        <f>'SUT_EU27 total'!$N$52</f>
        <v>6.9627451701437512E-2</v>
      </c>
    </row>
    <row r="820" spans="1:9" x14ac:dyDescent="0.35">
      <c r="A820" t="s">
        <v>15</v>
      </c>
      <c r="B820" t="s">
        <v>90</v>
      </c>
      <c r="C820" t="s">
        <v>81</v>
      </c>
      <c r="D820" t="s">
        <v>82</v>
      </c>
      <c r="E820" t="s">
        <v>73</v>
      </c>
      <c r="F820" t="s">
        <v>74</v>
      </c>
      <c r="G820" t="s">
        <v>128</v>
      </c>
      <c r="H820" t="s">
        <v>84</v>
      </c>
      <c r="I820" s="76">
        <f>'SUT_EU27 total'!$N$62</f>
        <v>2.2200107734217647E-6</v>
      </c>
    </row>
    <row r="821" spans="1:9" x14ac:dyDescent="0.35">
      <c r="A821" t="s">
        <v>15</v>
      </c>
      <c r="B821" t="s">
        <v>90</v>
      </c>
      <c r="C821" t="s">
        <v>81</v>
      </c>
      <c r="D821" t="s">
        <v>86</v>
      </c>
      <c r="E821" t="s">
        <v>73</v>
      </c>
      <c r="F821" t="s">
        <v>74</v>
      </c>
      <c r="G821" t="s">
        <v>128</v>
      </c>
      <c r="H821" t="s">
        <v>84</v>
      </c>
      <c r="I821" s="76">
        <f>'SUT_EU27 total'!$N$69</f>
        <v>9.1135123377023061E-3</v>
      </c>
    </row>
    <row r="822" spans="1:9" x14ac:dyDescent="0.35">
      <c r="A822" t="s">
        <v>15</v>
      </c>
      <c r="B822" t="s">
        <v>91</v>
      </c>
      <c r="C822" t="s">
        <v>81</v>
      </c>
      <c r="D822" t="s">
        <v>82</v>
      </c>
      <c r="E822" t="s">
        <v>73</v>
      </c>
      <c r="F822" t="s">
        <v>74</v>
      </c>
      <c r="G822" t="s">
        <v>128</v>
      </c>
      <c r="H822" t="s">
        <v>84</v>
      </c>
      <c r="I822" s="76">
        <f>'SUT_EU27 total'!$N$79</f>
        <v>4.3195382907628159E-4</v>
      </c>
    </row>
    <row r="823" spans="1:9" x14ac:dyDescent="0.35">
      <c r="A823" t="s">
        <v>15</v>
      </c>
      <c r="B823" t="s">
        <v>91</v>
      </c>
      <c r="C823" t="s">
        <v>81</v>
      </c>
      <c r="D823" t="s">
        <v>86</v>
      </c>
      <c r="E823" t="s">
        <v>73</v>
      </c>
      <c r="F823" t="s">
        <v>74</v>
      </c>
      <c r="G823" t="s">
        <v>128</v>
      </c>
      <c r="H823" t="s">
        <v>84</v>
      </c>
      <c r="I823" s="76">
        <f>'SUT_EU27 total'!$N$86</f>
        <v>1.1339568587203704E-2</v>
      </c>
    </row>
    <row r="824" spans="1:9" x14ac:dyDescent="0.35">
      <c r="A824" t="s">
        <v>15</v>
      </c>
      <c r="B824" t="s">
        <v>92</v>
      </c>
      <c r="C824" t="s">
        <v>81</v>
      </c>
      <c r="D824" t="s">
        <v>82</v>
      </c>
      <c r="E824" t="s">
        <v>73</v>
      </c>
      <c r="F824" t="s">
        <v>74</v>
      </c>
      <c r="G824" t="s">
        <v>128</v>
      </c>
      <c r="H824" t="s">
        <v>84</v>
      </c>
      <c r="I824" s="76">
        <f>'SUT_EU27 total'!$N$96</f>
        <v>5.9963902402539811E-4</v>
      </c>
    </row>
    <row r="825" spans="1:9" x14ac:dyDescent="0.35">
      <c r="A825" t="s">
        <v>15</v>
      </c>
      <c r="B825" t="s">
        <v>92</v>
      </c>
      <c r="C825" t="s">
        <v>81</v>
      </c>
      <c r="D825" t="s">
        <v>86</v>
      </c>
      <c r="E825" t="s">
        <v>73</v>
      </c>
      <c r="F825" t="s">
        <v>74</v>
      </c>
      <c r="G825" t="s">
        <v>128</v>
      </c>
      <c r="H825" t="s">
        <v>84</v>
      </c>
      <c r="I825" s="76">
        <f>'SUT_EU27 total'!$N$103</f>
        <v>7.0614092017150581E-3</v>
      </c>
    </row>
    <row r="826" spans="1:9" x14ac:dyDescent="0.35">
      <c r="A826" t="s">
        <v>15</v>
      </c>
      <c r="B826" t="s">
        <v>93</v>
      </c>
      <c r="C826" t="s">
        <v>81</v>
      </c>
      <c r="D826" t="s">
        <v>82</v>
      </c>
      <c r="E826" t="s">
        <v>73</v>
      </c>
      <c r="F826" t="s">
        <v>74</v>
      </c>
      <c r="G826" t="s">
        <v>128</v>
      </c>
      <c r="H826" t="s">
        <v>84</v>
      </c>
      <c r="I826" s="76">
        <f>'SUT_EU27 total'!$N$113</f>
        <v>2.4854239602480213E-3</v>
      </c>
    </row>
    <row r="827" spans="1:9" x14ac:dyDescent="0.35">
      <c r="A827" t="s">
        <v>15</v>
      </c>
      <c r="B827" t="s">
        <v>93</v>
      </c>
      <c r="C827" t="s">
        <v>81</v>
      </c>
      <c r="D827" t="s">
        <v>86</v>
      </c>
      <c r="E827" t="s">
        <v>73</v>
      </c>
      <c r="F827" t="s">
        <v>74</v>
      </c>
      <c r="G827" t="s">
        <v>128</v>
      </c>
      <c r="H827" t="s">
        <v>84</v>
      </c>
      <c r="I827" s="76">
        <f>'SUT_EU27 total'!$N$120</f>
        <v>3.1580644155014347E-2</v>
      </c>
    </row>
    <row r="828" spans="1:9" x14ac:dyDescent="0.35">
      <c r="A828" t="s">
        <v>15</v>
      </c>
      <c r="B828" t="s">
        <v>73</v>
      </c>
      <c r="C828" t="s">
        <v>81</v>
      </c>
      <c r="D828" t="s">
        <v>82</v>
      </c>
      <c r="E828" t="s">
        <v>73</v>
      </c>
      <c r="F828" t="s">
        <v>74</v>
      </c>
      <c r="G828" t="s">
        <v>129</v>
      </c>
      <c r="H828" t="s">
        <v>84</v>
      </c>
      <c r="I828" s="76">
        <f>'SUT_EU27 total'!$O$28</f>
        <v>1.4658301341380521E-2</v>
      </c>
    </row>
    <row r="829" spans="1:9" x14ac:dyDescent="0.35">
      <c r="A829" t="s">
        <v>15</v>
      </c>
      <c r="B829" t="s">
        <v>73</v>
      </c>
      <c r="C829" t="s">
        <v>81</v>
      </c>
      <c r="D829" t="s">
        <v>86</v>
      </c>
      <c r="E829" t="s">
        <v>73</v>
      </c>
      <c r="F829" t="s">
        <v>74</v>
      </c>
      <c r="G829" t="s">
        <v>129</v>
      </c>
      <c r="H829" t="s">
        <v>84</v>
      </c>
      <c r="I829" s="76">
        <f>'SUT_EU27 total'!$O$35</f>
        <v>3.0740776778828832E-3</v>
      </c>
    </row>
    <row r="830" spans="1:9" x14ac:dyDescent="0.35">
      <c r="A830" t="s">
        <v>15</v>
      </c>
      <c r="B830" t="s">
        <v>88</v>
      </c>
      <c r="C830" t="s">
        <v>81</v>
      </c>
      <c r="D830" t="s">
        <v>82</v>
      </c>
      <c r="E830" t="s">
        <v>73</v>
      </c>
      <c r="F830" t="s">
        <v>74</v>
      </c>
      <c r="G830" t="s">
        <v>129</v>
      </c>
      <c r="H830" t="s">
        <v>84</v>
      </c>
      <c r="I830" s="76">
        <f>'SUT_EU27 total'!$O$45</f>
        <v>9.2276548594747033E-3</v>
      </c>
    </row>
    <row r="831" spans="1:9" x14ac:dyDescent="0.35">
      <c r="A831" t="s">
        <v>15</v>
      </c>
      <c r="B831" t="s">
        <v>88</v>
      </c>
      <c r="C831" t="s">
        <v>81</v>
      </c>
      <c r="D831" t="s">
        <v>86</v>
      </c>
      <c r="E831" t="s">
        <v>73</v>
      </c>
      <c r="F831" t="s">
        <v>74</v>
      </c>
      <c r="G831" t="s">
        <v>129</v>
      </c>
      <c r="H831" t="s">
        <v>84</v>
      </c>
      <c r="I831" s="76">
        <f>'SUT_EU27 total'!$O$52</f>
        <v>6.9627451701437512E-2</v>
      </c>
    </row>
    <row r="832" spans="1:9" x14ac:dyDescent="0.35">
      <c r="A832" t="s">
        <v>15</v>
      </c>
      <c r="B832" t="s">
        <v>90</v>
      </c>
      <c r="C832" t="s">
        <v>81</v>
      </c>
      <c r="D832" t="s">
        <v>82</v>
      </c>
      <c r="E832" t="s">
        <v>73</v>
      </c>
      <c r="F832" t="s">
        <v>74</v>
      </c>
      <c r="G832" t="s">
        <v>129</v>
      </c>
      <c r="H832" t="s">
        <v>84</v>
      </c>
      <c r="I832" s="76">
        <f>'SUT_EU27 total'!$O$62</f>
        <v>2.2200107734217647E-6</v>
      </c>
    </row>
    <row r="833" spans="1:9" x14ac:dyDescent="0.35">
      <c r="A833" t="s">
        <v>15</v>
      </c>
      <c r="B833" t="s">
        <v>90</v>
      </c>
      <c r="C833" t="s">
        <v>81</v>
      </c>
      <c r="D833" t="s">
        <v>86</v>
      </c>
      <c r="E833" t="s">
        <v>73</v>
      </c>
      <c r="F833" t="s">
        <v>74</v>
      </c>
      <c r="G833" t="s">
        <v>129</v>
      </c>
      <c r="H833" t="s">
        <v>84</v>
      </c>
      <c r="I833" s="76">
        <f>'SUT_EU27 total'!$O$69</f>
        <v>9.1135123377023061E-3</v>
      </c>
    </row>
    <row r="834" spans="1:9" x14ac:dyDescent="0.35">
      <c r="A834" t="s">
        <v>15</v>
      </c>
      <c r="B834" t="s">
        <v>91</v>
      </c>
      <c r="C834" t="s">
        <v>81</v>
      </c>
      <c r="D834" t="s">
        <v>82</v>
      </c>
      <c r="E834" t="s">
        <v>73</v>
      </c>
      <c r="F834" t="s">
        <v>74</v>
      </c>
      <c r="G834" t="s">
        <v>129</v>
      </c>
      <c r="H834" t="s">
        <v>84</v>
      </c>
      <c r="I834" s="76">
        <f>'SUT_EU27 total'!$O$79</f>
        <v>4.3195382907628159E-4</v>
      </c>
    </row>
    <row r="835" spans="1:9" x14ac:dyDescent="0.35">
      <c r="A835" t="s">
        <v>15</v>
      </c>
      <c r="B835" t="s">
        <v>91</v>
      </c>
      <c r="C835" t="s">
        <v>81</v>
      </c>
      <c r="D835" t="s">
        <v>86</v>
      </c>
      <c r="E835" t="s">
        <v>73</v>
      </c>
      <c r="F835" t="s">
        <v>74</v>
      </c>
      <c r="G835" t="s">
        <v>129</v>
      </c>
      <c r="H835" t="s">
        <v>84</v>
      </c>
      <c r="I835" s="76">
        <f>'SUT_EU27 total'!$O$86</f>
        <v>1.1339568587203704E-2</v>
      </c>
    </row>
    <row r="836" spans="1:9" x14ac:dyDescent="0.35">
      <c r="A836" t="s">
        <v>15</v>
      </c>
      <c r="B836" t="s">
        <v>92</v>
      </c>
      <c r="C836" t="s">
        <v>81</v>
      </c>
      <c r="D836" t="s">
        <v>82</v>
      </c>
      <c r="E836" t="s">
        <v>73</v>
      </c>
      <c r="F836" t="s">
        <v>74</v>
      </c>
      <c r="G836" t="s">
        <v>129</v>
      </c>
      <c r="H836" t="s">
        <v>84</v>
      </c>
      <c r="I836" s="76">
        <f>'SUT_EU27 total'!$O$96</f>
        <v>5.9963902402539811E-4</v>
      </c>
    </row>
    <row r="837" spans="1:9" x14ac:dyDescent="0.35">
      <c r="A837" t="s">
        <v>15</v>
      </c>
      <c r="B837" t="s">
        <v>92</v>
      </c>
      <c r="C837" t="s">
        <v>81</v>
      </c>
      <c r="D837" t="s">
        <v>86</v>
      </c>
      <c r="E837" t="s">
        <v>73</v>
      </c>
      <c r="F837" t="s">
        <v>74</v>
      </c>
      <c r="G837" t="s">
        <v>129</v>
      </c>
      <c r="H837" t="s">
        <v>84</v>
      </c>
      <c r="I837" s="76">
        <f>'SUT_EU27 total'!$O$103</f>
        <v>7.0614092017150581E-3</v>
      </c>
    </row>
    <row r="838" spans="1:9" x14ac:dyDescent="0.35">
      <c r="A838" t="s">
        <v>15</v>
      </c>
      <c r="B838" t="s">
        <v>93</v>
      </c>
      <c r="C838" t="s">
        <v>81</v>
      </c>
      <c r="D838" t="s">
        <v>82</v>
      </c>
      <c r="E838" t="s">
        <v>73</v>
      </c>
      <c r="F838" t="s">
        <v>74</v>
      </c>
      <c r="G838" t="s">
        <v>129</v>
      </c>
      <c r="H838" t="s">
        <v>84</v>
      </c>
      <c r="I838" s="76">
        <f>'SUT_EU27 total'!$O$113</f>
        <v>2.4854239602480213E-3</v>
      </c>
    </row>
    <row r="839" spans="1:9" x14ac:dyDescent="0.35">
      <c r="A839" t="s">
        <v>15</v>
      </c>
      <c r="B839" t="s">
        <v>93</v>
      </c>
      <c r="C839" t="s">
        <v>81</v>
      </c>
      <c r="D839" t="s">
        <v>86</v>
      </c>
      <c r="E839" t="s">
        <v>73</v>
      </c>
      <c r="F839" t="s">
        <v>74</v>
      </c>
      <c r="G839" t="s">
        <v>129</v>
      </c>
      <c r="H839" t="s">
        <v>84</v>
      </c>
      <c r="I839" s="76">
        <f>'SUT_EU27 total'!$O$120</f>
        <v>3.1580644155014347E-2</v>
      </c>
    </row>
    <row r="840" spans="1:9" x14ac:dyDescent="0.35">
      <c r="A840" t="s">
        <v>15</v>
      </c>
      <c r="B840" t="s">
        <v>73</v>
      </c>
      <c r="C840" t="s">
        <v>81</v>
      </c>
      <c r="D840" t="s">
        <v>82</v>
      </c>
      <c r="E840" t="s">
        <v>73</v>
      </c>
      <c r="F840" t="s">
        <v>74</v>
      </c>
      <c r="G840" t="s">
        <v>130</v>
      </c>
      <c r="H840" t="s">
        <v>84</v>
      </c>
      <c r="I840" s="76">
        <f>'SUT_EU27 total'!$Q$28</f>
        <v>7.0611384178638645E-2</v>
      </c>
    </row>
    <row r="841" spans="1:9" x14ac:dyDescent="0.35">
      <c r="A841" t="s">
        <v>15</v>
      </c>
      <c r="B841" t="s">
        <v>88</v>
      </c>
      <c r="C841" t="s">
        <v>81</v>
      </c>
      <c r="D841" t="s">
        <v>82</v>
      </c>
      <c r="E841" t="s">
        <v>73</v>
      </c>
      <c r="F841" t="s">
        <v>74</v>
      </c>
      <c r="G841" t="s">
        <v>130</v>
      </c>
      <c r="H841" t="s">
        <v>84</v>
      </c>
      <c r="I841" s="76">
        <f>'SUT_EU27 total'!$Q$45</f>
        <v>4.4451090694311274E-2</v>
      </c>
    </row>
    <row r="842" spans="1:9" x14ac:dyDescent="0.35">
      <c r="A842" t="s">
        <v>15</v>
      </c>
      <c r="B842" t="s">
        <v>90</v>
      </c>
      <c r="C842" t="s">
        <v>81</v>
      </c>
      <c r="D842" t="s">
        <v>82</v>
      </c>
      <c r="E842" t="s">
        <v>73</v>
      </c>
      <c r="F842" t="s">
        <v>74</v>
      </c>
      <c r="G842" t="s">
        <v>130</v>
      </c>
      <c r="H842" t="s">
        <v>84</v>
      </c>
      <c r="I842" s="76">
        <f>'SUT_EU27 total'!$Q$62</f>
        <v>1.0694147292515508E-5</v>
      </c>
    </row>
    <row r="843" spans="1:9" x14ac:dyDescent="0.35">
      <c r="A843" t="s">
        <v>15</v>
      </c>
      <c r="B843" t="s">
        <v>91</v>
      </c>
      <c r="C843" t="s">
        <v>81</v>
      </c>
      <c r="D843" t="s">
        <v>82</v>
      </c>
      <c r="E843" t="s">
        <v>73</v>
      </c>
      <c r="F843" t="s">
        <v>74</v>
      </c>
      <c r="G843" t="s">
        <v>130</v>
      </c>
      <c r="H843" t="s">
        <v>84</v>
      </c>
      <c r="I843" s="76">
        <f>'SUT_EU27 total'!$Q$79</f>
        <v>2.0807907452574416E-3</v>
      </c>
    </row>
    <row r="844" spans="1:9" x14ac:dyDescent="0.35">
      <c r="A844" t="s">
        <v>15</v>
      </c>
      <c r="B844" t="s">
        <v>92</v>
      </c>
      <c r="C844" t="s">
        <v>81</v>
      </c>
      <c r="D844" t="s">
        <v>82</v>
      </c>
      <c r="E844" t="s">
        <v>73</v>
      </c>
      <c r="F844" t="s">
        <v>74</v>
      </c>
      <c r="G844" t="s">
        <v>130</v>
      </c>
      <c r="H844" t="s">
        <v>84</v>
      </c>
      <c r="I844" s="76">
        <f>'SUT_EU27 total'!$Q$96</f>
        <v>2.8885571737041122E-3</v>
      </c>
    </row>
    <row r="845" spans="1:9" x14ac:dyDescent="0.35">
      <c r="A845" t="s">
        <v>15</v>
      </c>
      <c r="B845" t="s">
        <v>93</v>
      </c>
      <c r="C845" t="s">
        <v>81</v>
      </c>
      <c r="D845" t="s">
        <v>82</v>
      </c>
      <c r="E845" t="s">
        <v>73</v>
      </c>
      <c r="F845" t="s">
        <v>74</v>
      </c>
      <c r="G845" t="s">
        <v>130</v>
      </c>
      <c r="H845" t="s">
        <v>84</v>
      </c>
      <c r="I845" s="76">
        <f>'SUT_EU27 total'!$Q$113</f>
        <v>1.1972685102906883E-2</v>
      </c>
    </row>
    <row r="846" spans="1:9" x14ac:dyDescent="0.35">
      <c r="A846" t="s">
        <v>15</v>
      </c>
      <c r="B846" t="s">
        <v>73</v>
      </c>
      <c r="C846" t="s">
        <v>81</v>
      </c>
      <c r="D846" t="s">
        <v>131</v>
      </c>
      <c r="E846" t="s">
        <v>73</v>
      </c>
      <c r="F846" t="s">
        <v>74</v>
      </c>
      <c r="G846" t="s">
        <v>112</v>
      </c>
      <c r="H846" t="s">
        <v>84</v>
      </c>
      <c r="I846" s="76">
        <f>'SUT_EU27 total'!$R$24</f>
        <v>4.0146105919003111E-8</v>
      </c>
    </row>
    <row r="847" spans="1:9" x14ac:dyDescent="0.35">
      <c r="A847" t="s">
        <v>15</v>
      </c>
      <c r="B847" t="s">
        <v>73</v>
      </c>
      <c r="C847" t="s">
        <v>81</v>
      </c>
      <c r="D847" t="s">
        <v>122</v>
      </c>
      <c r="E847" t="s">
        <v>73</v>
      </c>
      <c r="F847" t="s">
        <v>74</v>
      </c>
      <c r="G847" t="s">
        <v>112</v>
      </c>
      <c r="H847" t="s">
        <v>84</v>
      </c>
      <c r="I847" s="76">
        <f>'SUT_EU27 total'!$R$30</f>
        <v>3.9708116569218732E-4</v>
      </c>
    </row>
    <row r="848" spans="1:9" x14ac:dyDescent="0.35">
      <c r="A848" t="s">
        <v>15</v>
      </c>
      <c r="B848" t="s">
        <v>73</v>
      </c>
      <c r="C848" t="s">
        <v>81</v>
      </c>
      <c r="D848" t="s">
        <v>101</v>
      </c>
      <c r="E848" t="s">
        <v>73</v>
      </c>
      <c r="F848" t="s">
        <v>74</v>
      </c>
      <c r="G848" t="s">
        <v>112</v>
      </c>
      <c r="H848" t="s">
        <v>84</v>
      </c>
      <c r="I848" s="76" cm="1">
        <f t="array" ref="I848:I850">'SUT_EU27 total'!$R$32:$R$34</f>
        <v>1.2183459827918709E-7</v>
      </c>
    </row>
    <row r="849" spans="1:9" x14ac:dyDescent="0.35">
      <c r="A849" t="s">
        <v>15</v>
      </c>
      <c r="B849" t="s">
        <v>73</v>
      </c>
      <c r="C849" t="s">
        <v>81</v>
      </c>
      <c r="D849" t="s">
        <v>104</v>
      </c>
      <c r="E849" t="s">
        <v>73</v>
      </c>
      <c r="F849" t="s">
        <v>74</v>
      </c>
      <c r="G849" t="s">
        <v>112</v>
      </c>
      <c r="H849" t="s">
        <v>84</v>
      </c>
      <c r="I849" s="76">
        <v>2.3068290654205609E-7</v>
      </c>
    </row>
    <row r="850" spans="1:9" x14ac:dyDescent="0.35">
      <c r="A850" t="s">
        <v>15</v>
      </c>
      <c r="B850" t="s">
        <v>73</v>
      </c>
      <c r="C850" t="s">
        <v>81</v>
      </c>
      <c r="D850" t="s">
        <v>106</v>
      </c>
      <c r="E850" t="s">
        <v>73</v>
      </c>
      <c r="F850" t="s">
        <v>74</v>
      </c>
      <c r="G850" t="s">
        <v>112</v>
      </c>
      <c r="H850" t="s">
        <v>84</v>
      </c>
      <c r="I850" s="76">
        <v>7.8463573653760568E-7</v>
      </c>
    </row>
    <row r="851" spans="1:9" x14ac:dyDescent="0.35">
      <c r="A851" t="s">
        <v>15</v>
      </c>
      <c r="B851" t="s">
        <v>88</v>
      </c>
      <c r="C851" t="s">
        <v>81</v>
      </c>
      <c r="D851" t="s">
        <v>131</v>
      </c>
      <c r="E851" t="s">
        <v>73</v>
      </c>
      <c r="F851" t="s">
        <v>74</v>
      </c>
      <c r="G851" t="s">
        <v>112</v>
      </c>
      <c r="H851" t="s">
        <v>84</v>
      </c>
      <c r="I851" s="76">
        <f>'SUT_EU27 total'!$R$41</f>
        <v>0</v>
      </c>
    </row>
    <row r="852" spans="1:9" x14ac:dyDescent="0.35">
      <c r="A852" t="s">
        <v>15</v>
      </c>
      <c r="B852" t="s">
        <v>88</v>
      </c>
      <c r="C852" t="s">
        <v>81</v>
      </c>
      <c r="D852" t="s">
        <v>122</v>
      </c>
      <c r="E852" t="s">
        <v>73</v>
      </c>
      <c r="F852" t="s">
        <v>74</v>
      </c>
      <c r="G852" t="s">
        <v>112</v>
      </c>
      <c r="H852" t="s">
        <v>84</v>
      </c>
      <c r="I852" s="76">
        <f>'SUT_EU27 total'!$R$47</f>
        <v>0</v>
      </c>
    </row>
    <row r="853" spans="1:9" x14ac:dyDescent="0.35">
      <c r="A853" t="s">
        <v>15</v>
      </c>
      <c r="B853" t="s">
        <v>88</v>
      </c>
      <c r="C853" t="s">
        <v>81</v>
      </c>
      <c r="D853" t="s">
        <v>101</v>
      </c>
      <c r="E853" t="s">
        <v>73</v>
      </c>
      <c r="F853" t="s">
        <v>74</v>
      </c>
      <c r="G853" t="s">
        <v>112</v>
      </c>
      <c r="H853" t="s">
        <v>84</v>
      </c>
      <c r="I853" s="76" cm="1">
        <f t="array" ref="I853:I855">'SUT_EU27 total'!$R$49:$R$51</f>
        <v>0</v>
      </c>
    </row>
    <row r="854" spans="1:9" x14ac:dyDescent="0.35">
      <c r="A854" t="s">
        <v>15</v>
      </c>
      <c r="B854" t="s">
        <v>88</v>
      </c>
      <c r="C854" t="s">
        <v>81</v>
      </c>
      <c r="D854" t="s">
        <v>104</v>
      </c>
      <c r="E854" t="s">
        <v>73</v>
      </c>
      <c r="F854" t="s">
        <v>74</v>
      </c>
      <c r="G854" t="s">
        <v>112</v>
      </c>
      <c r="H854" t="s">
        <v>84</v>
      </c>
      <c r="I854" s="76">
        <v>0</v>
      </c>
    </row>
    <row r="855" spans="1:9" x14ac:dyDescent="0.35">
      <c r="A855" t="s">
        <v>15</v>
      </c>
      <c r="B855" t="s">
        <v>88</v>
      </c>
      <c r="C855" t="s">
        <v>81</v>
      </c>
      <c r="D855" t="s">
        <v>106</v>
      </c>
      <c r="E855" t="s">
        <v>73</v>
      </c>
      <c r="F855" t="s">
        <v>74</v>
      </c>
      <c r="G855" t="s">
        <v>112</v>
      </c>
      <c r="H855" t="s">
        <v>84</v>
      </c>
      <c r="I855" s="76">
        <v>0</v>
      </c>
    </row>
    <row r="856" spans="1:9" x14ac:dyDescent="0.35">
      <c r="A856" t="s">
        <v>15</v>
      </c>
      <c r="B856" t="s">
        <v>90</v>
      </c>
      <c r="C856" t="s">
        <v>81</v>
      </c>
      <c r="D856" t="s">
        <v>131</v>
      </c>
      <c r="E856" t="s">
        <v>73</v>
      </c>
      <c r="F856" t="s">
        <v>74</v>
      </c>
      <c r="G856" t="s">
        <v>112</v>
      </c>
      <c r="H856" t="s">
        <v>84</v>
      </c>
      <c r="I856" s="76">
        <f>'SUT_EU27 total'!$R$58</f>
        <v>0</v>
      </c>
    </row>
    <row r="857" spans="1:9" x14ac:dyDescent="0.35">
      <c r="A857" t="s">
        <v>15</v>
      </c>
      <c r="B857" t="s">
        <v>90</v>
      </c>
      <c r="C857" t="s">
        <v>81</v>
      </c>
      <c r="D857" t="s">
        <v>122</v>
      </c>
      <c r="E857" t="s">
        <v>73</v>
      </c>
      <c r="F857" t="s">
        <v>74</v>
      </c>
      <c r="G857" t="s">
        <v>112</v>
      </c>
      <c r="H857" t="s">
        <v>84</v>
      </c>
      <c r="I857" s="76">
        <f>'SUT_EU27 total'!$R$64</f>
        <v>6.4108466461028498E-4</v>
      </c>
    </row>
    <row r="858" spans="1:9" x14ac:dyDescent="0.35">
      <c r="A858" t="s">
        <v>15</v>
      </c>
      <c r="B858" t="s">
        <v>90</v>
      </c>
      <c r="C858" t="s">
        <v>81</v>
      </c>
      <c r="D858" t="s">
        <v>101</v>
      </c>
      <c r="E858" t="s">
        <v>73</v>
      </c>
      <c r="F858" t="s">
        <v>74</v>
      </c>
      <c r="G858" t="s">
        <v>112</v>
      </c>
      <c r="H858" t="s">
        <v>84</v>
      </c>
      <c r="I858" s="76" cm="1">
        <f t="array" ref="I858:I860">'SUT_EU27 total'!$R$66:$R$68</f>
        <v>0</v>
      </c>
    </row>
    <row r="859" spans="1:9" x14ac:dyDescent="0.35">
      <c r="A859" t="s">
        <v>15</v>
      </c>
      <c r="B859" t="s">
        <v>90</v>
      </c>
      <c r="C859" t="s">
        <v>81</v>
      </c>
      <c r="D859" t="s">
        <v>104</v>
      </c>
      <c r="E859" t="s">
        <v>73</v>
      </c>
      <c r="F859" t="s">
        <v>74</v>
      </c>
      <c r="G859" t="s">
        <v>112</v>
      </c>
      <c r="H859" t="s">
        <v>84</v>
      </c>
      <c r="I859" s="76">
        <v>0</v>
      </c>
    </row>
    <row r="860" spans="1:9" x14ac:dyDescent="0.35">
      <c r="A860" t="s">
        <v>15</v>
      </c>
      <c r="B860" t="s">
        <v>90</v>
      </c>
      <c r="C860" t="s">
        <v>81</v>
      </c>
      <c r="D860" t="s">
        <v>106</v>
      </c>
      <c r="E860" t="s">
        <v>73</v>
      </c>
      <c r="F860" t="s">
        <v>74</v>
      </c>
      <c r="G860" t="s">
        <v>112</v>
      </c>
      <c r="H860" t="s">
        <v>84</v>
      </c>
      <c r="I860" s="76">
        <v>0</v>
      </c>
    </row>
    <row r="861" spans="1:9" x14ac:dyDescent="0.35">
      <c r="A861" t="s">
        <v>15</v>
      </c>
      <c r="B861" t="s">
        <v>91</v>
      </c>
      <c r="C861" t="s">
        <v>81</v>
      </c>
      <c r="D861" t="s">
        <v>131</v>
      </c>
      <c r="E861" t="s">
        <v>73</v>
      </c>
      <c r="F861" t="s">
        <v>74</v>
      </c>
      <c r="G861" t="s">
        <v>112</v>
      </c>
      <c r="H861" t="s">
        <v>84</v>
      </c>
      <c r="I861" s="76">
        <f>'SUT_EU27 total'!$R$75</f>
        <v>0</v>
      </c>
    </row>
    <row r="862" spans="1:9" x14ac:dyDescent="0.35">
      <c r="A862" t="s">
        <v>15</v>
      </c>
      <c r="B862" t="s">
        <v>91</v>
      </c>
      <c r="C862" t="s">
        <v>81</v>
      </c>
      <c r="D862" t="s">
        <v>122</v>
      </c>
      <c r="E862" t="s">
        <v>73</v>
      </c>
      <c r="F862" t="s">
        <v>74</v>
      </c>
      <c r="G862" t="s">
        <v>112</v>
      </c>
      <c r="H862" t="s">
        <v>84</v>
      </c>
      <c r="I862" s="76">
        <f>'SUT_EU27 total'!$R$81</f>
        <v>0</v>
      </c>
    </row>
    <row r="863" spans="1:9" x14ac:dyDescent="0.35">
      <c r="A863" t="s">
        <v>15</v>
      </c>
      <c r="B863" t="s">
        <v>91</v>
      </c>
      <c r="C863" t="s">
        <v>81</v>
      </c>
      <c r="D863" t="s">
        <v>101</v>
      </c>
      <c r="E863" t="s">
        <v>73</v>
      </c>
      <c r="F863" t="s">
        <v>74</v>
      </c>
      <c r="G863" t="s">
        <v>112</v>
      </c>
      <c r="H863" t="s">
        <v>84</v>
      </c>
      <c r="I863" s="76" cm="1">
        <f t="array" ref="I863:I865">'SUT_EU27 total'!$R$83:$R$85</f>
        <v>0</v>
      </c>
    </row>
    <row r="864" spans="1:9" x14ac:dyDescent="0.35">
      <c r="A864" t="s">
        <v>15</v>
      </c>
      <c r="B864" t="s">
        <v>91</v>
      </c>
      <c r="C864" t="s">
        <v>81</v>
      </c>
      <c r="D864" t="s">
        <v>104</v>
      </c>
      <c r="E864" t="s">
        <v>73</v>
      </c>
      <c r="F864" t="s">
        <v>74</v>
      </c>
      <c r="G864" t="s">
        <v>112</v>
      </c>
      <c r="H864" t="s">
        <v>84</v>
      </c>
      <c r="I864" s="76">
        <v>0</v>
      </c>
    </row>
    <row r="865" spans="1:9" x14ac:dyDescent="0.35">
      <c r="A865" t="s">
        <v>15</v>
      </c>
      <c r="B865" t="s">
        <v>91</v>
      </c>
      <c r="C865" t="s">
        <v>81</v>
      </c>
      <c r="D865" t="s">
        <v>106</v>
      </c>
      <c r="E865" t="s">
        <v>73</v>
      </c>
      <c r="F865" t="s">
        <v>74</v>
      </c>
      <c r="G865" t="s">
        <v>112</v>
      </c>
      <c r="H865" t="s">
        <v>84</v>
      </c>
      <c r="I865" s="76">
        <v>0</v>
      </c>
    </row>
    <row r="866" spans="1:9" x14ac:dyDescent="0.35">
      <c r="A866" t="s">
        <v>15</v>
      </c>
      <c r="B866" t="s">
        <v>92</v>
      </c>
      <c r="C866" t="s">
        <v>81</v>
      </c>
      <c r="D866" t="s">
        <v>131</v>
      </c>
      <c r="E866" t="s">
        <v>73</v>
      </c>
      <c r="F866" t="s">
        <v>74</v>
      </c>
      <c r="G866" t="s">
        <v>112</v>
      </c>
      <c r="H866" t="s">
        <v>84</v>
      </c>
      <c r="I866" s="76">
        <f>'SUT_EU27 total'!$R$92</f>
        <v>0</v>
      </c>
    </row>
    <row r="867" spans="1:9" x14ac:dyDescent="0.35">
      <c r="A867" t="s">
        <v>15</v>
      </c>
      <c r="B867" t="s">
        <v>92</v>
      </c>
      <c r="C867" t="s">
        <v>81</v>
      </c>
      <c r="D867" t="s">
        <v>122</v>
      </c>
      <c r="E867" t="s">
        <v>73</v>
      </c>
      <c r="F867" t="s">
        <v>74</v>
      </c>
      <c r="G867" t="s">
        <v>112</v>
      </c>
      <c r="H867" t="s">
        <v>84</v>
      </c>
      <c r="I867" s="76">
        <f>'SUT_EU27 total'!$R$98</f>
        <v>0</v>
      </c>
    </row>
    <row r="868" spans="1:9" x14ac:dyDescent="0.35">
      <c r="A868" t="s">
        <v>15</v>
      </c>
      <c r="B868" t="s">
        <v>92</v>
      </c>
      <c r="C868" t="s">
        <v>81</v>
      </c>
      <c r="D868" t="s">
        <v>101</v>
      </c>
      <c r="E868" t="s">
        <v>73</v>
      </c>
      <c r="F868" t="s">
        <v>74</v>
      </c>
      <c r="G868" t="s">
        <v>112</v>
      </c>
      <c r="H868" t="s">
        <v>84</v>
      </c>
      <c r="I868" s="76" cm="1">
        <f t="array" ref="I868:I870">'SUT_EU27 total'!$R$100:$R$102</f>
        <v>0</v>
      </c>
    </row>
    <row r="869" spans="1:9" x14ac:dyDescent="0.35">
      <c r="A869" t="s">
        <v>15</v>
      </c>
      <c r="B869" t="s">
        <v>92</v>
      </c>
      <c r="C869" t="s">
        <v>81</v>
      </c>
      <c r="D869" t="s">
        <v>104</v>
      </c>
      <c r="E869" t="s">
        <v>73</v>
      </c>
      <c r="F869" t="s">
        <v>74</v>
      </c>
      <c r="G869" t="s">
        <v>112</v>
      </c>
      <c r="H869" t="s">
        <v>84</v>
      </c>
      <c r="I869" s="76">
        <v>0</v>
      </c>
    </row>
    <row r="870" spans="1:9" x14ac:dyDescent="0.35">
      <c r="A870" t="s">
        <v>15</v>
      </c>
      <c r="B870" t="s">
        <v>92</v>
      </c>
      <c r="C870" t="s">
        <v>81</v>
      </c>
      <c r="D870" t="s">
        <v>106</v>
      </c>
      <c r="E870" t="s">
        <v>73</v>
      </c>
      <c r="F870" t="s">
        <v>74</v>
      </c>
      <c r="G870" t="s">
        <v>112</v>
      </c>
      <c r="H870" t="s">
        <v>84</v>
      </c>
      <c r="I870" s="76">
        <v>0</v>
      </c>
    </row>
    <row r="871" spans="1:9" x14ac:dyDescent="0.35">
      <c r="A871" t="s">
        <v>15</v>
      </c>
      <c r="B871" t="s">
        <v>93</v>
      </c>
      <c r="C871" t="s">
        <v>81</v>
      </c>
      <c r="D871" t="s">
        <v>131</v>
      </c>
      <c r="E871" t="s">
        <v>73</v>
      </c>
      <c r="F871" t="s">
        <v>74</v>
      </c>
      <c r="G871" t="s">
        <v>112</v>
      </c>
      <c r="H871" t="s">
        <v>84</v>
      </c>
      <c r="I871" s="76">
        <f>'SUT_EU27 total'!$R$109</f>
        <v>0</v>
      </c>
    </row>
    <row r="872" spans="1:9" x14ac:dyDescent="0.35">
      <c r="A872" t="s">
        <v>15</v>
      </c>
      <c r="B872" t="s">
        <v>93</v>
      </c>
      <c r="C872" t="s">
        <v>81</v>
      </c>
      <c r="D872" t="s">
        <v>122</v>
      </c>
      <c r="E872" t="s">
        <v>73</v>
      </c>
      <c r="F872" t="s">
        <v>74</v>
      </c>
      <c r="G872" t="s">
        <v>112</v>
      </c>
      <c r="H872" t="s">
        <v>84</v>
      </c>
      <c r="I872" s="76">
        <f>'SUT_EU27 total'!$R$115</f>
        <v>2.188358424259166E-3</v>
      </c>
    </row>
    <row r="873" spans="1:9" x14ac:dyDescent="0.35">
      <c r="A873" t="s">
        <v>15</v>
      </c>
      <c r="B873" t="s">
        <v>93</v>
      </c>
      <c r="C873" t="s">
        <v>81</v>
      </c>
      <c r="D873" t="s">
        <v>101</v>
      </c>
      <c r="E873" t="s">
        <v>73</v>
      </c>
      <c r="F873" t="s">
        <v>74</v>
      </c>
      <c r="G873" t="s">
        <v>112</v>
      </c>
      <c r="H873" t="s">
        <v>84</v>
      </c>
      <c r="I873" s="76" cm="1">
        <f t="array" ref="I873:I875">'SUT_EU27 total'!$R$117:$R$119</f>
        <v>0</v>
      </c>
    </row>
    <row r="874" spans="1:9" x14ac:dyDescent="0.35">
      <c r="A874" t="s">
        <v>15</v>
      </c>
      <c r="B874" t="s">
        <v>93</v>
      </c>
      <c r="C874" t="s">
        <v>81</v>
      </c>
      <c r="D874" t="s">
        <v>104</v>
      </c>
      <c r="E874" t="s">
        <v>73</v>
      </c>
      <c r="F874" t="s">
        <v>74</v>
      </c>
      <c r="G874" t="s">
        <v>112</v>
      </c>
      <c r="H874" t="s">
        <v>84</v>
      </c>
      <c r="I874" s="76">
        <v>0</v>
      </c>
    </row>
    <row r="875" spans="1:9" x14ac:dyDescent="0.35">
      <c r="A875" t="s">
        <v>15</v>
      </c>
      <c r="B875" t="s">
        <v>93</v>
      </c>
      <c r="C875" t="s">
        <v>81</v>
      </c>
      <c r="D875" t="s">
        <v>106</v>
      </c>
      <c r="E875" t="s">
        <v>73</v>
      </c>
      <c r="F875" t="s">
        <v>74</v>
      </c>
      <c r="G875" t="s">
        <v>112</v>
      </c>
      <c r="H875" t="s">
        <v>84</v>
      </c>
      <c r="I875" s="76">
        <v>0</v>
      </c>
    </row>
    <row r="876" spans="1:9" x14ac:dyDescent="0.35">
      <c r="A876" t="s">
        <v>15</v>
      </c>
      <c r="B876" t="s">
        <v>73</v>
      </c>
      <c r="C876" t="s">
        <v>81</v>
      </c>
      <c r="D876" t="s">
        <v>131</v>
      </c>
      <c r="E876" t="s">
        <v>73</v>
      </c>
      <c r="F876" t="s">
        <v>74</v>
      </c>
      <c r="G876" t="s">
        <v>113</v>
      </c>
      <c r="H876" t="s">
        <v>84</v>
      </c>
      <c r="I876" s="76">
        <f>'SUT_EU27 total'!$S$24</f>
        <v>5.0294789999999994E-8</v>
      </c>
    </row>
    <row r="877" spans="1:9" x14ac:dyDescent="0.35">
      <c r="A877" t="s">
        <v>15</v>
      </c>
      <c r="B877" t="s">
        <v>73</v>
      </c>
      <c r="C877" t="s">
        <v>81</v>
      </c>
      <c r="D877" t="s">
        <v>101</v>
      </c>
      <c r="E877" t="s">
        <v>73</v>
      </c>
      <c r="F877" t="s">
        <v>74</v>
      </c>
      <c r="G877" t="s">
        <v>113</v>
      </c>
      <c r="H877" t="s">
        <v>84</v>
      </c>
      <c r="I877" s="76" cm="1">
        <f t="array" ref="I877:I879">'SUT_EU27 total'!$S$32:$S$34</f>
        <v>1.7883556705882356E-5</v>
      </c>
    </row>
    <row r="878" spans="1:9" x14ac:dyDescent="0.35">
      <c r="A878" t="s">
        <v>15</v>
      </c>
      <c r="B878" t="s">
        <v>73</v>
      </c>
      <c r="C878" t="s">
        <v>81</v>
      </c>
      <c r="D878" t="s">
        <v>104</v>
      </c>
      <c r="E878" t="s">
        <v>73</v>
      </c>
      <c r="F878" t="s">
        <v>74</v>
      </c>
      <c r="G878" t="s">
        <v>113</v>
      </c>
      <c r="H878" t="s">
        <v>84</v>
      </c>
      <c r="I878" s="76">
        <v>3.3860913882352942E-5</v>
      </c>
    </row>
    <row r="879" spans="1:9" x14ac:dyDescent="0.35">
      <c r="A879" t="s">
        <v>15</v>
      </c>
      <c r="B879" t="s">
        <v>73</v>
      </c>
      <c r="C879" t="s">
        <v>81</v>
      </c>
      <c r="D879" t="s">
        <v>106</v>
      </c>
      <c r="E879" t="s">
        <v>73</v>
      </c>
      <c r="F879" t="s">
        <v>74</v>
      </c>
      <c r="G879" t="s">
        <v>113</v>
      </c>
      <c r="H879" t="s">
        <v>84</v>
      </c>
      <c r="I879" s="76">
        <v>1.1517317647058823E-4</v>
      </c>
    </row>
    <row r="880" spans="1:9" x14ac:dyDescent="0.35">
      <c r="A880" t="s">
        <v>15</v>
      </c>
      <c r="B880" t="s">
        <v>88</v>
      </c>
      <c r="C880" t="s">
        <v>81</v>
      </c>
      <c r="D880" t="s">
        <v>131</v>
      </c>
      <c r="E880" t="s">
        <v>73</v>
      </c>
      <c r="F880" t="s">
        <v>74</v>
      </c>
      <c r="G880" t="s">
        <v>113</v>
      </c>
      <c r="H880" t="s">
        <v>84</v>
      </c>
      <c r="I880" s="76">
        <f>'SUT_EU27 total'!$S$41</f>
        <v>0</v>
      </c>
    </row>
    <row r="881" spans="1:9" x14ac:dyDescent="0.35">
      <c r="A881" t="s">
        <v>15</v>
      </c>
      <c r="B881" t="s">
        <v>88</v>
      </c>
      <c r="C881" t="s">
        <v>81</v>
      </c>
      <c r="D881" t="s">
        <v>101</v>
      </c>
      <c r="E881" t="s">
        <v>73</v>
      </c>
      <c r="F881" t="s">
        <v>74</v>
      </c>
      <c r="G881" t="s">
        <v>113</v>
      </c>
      <c r="H881" t="s">
        <v>84</v>
      </c>
      <c r="I881" s="76" cm="1">
        <f t="array" ref="I881:I883">'SUT_EU27 total'!$S$49:$S$51</f>
        <v>0</v>
      </c>
    </row>
    <row r="882" spans="1:9" x14ac:dyDescent="0.35">
      <c r="A882" t="s">
        <v>15</v>
      </c>
      <c r="B882" t="s">
        <v>88</v>
      </c>
      <c r="C882" t="s">
        <v>81</v>
      </c>
      <c r="D882" t="s">
        <v>104</v>
      </c>
      <c r="E882" t="s">
        <v>73</v>
      </c>
      <c r="F882" t="s">
        <v>74</v>
      </c>
      <c r="G882" t="s">
        <v>113</v>
      </c>
      <c r="H882" t="s">
        <v>84</v>
      </c>
      <c r="I882" s="76">
        <v>0</v>
      </c>
    </row>
    <row r="883" spans="1:9" x14ac:dyDescent="0.35">
      <c r="A883" t="s">
        <v>15</v>
      </c>
      <c r="B883" t="s">
        <v>88</v>
      </c>
      <c r="C883" t="s">
        <v>81</v>
      </c>
      <c r="D883" t="s">
        <v>106</v>
      </c>
      <c r="E883" t="s">
        <v>73</v>
      </c>
      <c r="F883" t="s">
        <v>74</v>
      </c>
      <c r="G883" t="s">
        <v>113</v>
      </c>
      <c r="H883" t="s">
        <v>84</v>
      </c>
      <c r="I883" s="76">
        <v>0</v>
      </c>
    </row>
    <row r="884" spans="1:9" x14ac:dyDescent="0.35">
      <c r="A884" t="s">
        <v>15</v>
      </c>
      <c r="B884" t="s">
        <v>90</v>
      </c>
      <c r="C884" t="s">
        <v>81</v>
      </c>
      <c r="D884" t="s">
        <v>131</v>
      </c>
      <c r="E884" t="s">
        <v>73</v>
      </c>
      <c r="F884" t="s">
        <v>74</v>
      </c>
      <c r="G884" t="s">
        <v>113</v>
      </c>
      <c r="H884" t="s">
        <v>84</v>
      </c>
      <c r="I884" s="76">
        <f>'SUT_EU27 total'!$S$58</f>
        <v>0</v>
      </c>
    </row>
    <row r="885" spans="1:9" x14ac:dyDescent="0.35">
      <c r="A885" t="s">
        <v>15</v>
      </c>
      <c r="B885" t="s">
        <v>90</v>
      </c>
      <c r="C885" t="s">
        <v>81</v>
      </c>
      <c r="D885" t="s">
        <v>101</v>
      </c>
      <c r="E885" t="s">
        <v>73</v>
      </c>
      <c r="F885" t="s">
        <v>74</v>
      </c>
      <c r="G885" t="s">
        <v>113</v>
      </c>
      <c r="H885" t="s">
        <v>84</v>
      </c>
      <c r="I885" s="76" cm="1">
        <f t="array" ref="I885:I887">'SUT_EU27 total'!$S$66:$S$68</f>
        <v>0</v>
      </c>
    </row>
    <row r="886" spans="1:9" x14ac:dyDescent="0.35">
      <c r="A886" t="s">
        <v>15</v>
      </c>
      <c r="B886" t="s">
        <v>90</v>
      </c>
      <c r="C886" t="s">
        <v>81</v>
      </c>
      <c r="D886" t="s">
        <v>104</v>
      </c>
      <c r="E886" t="s">
        <v>73</v>
      </c>
      <c r="F886" t="s">
        <v>74</v>
      </c>
      <c r="G886" t="s">
        <v>113</v>
      </c>
      <c r="H886" t="s">
        <v>84</v>
      </c>
      <c r="I886" s="76">
        <v>0</v>
      </c>
    </row>
    <row r="887" spans="1:9" x14ac:dyDescent="0.35">
      <c r="A887" t="s">
        <v>15</v>
      </c>
      <c r="B887" t="s">
        <v>90</v>
      </c>
      <c r="C887" t="s">
        <v>81</v>
      </c>
      <c r="D887" t="s">
        <v>106</v>
      </c>
      <c r="E887" t="s">
        <v>73</v>
      </c>
      <c r="F887" t="s">
        <v>74</v>
      </c>
      <c r="G887" t="s">
        <v>113</v>
      </c>
      <c r="H887" t="s">
        <v>84</v>
      </c>
      <c r="I887" s="76">
        <v>0</v>
      </c>
    </row>
    <row r="888" spans="1:9" x14ac:dyDescent="0.35">
      <c r="A888" t="s">
        <v>15</v>
      </c>
      <c r="B888" t="s">
        <v>91</v>
      </c>
      <c r="C888" t="s">
        <v>81</v>
      </c>
      <c r="D888" t="s">
        <v>131</v>
      </c>
      <c r="E888" t="s">
        <v>73</v>
      </c>
      <c r="F888" t="s">
        <v>74</v>
      </c>
      <c r="G888" t="s">
        <v>113</v>
      </c>
      <c r="H888" t="s">
        <v>84</v>
      </c>
      <c r="I888" s="76">
        <f>'SUT_EU27 total'!$S$75</f>
        <v>0</v>
      </c>
    </row>
    <row r="889" spans="1:9" x14ac:dyDescent="0.35">
      <c r="A889" t="s">
        <v>15</v>
      </c>
      <c r="B889" t="s">
        <v>91</v>
      </c>
      <c r="C889" t="s">
        <v>81</v>
      </c>
      <c r="D889" t="s">
        <v>101</v>
      </c>
      <c r="E889" t="s">
        <v>73</v>
      </c>
      <c r="F889" t="s">
        <v>74</v>
      </c>
      <c r="G889" t="s">
        <v>113</v>
      </c>
      <c r="H889" t="s">
        <v>84</v>
      </c>
      <c r="I889" s="76" cm="1">
        <f t="array" ref="I889:I891">'SUT_EU27 total'!$S$83:$S$85</f>
        <v>0</v>
      </c>
    </row>
    <row r="890" spans="1:9" x14ac:dyDescent="0.35">
      <c r="A890" t="s">
        <v>15</v>
      </c>
      <c r="B890" t="s">
        <v>91</v>
      </c>
      <c r="C890" t="s">
        <v>81</v>
      </c>
      <c r="D890" t="s">
        <v>104</v>
      </c>
      <c r="E890" t="s">
        <v>73</v>
      </c>
      <c r="F890" t="s">
        <v>74</v>
      </c>
      <c r="G890" t="s">
        <v>113</v>
      </c>
      <c r="H890" t="s">
        <v>84</v>
      </c>
      <c r="I890" s="76">
        <v>0</v>
      </c>
    </row>
    <row r="891" spans="1:9" x14ac:dyDescent="0.35">
      <c r="A891" t="s">
        <v>15</v>
      </c>
      <c r="B891" t="s">
        <v>91</v>
      </c>
      <c r="C891" t="s">
        <v>81</v>
      </c>
      <c r="D891" t="s">
        <v>106</v>
      </c>
      <c r="E891" t="s">
        <v>73</v>
      </c>
      <c r="F891" t="s">
        <v>74</v>
      </c>
      <c r="G891" t="s">
        <v>113</v>
      </c>
      <c r="H891" t="s">
        <v>84</v>
      </c>
      <c r="I891" s="76">
        <v>0</v>
      </c>
    </row>
    <row r="892" spans="1:9" x14ac:dyDescent="0.35">
      <c r="A892" t="s">
        <v>15</v>
      </c>
      <c r="B892" t="s">
        <v>92</v>
      </c>
      <c r="C892" t="s">
        <v>81</v>
      </c>
      <c r="D892" t="s">
        <v>131</v>
      </c>
      <c r="E892" t="s">
        <v>73</v>
      </c>
      <c r="F892" t="s">
        <v>74</v>
      </c>
      <c r="G892" t="s">
        <v>113</v>
      </c>
      <c r="H892" t="s">
        <v>84</v>
      </c>
      <c r="I892" s="76">
        <f>'SUT_EU27 total'!$S$92</f>
        <v>0</v>
      </c>
    </row>
    <row r="893" spans="1:9" x14ac:dyDescent="0.35">
      <c r="A893" t="s">
        <v>15</v>
      </c>
      <c r="B893" t="s">
        <v>92</v>
      </c>
      <c r="C893" t="s">
        <v>81</v>
      </c>
      <c r="D893" t="s">
        <v>101</v>
      </c>
      <c r="E893" t="s">
        <v>73</v>
      </c>
      <c r="F893" t="s">
        <v>74</v>
      </c>
      <c r="G893" t="s">
        <v>113</v>
      </c>
      <c r="H893" t="s">
        <v>84</v>
      </c>
      <c r="I893" s="76" cm="1">
        <f t="array" ref="I893:I895">'SUT_EU27 total'!$S$100:$S$102</f>
        <v>0</v>
      </c>
    </row>
    <row r="894" spans="1:9" x14ac:dyDescent="0.35">
      <c r="A894" t="s">
        <v>15</v>
      </c>
      <c r="B894" t="s">
        <v>92</v>
      </c>
      <c r="C894" t="s">
        <v>81</v>
      </c>
      <c r="D894" t="s">
        <v>104</v>
      </c>
      <c r="E894" t="s">
        <v>73</v>
      </c>
      <c r="F894" t="s">
        <v>74</v>
      </c>
      <c r="G894" t="s">
        <v>113</v>
      </c>
      <c r="H894" t="s">
        <v>84</v>
      </c>
      <c r="I894" s="76">
        <v>0</v>
      </c>
    </row>
    <row r="895" spans="1:9" x14ac:dyDescent="0.35">
      <c r="A895" t="s">
        <v>15</v>
      </c>
      <c r="B895" t="s">
        <v>92</v>
      </c>
      <c r="C895" t="s">
        <v>81</v>
      </c>
      <c r="D895" t="s">
        <v>106</v>
      </c>
      <c r="E895" t="s">
        <v>73</v>
      </c>
      <c r="F895" t="s">
        <v>74</v>
      </c>
      <c r="G895" t="s">
        <v>113</v>
      </c>
      <c r="H895" t="s">
        <v>84</v>
      </c>
      <c r="I895" s="76">
        <v>0</v>
      </c>
    </row>
    <row r="896" spans="1:9" x14ac:dyDescent="0.35">
      <c r="A896" t="s">
        <v>15</v>
      </c>
      <c r="B896" t="s">
        <v>93</v>
      </c>
      <c r="C896" t="s">
        <v>81</v>
      </c>
      <c r="D896" t="s">
        <v>131</v>
      </c>
      <c r="E896" t="s">
        <v>73</v>
      </c>
      <c r="F896" t="s">
        <v>74</v>
      </c>
      <c r="G896" t="s">
        <v>113</v>
      </c>
      <c r="H896" t="s">
        <v>84</v>
      </c>
      <c r="I896" s="76">
        <f>'SUT_EU27 total'!$S$109</f>
        <v>0</v>
      </c>
    </row>
    <row r="897" spans="1:9" x14ac:dyDescent="0.35">
      <c r="A897" t="s">
        <v>15</v>
      </c>
      <c r="B897" t="s">
        <v>93</v>
      </c>
      <c r="C897" t="s">
        <v>81</v>
      </c>
      <c r="D897" t="s">
        <v>101</v>
      </c>
      <c r="E897" t="s">
        <v>73</v>
      </c>
      <c r="F897" t="s">
        <v>74</v>
      </c>
      <c r="G897" t="s">
        <v>113</v>
      </c>
      <c r="H897" t="s">
        <v>84</v>
      </c>
      <c r="I897" s="76" cm="1">
        <f t="array" ref="I897:I899">'SUT_EU27 total'!$S$117:$S$119</f>
        <v>0</v>
      </c>
    </row>
    <row r="898" spans="1:9" x14ac:dyDescent="0.35">
      <c r="A898" t="s">
        <v>15</v>
      </c>
      <c r="B898" t="s">
        <v>93</v>
      </c>
      <c r="C898" t="s">
        <v>81</v>
      </c>
      <c r="D898" t="s">
        <v>104</v>
      </c>
      <c r="E898" t="s">
        <v>73</v>
      </c>
      <c r="F898" t="s">
        <v>74</v>
      </c>
      <c r="G898" t="s">
        <v>113</v>
      </c>
      <c r="H898" t="s">
        <v>84</v>
      </c>
      <c r="I898" s="76">
        <v>0</v>
      </c>
    </row>
    <row r="899" spans="1:9" x14ac:dyDescent="0.35">
      <c r="A899" t="s">
        <v>15</v>
      </c>
      <c r="B899" t="s">
        <v>93</v>
      </c>
      <c r="C899" t="s">
        <v>81</v>
      </c>
      <c r="D899" t="s">
        <v>106</v>
      </c>
      <c r="E899" t="s">
        <v>73</v>
      </c>
      <c r="F899" t="s">
        <v>74</v>
      </c>
      <c r="G899" t="s">
        <v>113</v>
      </c>
      <c r="H899" t="s">
        <v>84</v>
      </c>
      <c r="I899" s="76">
        <v>0</v>
      </c>
    </row>
    <row r="900" spans="1:9" x14ac:dyDescent="0.35">
      <c r="A900" t="s">
        <v>15</v>
      </c>
      <c r="B900" t="s">
        <v>73</v>
      </c>
      <c r="C900" t="s">
        <v>74</v>
      </c>
      <c r="D900" t="s">
        <v>123</v>
      </c>
      <c r="E900" t="s">
        <v>73</v>
      </c>
      <c r="F900" t="s">
        <v>81</v>
      </c>
      <c r="G900" t="s">
        <v>115</v>
      </c>
      <c r="H900" t="s">
        <v>84</v>
      </c>
      <c r="I900" s="76" cm="1">
        <f t="array" ref="I900:I906">TRANSPOSE('2030 pathways'!C10:I10)</f>
        <v>0.1003</v>
      </c>
    </row>
    <row r="901" spans="1:9" x14ac:dyDescent="0.35">
      <c r="A901" t="s">
        <v>15</v>
      </c>
      <c r="B901" t="s">
        <v>73</v>
      </c>
      <c r="C901" t="s">
        <v>74</v>
      </c>
      <c r="D901" t="s">
        <v>127</v>
      </c>
      <c r="E901" t="s">
        <v>73</v>
      </c>
      <c r="F901" t="s">
        <v>81</v>
      </c>
      <c r="G901" t="s">
        <v>115</v>
      </c>
      <c r="H901" t="s">
        <v>84</v>
      </c>
      <c r="I901" s="76">
        <v>2.9499999999999998E-2</v>
      </c>
    </row>
    <row r="902" spans="1:9" x14ac:dyDescent="0.35">
      <c r="A902" t="s">
        <v>15</v>
      </c>
      <c r="B902" t="s">
        <v>73</v>
      </c>
      <c r="C902" t="s">
        <v>74</v>
      </c>
      <c r="D902" t="s">
        <v>128</v>
      </c>
      <c r="E902" t="s">
        <v>73</v>
      </c>
      <c r="F902" t="s">
        <v>81</v>
      </c>
      <c r="G902" t="s">
        <v>115</v>
      </c>
      <c r="H902" t="s">
        <v>84</v>
      </c>
      <c r="I902" s="76">
        <v>8.8499999999999995E-2</v>
      </c>
    </row>
    <row r="903" spans="1:9" x14ac:dyDescent="0.35">
      <c r="A903" t="s">
        <v>15</v>
      </c>
      <c r="B903" t="s">
        <v>73</v>
      </c>
      <c r="C903" t="s">
        <v>74</v>
      </c>
      <c r="D903" t="s">
        <v>129</v>
      </c>
      <c r="E903" t="s">
        <v>73</v>
      </c>
      <c r="F903" t="s">
        <v>81</v>
      </c>
      <c r="G903" t="s">
        <v>115</v>
      </c>
      <c r="H903" t="s">
        <v>84</v>
      </c>
      <c r="I903" s="76">
        <v>5.8999999999999999E-3</v>
      </c>
    </row>
    <row r="904" spans="1:9" x14ac:dyDescent="0.35">
      <c r="A904" t="s">
        <v>15</v>
      </c>
      <c r="B904" t="s">
        <v>73</v>
      </c>
      <c r="C904" t="s">
        <v>74</v>
      </c>
      <c r="D904" t="s">
        <v>77</v>
      </c>
      <c r="E904" t="s">
        <v>73</v>
      </c>
      <c r="F904" t="s">
        <v>81</v>
      </c>
      <c r="G904" t="s">
        <v>115</v>
      </c>
      <c r="H904" t="s">
        <v>84</v>
      </c>
      <c r="I904" s="76">
        <v>5.8999999999999999E-3</v>
      </c>
    </row>
    <row r="905" spans="1:9" x14ac:dyDescent="0.35">
      <c r="A905" t="s">
        <v>15</v>
      </c>
      <c r="B905" t="s">
        <v>73</v>
      </c>
      <c r="C905" t="s">
        <v>74</v>
      </c>
      <c r="D905" t="s">
        <v>130</v>
      </c>
      <c r="E905" t="s">
        <v>73</v>
      </c>
      <c r="F905" t="s">
        <v>81</v>
      </c>
      <c r="G905" t="s">
        <v>115</v>
      </c>
      <c r="H905" t="s">
        <v>84</v>
      </c>
      <c r="I905" s="76">
        <v>0.3599</v>
      </c>
    </row>
    <row r="906" spans="1:9" x14ac:dyDescent="0.35">
      <c r="A906" t="s">
        <v>15</v>
      </c>
      <c r="B906" t="s">
        <v>73</v>
      </c>
      <c r="C906" t="s">
        <v>74</v>
      </c>
      <c r="D906" t="s">
        <v>132</v>
      </c>
      <c r="E906" t="s">
        <v>73</v>
      </c>
      <c r="F906" t="s">
        <v>81</v>
      </c>
      <c r="G906" t="s">
        <v>115</v>
      </c>
      <c r="H906" t="s">
        <v>84</v>
      </c>
      <c r="I906" s="76">
        <v>0.41</v>
      </c>
    </row>
    <row r="907" spans="1:9" x14ac:dyDescent="0.35">
      <c r="A907" t="s">
        <v>15</v>
      </c>
      <c r="B907" t="s">
        <v>73</v>
      </c>
      <c r="C907" t="s">
        <v>74</v>
      </c>
      <c r="D907" t="s">
        <v>133</v>
      </c>
      <c r="E907" t="s">
        <v>73</v>
      </c>
      <c r="F907" t="s">
        <v>81</v>
      </c>
      <c r="G907" t="s">
        <v>115</v>
      </c>
      <c r="H907" t="s">
        <v>84</v>
      </c>
      <c r="I907" s="76">
        <v>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774E-43A7-478C-9662-79607C9AFEEF}">
  <dimension ref="A1:I902"/>
  <sheetViews>
    <sheetView workbookViewId="0">
      <selection activeCell="C303" sqref="C303"/>
    </sheetView>
  </sheetViews>
  <sheetFormatPr defaultRowHeight="14.5" x14ac:dyDescent="0.35"/>
  <cols>
    <col min="1" max="1" width="21.54296875" bestFit="1" customWidth="1"/>
    <col min="2" max="2" width="11.1796875" bestFit="1" customWidth="1"/>
    <col min="3" max="3" width="10.453125" bestFit="1" customWidth="1"/>
    <col min="4" max="4" width="55.453125" bestFit="1" customWidth="1"/>
    <col min="5" max="5" width="14.1796875" bestFit="1" customWidth="1"/>
    <col min="6" max="6" width="12.54296875" bestFit="1" customWidth="1"/>
    <col min="7" max="7" width="33.54296875" bestFit="1" customWidth="1"/>
    <col min="9" max="9" width="13" style="4" bestFit="1" customWidth="1"/>
  </cols>
  <sheetData>
    <row r="1" spans="1:9" x14ac:dyDescent="0.35">
      <c r="A1" s="396" t="s">
        <v>114</v>
      </c>
      <c r="B1" s="396" t="s">
        <v>78</v>
      </c>
      <c r="C1" s="396" t="s">
        <v>79</v>
      </c>
      <c r="D1" s="396" t="s">
        <v>64</v>
      </c>
      <c r="E1" s="396" t="s">
        <v>65</v>
      </c>
      <c r="F1" s="396" t="s">
        <v>66</v>
      </c>
      <c r="G1" s="396" t="s">
        <v>67</v>
      </c>
      <c r="H1" s="396" t="s">
        <v>68</v>
      </c>
      <c r="I1" s="397" t="s">
        <v>69</v>
      </c>
    </row>
    <row r="2" spans="1:9" x14ac:dyDescent="0.35">
      <c r="A2" s="398" t="s">
        <v>18</v>
      </c>
      <c r="B2" s="399" t="s">
        <v>73</v>
      </c>
      <c r="C2" s="399" t="s">
        <v>81</v>
      </c>
      <c r="D2" s="399" t="s">
        <v>115</v>
      </c>
      <c r="E2" s="399" t="s">
        <v>73</v>
      </c>
      <c r="F2" s="399" t="s">
        <v>74</v>
      </c>
      <c r="G2" s="399" t="s">
        <v>102</v>
      </c>
      <c r="H2" s="399" t="s">
        <v>84</v>
      </c>
      <c r="I2" s="400" cm="1">
        <f t="array" ref="I2:I3">'SUT_EU27 total'!$J$19:$J$20</f>
        <v>11.828571428571427</v>
      </c>
    </row>
    <row r="3" spans="1:9" x14ac:dyDescent="0.35">
      <c r="A3" t="s">
        <v>18</v>
      </c>
      <c r="B3" t="s">
        <v>73</v>
      </c>
      <c r="C3" t="s">
        <v>81</v>
      </c>
      <c r="D3" t="s">
        <v>116</v>
      </c>
      <c r="E3" t="s">
        <v>73</v>
      </c>
      <c r="F3" t="s">
        <v>74</v>
      </c>
      <c r="G3" t="s">
        <v>102</v>
      </c>
      <c r="H3" t="s">
        <v>84</v>
      </c>
      <c r="I3" s="4">
        <v>3.3421988920214002E-2</v>
      </c>
    </row>
    <row r="4" spans="1:9" x14ac:dyDescent="0.35">
      <c r="A4" t="s">
        <v>18</v>
      </c>
      <c r="B4" t="s">
        <v>73</v>
      </c>
      <c r="C4" t="s">
        <v>81</v>
      </c>
      <c r="D4" t="s">
        <v>117</v>
      </c>
      <c r="E4" t="s">
        <v>73</v>
      </c>
      <c r="F4" t="s">
        <v>74</v>
      </c>
      <c r="G4" t="s">
        <v>102</v>
      </c>
      <c r="H4" t="s">
        <v>84</v>
      </c>
      <c r="I4" s="76">
        <f>'SUT_EU27 total'!$J$27</f>
        <v>20.996100000000002</v>
      </c>
    </row>
    <row r="5" spans="1:9" x14ac:dyDescent="0.35">
      <c r="A5" t="s">
        <v>18</v>
      </c>
      <c r="B5" t="s">
        <v>73</v>
      </c>
      <c r="C5" t="s">
        <v>81</v>
      </c>
      <c r="D5" t="s">
        <v>101</v>
      </c>
      <c r="E5" t="s">
        <v>73</v>
      </c>
      <c r="F5" t="s">
        <v>74</v>
      </c>
      <c r="G5" t="s">
        <v>102</v>
      </c>
      <c r="H5" t="s">
        <v>84</v>
      </c>
      <c r="I5" s="76" cm="1">
        <f t="array" ref="I5:I7">'SUT_EU27 total'!$J$32:$J$34</f>
        <v>0.13437998483817604</v>
      </c>
    </row>
    <row r="6" spans="1:9" x14ac:dyDescent="0.35">
      <c r="A6" t="s">
        <v>18</v>
      </c>
      <c r="B6" t="s">
        <v>73</v>
      </c>
      <c r="C6" t="s">
        <v>81</v>
      </c>
      <c r="D6" t="s">
        <v>104</v>
      </c>
      <c r="E6" t="s">
        <v>73</v>
      </c>
      <c r="F6" t="s">
        <v>74</v>
      </c>
      <c r="G6" t="s">
        <v>102</v>
      </c>
      <c r="H6" t="s">
        <v>84</v>
      </c>
      <c r="I6" s="4">
        <v>0.25443647306582401</v>
      </c>
    </row>
    <row r="7" spans="1:9" x14ac:dyDescent="0.35">
      <c r="A7" t="s">
        <v>18</v>
      </c>
      <c r="B7" t="s">
        <v>73</v>
      </c>
      <c r="C7" t="s">
        <v>81</v>
      </c>
      <c r="D7" t="s">
        <v>106</v>
      </c>
      <c r="E7" t="s">
        <v>73</v>
      </c>
      <c r="F7" t="s">
        <v>74</v>
      </c>
      <c r="G7" t="s">
        <v>102</v>
      </c>
      <c r="H7" t="s">
        <v>84</v>
      </c>
      <c r="I7" s="4">
        <v>0.86543018049599985</v>
      </c>
    </row>
    <row r="8" spans="1:9" x14ac:dyDescent="0.35">
      <c r="A8" t="s">
        <v>18</v>
      </c>
      <c r="B8" t="s">
        <v>88</v>
      </c>
      <c r="C8" t="s">
        <v>81</v>
      </c>
      <c r="D8" t="s">
        <v>115</v>
      </c>
      <c r="E8" t="s">
        <v>73</v>
      </c>
      <c r="F8" t="s">
        <v>74</v>
      </c>
      <c r="G8" t="s">
        <v>102</v>
      </c>
      <c r="H8" t="s">
        <v>84</v>
      </c>
      <c r="I8" s="76" cm="1">
        <f t="array" ref="I8:I9">'SUT_EU27 total'!$J$36:$J$37</f>
        <v>78.857142857142847</v>
      </c>
    </row>
    <row r="9" spans="1:9" x14ac:dyDescent="0.35">
      <c r="A9" t="s">
        <v>18</v>
      </c>
      <c r="B9" t="s">
        <v>88</v>
      </c>
      <c r="C9" t="s">
        <v>81</v>
      </c>
      <c r="D9" t="s">
        <v>116</v>
      </c>
      <c r="E9" t="s">
        <v>73</v>
      </c>
      <c r="F9" t="s">
        <v>74</v>
      </c>
      <c r="G9" t="s">
        <v>102</v>
      </c>
      <c r="H9" t="s">
        <v>84</v>
      </c>
      <c r="I9" s="4">
        <v>0.7862213561563367</v>
      </c>
    </row>
    <row r="10" spans="1:9" x14ac:dyDescent="0.35">
      <c r="A10" t="s">
        <v>18</v>
      </c>
      <c r="B10" t="s">
        <v>88</v>
      </c>
      <c r="C10" t="s">
        <v>81</v>
      </c>
      <c r="D10" t="s">
        <v>117</v>
      </c>
      <c r="E10" t="s">
        <v>73</v>
      </c>
      <c r="F10" t="s">
        <v>74</v>
      </c>
      <c r="G10" t="s">
        <v>102</v>
      </c>
      <c r="H10" t="s">
        <v>84</v>
      </c>
      <c r="I10" s="76">
        <f>'SUT_EU27 total'!$J$44</f>
        <v>286.26390000000004</v>
      </c>
    </row>
    <row r="11" spans="1:9" x14ac:dyDescent="0.35">
      <c r="A11" t="s">
        <v>18</v>
      </c>
      <c r="B11" t="s">
        <v>88</v>
      </c>
      <c r="C11" t="s">
        <v>81</v>
      </c>
      <c r="D11" t="s">
        <v>101</v>
      </c>
      <c r="E11" t="s">
        <v>73</v>
      </c>
      <c r="F11" t="s">
        <v>74</v>
      </c>
      <c r="G11" t="s">
        <v>102</v>
      </c>
      <c r="H11" t="s">
        <v>84</v>
      </c>
      <c r="I11" s="4" cm="1">
        <f t="array" ref="I11:I13">'SUT_EU27 total'!$J$49:$J$51</f>
        <v>0</v>
      </c>
    </row>
    <row r="12" spans="1:9" x14ac:dyDescent="0.35">
      <c r="A12" t="s">
        <v>18</v>
      </c>
      <c r="B12" t="s">
        <v>88</v>
      </c>
      <c r="C12" t="s">
        <v>81</v>
      </c>
      <c r="D12" t="s">
        <v>104</v>
      </c>
      <c r="E12" t="s">
        <v>73</v>
      </c>
      <c r="F12" t="s">
        <v>74</v>
      </c>
      <c r="G12" t="s">
        <v>102</v>
      </c>
      <c r="H12" t="s">
        <v>84</v>
      </c>
      <c r="I12" s="4">
        <v>0</v>
      </c>
    </row>
    <row r="13" spans="1:9" x14ac:dyDescent="0.35">
      <c r="A13" t="s">
        <v>18</v>
      </c>
      <c r="B13" t="s">
        <v>88</v>
      </c>
      <c r="C13" t="s">
        <v>81</v>
      </c>
      <c r="D13" t="s">
        <v>106</v>
      </c>
      <c r="E13" t="s">
        <v>73</v>
      </c>
      <c r="F13" t="s">
        <v>74</v>
      </c>
      <c r="G13" t="s">
        <v>102</v>
      </c>
      <c r="H13" t="s">
        <v>84</v>
      </c>
      <c r="I13" s="4">
        <v>0</v>
      </c>
    </row>
    <row r="14" spans="1:9" x14ac:dyDescent="0.35">
      <c r="A14" t="s">
        <v>18</v>
      </c>
      <c r="B14" t="s">
        <v>90</v>
      </c>
      <c r="C14" t="s">
        <v>81</v>
      </c>
      <c r="D14" t="s">
        <v>115</v>
      </c>
      <c r="E14" t="s">
        <v>73</v>
      </c>
      <c r="F14" t="s">
        <v>74</v>
      </c>
      <c r="G14" t="s">
        <v>102</v>
      </c>
      <c r="H14" t="s">
        <v>84</v>
      </c>
      <c r="I14" s="76" cm="1">
        <f t="array" ref="I14:I15">'SUT_EU27 total'!$J$53:$J$54</f>
        <v>7.7904761904761894</v>
      </c>
    </row>
    <row r="15" spans="1:9" x14ac:dyDescent="0.35">
      <c r="A15" t="s">
        <v>18</v>
      </c>
      <c r="B15" t="s">
        <v>90</v>
      </c>
      <c r="C15" t="s">
        <v>81</v>
      </c>
      <c r="D15" t="s">
        <v>116</v>
      </c>
      <c r="E15" t="s">
        <v>73</v>
      </c>
      <c r="F15" t="s">
        <v>74</v>
      </c>
      <c r="G15" t="s">
        <v>102</v>
      </c>
      <c r="H15" t="s">
        <v>84</v>
      </c>
      <c r="I15" s="4">
        <v>1.5473889063756709E-2</v>
      </c>
    </row>
    <row r="16" spans="1:9" x14ac:dyDescent="0.35">
      <c r="A16" t="s">
        <v>18</v>
      </c>
      <c r="B16" t="s">
        <v>90</v>
      </c>
      <c r="C16" t="s">
        <v>81</v>
      </c>
      <c r="D16" t="s">
        <v>117</v>
      </c>
      <c r="E16" t="s">
        <v>73</v>
      </c>
      <c r="F16" t="s">
        <v>74</v>
      </c>
      <c r="G16" t="s">
        <v>102</v>
      </c>
      <c r="H16" t="s">
        <v>84</v>
      </c>
      <c r="I16" s="76">
        <f>'SUT_EU27 total'!$J$61</f>
        <v>11.2662</v>
      </c>
    </row>
    <row r="17" spans="1:9" x14ac:dyDescent="0.35">
      <c r="A17" t="s">
        <v>18</v>
      </c>
      <c r="B17" t="s">
        <v>90</v>
      </c>
      <c r="C17" t="s">
        <v>81</v>
      </c>
      <c r="D17" t="s">
        <v>101</v>
      </c>
      <c r="E17" t="s">
        <v>73</v>
      </c>
      <c r="F17" t="s">
        <v>74</v>
      </c>
      <c r="G17" t="s">
        <v>102</v>
      </c>
      <c r="H17" t="s">
        <v>84</v>
      </c>
      <c r="I17" s="4" cm="1">
        <f t="array" ref="I17:I19">'SUT_EU27 total'!$J$66:$J$68</f>
        <v>0</v>
      </c>
    </row>
    <row r="18" spans="1:9" x14ac:dyDescent="0.35">
      <c r="A18" t="s">
        <v>18</v>
      </c>
      <c r="B18" t="s">
        <v>90</v>
      </c>
      <c r="C18" t="s">
        <v>81</v>
      </c>
      <c r="D18" t="s">
        <v>104</v>
      </c>
      <c r="E18" t="s">
        <v>73</v>
      </c>
      <c r="F18" t="s">
        <v>74</v>
      </c>
      <c r="G18" t="s">
        <v>102</v>
      </c>
      <c r="H18" t="s">
        <v>84</v>
      </c>
      <c r="I18" s="4">
        <v>0</v>
      </c>
    </row>
    <row r="19" spans="1:9" x14ac:dyDescent="0.35">
      <c r="A19" t="s">
        <v>18</v>
      </c>
      <c r="B19" t="s">
        <v>90</v>
      </c>
      <c r="C19" t="s">
        <v>81</v>
      </c>
      <c r="D19" t="s">
        <v>106</v>
      </c>
      <c r="E19" t="s">
        <v>73</v>
      </c>
      <c r="F19" t="s">
        <v>74</v>
      </c>
      <c r="G19" t="s">
        <v>102</v>
      </c>
      <c r="H19" t="s">
        <v>84</v>
      </c>
      <c r="I19" s="4">
        <v>0</v>
      </c>
    </row>
    <row r="20" spans="1:9" x14ac:dyDescent="0.35">
      <c r="A20" t="s">
        <v>18</v>
      </c>
      <c r="B20" t="s">
        <v>91</v>
      </c>
      <c r="C20" t="s">
        <v>81</v>
      </c>
      <c r="D20" t="s">
        <v>115</v>
      </c>
      <c r="E20" t="s">
        <v>73</v>
      </c>
      <c r="F20" t="s">
        <v>74</v>
      </c>
      <c r="G20" t="s">
        <v>102</v>
      </c>
      <c r="H20" t="s">
        <v>84</v>
      </c>
      <c r="I20" s="76" cm="1">
        <f t="array" ref="I20:I21">'SUT_EU27 total'!$J$70:$J$71</f>
        <v>15.771428571428569</v>
      </c>
    </row>
    <row r="21" spans="1:9" x14ac:dyDescent="0.35">
      <c r="A21" t="s">
        <v>18</v>
      </c>
      <c r="B21" t="s">
        <v>91</v>
      </c>
      <c r="C21" t="s">
        <v>81</v>
      </c>
      <c r="D21" t="s">
        <v>116</v>
      </c>
      <c r="E21" t="s">
        <v>73</v>
      </c>
      <c r="F21" t="s">
        <v>74</v>
      </c>
      <c r="G21" t="s">
        <v>102</v>
      </c>
      <c r="H21" t="s">
        <v>84</v>
      </c>
      <c r="I21" s="4">
        <v>8.7507175559917313E-2</v>
      </c>
    </row>
    <row r="22" spans="1:9" x14ac:dyDescent="0.35">
      <c r="A22" t="s">
        <v>18</v>
      </c>
      <c r="B22" t="s">
        <v>91</v>
      </c>
      <c r="C22" t="s">
        <v>81</v>
      </c>
      <c r="D22" t="s">
        <v>117</v>
      </c>
      <c r="E22" t="s">
        <v>73</v>
      </c>
      <c r="F22" t="s">
        <v>74</v>
      </c>
      <c r="G22" t="s">
        <v>102</v>
      </c>
      <c r="H22" t="s">
        <v>84</v>
      </c>
      <c r="I22" s="76">
        <f>'SUT_EU27 total'!$J$78</f>
        <v>41.4801</v>
      </c>
    </row>
    <row r="23" spans="1:9" x14ac:dyDescent="0.35">
      <c r="A23" t="s">
        <v>18</v>
      </c>
      <c r="B23" t="s">
        <v>91</v>
      </c>
      <c r="C23" t="s">
        <v>81</v>
      </c>
      <c r="D23" t="s">
        <v>101</v>
      </c>
      <c r="E23" t="s">
        <v>73</v>
      </c>
      <c r="F23" t="s">
        <v>74</v>
      </c>
      <c r="G23" t="s">
        <v>102</v>
      </c>
      <c r="H23" t="s">
        <v>84</v>
      </c>
      <c r="I23" s="4" cm="1">
        <f t="array" ref="I23:I25">'SUT_EU27 total'!$J$83:$J$85</f>
        <v>0</v>
      </c>
    </row>
    <row r="24" spans="1:9" x14ac:dyDescent="0.35">
      <c r="A24" t="s">
        <v>18</v>
      </c>
      <c r="B24" t="s">
        <v>91</v>
      </c>
      <c r="C24" t="s">
        <v>81</v>
      </c>
      <c r="D24" t="s">
        <v>104</v>
      </c>
      <c r="E24" t="s">
        <v>73</v>
      </c>
      <c r="F24" t="s">
        <v>74</v>
      </c>
      <c r="G24" t="s">
        <v>102</v>
      </c>
      <c r="H24" t="s">
        <v>84</v>
      </c>
      <c r="I24" s="4">
        <v>0</v>
      </c>
    </row>
    <row r="25" spans="1:9" x14ac:dyDescent="0.35">
      <c r="A25" t="s">
        <v>18</v>
      </c>
      <c r="B25" t="s">
        <v>91</v>
      </c>
      <c r="C25" t="s">
        <v>81</v>
      </c>
      <c r="D25" t="s">
        <v>106</v>
      </c>
      <c r="E25" t="s">
        <v>73</v>
      </c>
      <c r="F25" t="s">
        <v>74</v>
      </c>
      <c r="G25" t="s">
        <v>102</v>
      </c>
      <c r="H25" t="s">
        <v>84</v>
      </c>
      <c r="I25" s="4">
        <v>0</v>
      </c>
    </row>
    <row r="26" spans="1:9" x14ac:dyDescent="0.35">
      <c r="A26" t="s">
        <v>18</v>
      </c>
      <c r="B26" t="s">
        <v>92</v>
      </c>
      <c r="C26" t="s">
        <v>81</v>
      </c>
      <c r="D26" t="s">
        <v>115</v>
      </c>
      <c r="E26" t="s">
        <v>73</v>
      </c>
      <c r="F26" t="s">
        <v>74</v>
      </c>
      <c r="G26" t="s">
        <v>102</v>
      </c>
      <c r="H26" t="s">
        <v>84</v>
      </c>
      <c r="I26" s="76" cm="1">
        <f t="array" ref="I26:I27">'SUT_EU27 total'!$J$87:$J$88</f>
        <v>6.6239999999999997</v>
      </c>
    </row>
    <row r="27" spans="1:9" x14ac:dyDescent="0.35">
      <c r="A27" t="s">
        <v>18</v>
      </c>
      <c r="B27" t="s">
        <v>92</v>
      </c>
      <c r="C27" t="s">
        <v>81</v>
      </c>
      <c r="D27" t="s">
        <v>116</v>
      </c>
      <c r="E27" t="s">
        <v>73</v>
      </c>
      <c r="F27" t="s">
        <v>74</v>
      </c>
      <c r="G27" t="s">
        <v>102</v>
      </c>
      <c r="H27" t="s">
        <v>84</v>
      </c>
      <c r="I27" s="4">
        <v>6.0040746268656714E-2</v>
      </c>
    </row>
    <row r="28" spans="1:9" x14ac:dyDescent="0.35">
      <c r="A28" t="s">
        <v>18</v>
      </c>
      <c r="B28" t="s">
        <v>92</v>
      </c>
      <c r="C28" t="s">
        <v>81</v>
      </c>
      <c r="D28" t="s">
        <v>117</v>
      </c>
      <c r="E28" t="s">
        <v>73</v>
      </c>
      <c r="F28" t="s">
        <v>74</v>
      </c>
      <c r="G28" t="s">
        <v>102</v>
      </c>
      <c r="H28" t="s">
        <v>84</v>
      </c>
      <c r="I28" s="76">
        <f>'SUT_EU27 total'!$J$95</f>
        <v>13.3146</v>
      </c>
    </row>
    <row r="29" spans="1:9" x14ac:dyDescent="0.35">
      <c r="A29" t="s">
        <v>18</v>
      </c>
      <c r="B29" t="s">
        <v>92</v>
      </c>
      <c r="C29" t="s">
        <v>81</v>
      </c>
      <c r="D29" t="s">
        <v>101</v>
      </c>
      <c r="E29" t="s">
        <v>73</v>
      </c>
      <c r="F29" t="s">
        <v>74</v>
      </c>
      <c r="G29" t="s">
        <v>102</v>
      </c>
      <c r="H29" t="s">
        <v>84</v>
      </c>
      <c r="I29" s="4" cm="1">
        <f t="array" ref="I29:I31">'SUT_EU27 total'!$J$100:$J$102</f>
        <v>0</v>
      </c>
    </row>
    <row r="30" spans="1:9" x14ac:dyDescent="0.35">
      <c r="A30" t="s">
        <v>18</v>
      </c>
      <c r="B30" t="s">
        <v>92</v>
      </c>
      <c r="C30" t="s">
        <v>81</v>
      </c>
      <c r="D30" t="s">
        <v>104</v>
      </c>
      <c r="E30" t="s">
        <v>73</v>
      </c>
      <c r="F30" t="s">
        <v>74</v>
      </c>
      <c r="G30" t="s">
        <v>102</v>
      </c>
      <c r="H30" t="s">
        <v>84</v>
      </c>
      <c r="I30" s="4">
        <v>0</v>
      </c>
    </row>
    <row r="31" spans="1:9" x14ac:dyDescent="0.35">
      <c r="A31" t="s">
        <v>18</v>
      </c>
      <c r="B31" t="s">
        <v>92</v>
      </c>
      <c r="C31" t="s">
        <v>81</v>
      </c>
      <c r="D31" t="s">
        <v>106</v>
      </c>
      <c r="E31" t="s">
        <v>73</v>
      </c>
      <c r="F31" t="s">
        <v>74</v>
      </c>
      <c r="G31" t="s">
        <v>102</v>
      </c>
      <c r="H31" t="s">
        <v>84</v>
      </c>
      <c r="I31" s="4">
        <v>0</v>
      </c>
    </row>
    <row r="32" spans="1:9" x14ac:dyDescent="0.35">
      <c r="A32" t="s">
        <v>18</v>
      </c>
      <c r="B32" t="s">
        <v>93</v>
      </c>
      <c r="C32" t="s">
        <v>81</v>
      </c>
      <c r="D32" t="s">
        <v>115</v>
      </c>
      <c r="E32" t="s">
        <v>73</v>
      </c>
      <c r="F32" t="s">
        <v>74</v>
      </c>
      <c r="G32" t="s">
        <v>102</v>
      </c>
      <c r="H32" t="s">
        <v>84</v>
      </c>
      <c r="I32" s="76" cm="1">
        <f t="array" ref="I32:I33">'SUT_EU27 total'!$J$104:$J$105</f>
        <v>44.633142857142865</v>
      </c>
    </row>
    <row r="33" spans="1:9" x14ac:dyDescent="0.35">
      <c r="A33" t="s">
        <v>18</v>
      </c>
      <c r="B33" t="s">
        <v>93</v>
      </c>
      <c r="C33" t="s">
        <v>81</v>
      </c>
      <c r="D33" t="s">
        <v>116</v>
      </c>
      <c r="E33" t="s">
        <v>73</v>
      </c>
      <c r="F33" t="s">
        <v>74</v>
      </c>
      <c r="G33" t="s">
        <v>102</v>
      </c>
      <c r="H33" t="s">
        <v>84</v>
      </c>
      <c r="I33" s="4">
        <v>0.3673348440311186</v>
      </c>
    </row>
    <row r="34" spans="1:9" x14ac:dyDescent="0.35">
      <c r="A34" t="s">
        <v>18</v>
      </c>
      <c r="B34" t="s">
        <v>93</v>
      </c>
      <c r="C34" t="s">
        <v>81</v>
      </c>
      <c r="D34" t="s">
        <v>117</v>
      </c>
      <c r="E34" t="s">
        <v>73</v>
      </c>
      <c r="F34" t="s">
        <v>74</v>
      </c>
      <c r="G34" t="s">
        <v>102</v>
      </c>
      <c r="H34" t="s">
        <v>84</v>
      </c>
      <c r="I34" s="76">
        <f>'SUT_EU27 total'!$J$112</f>
        <v>138.77909999999997</v>
      </c>
    </row>
    <row r="35" spans="1:9" x14ac:dyDescent="0.35">
      <c r="A35" t="s">
        <v>18</v>
      </c>
      <c r="B35" t="s">
        <v>93</v>
      </c>
      <c r="C35" t="s">
        <v>81</v>
      </c>
      <c r="D35" t="s">
        <v>101</v>
      </c>
      <c r="E35" t="s">
        <v>73</v>
      </c>
      <c r="F35" t="s">
        <v>74</v>
      </c>
      <c r="G35" t="s">
        <v>102</v>
      </c>
      <c r="H35" t="s">
        <v>84</v>
      </c>
      <c r="I35" s="4" cm="1">
        <f t="array" ref="I35:I37">'SUT_EU27 total'!$J$117:$J$119</f>
        <v>0</v>
      </c>
    </row>
    <row r="36" spans="1:9" x14ac:dyDescent="0.35">
      <c r="A36" t="s">
        <v>18</v>
      </c>
      <c r="B36" t="s">
        <v>93</v>
      </c>
      <c r="C36" t="s">
        <v>81</v>
      </c>
      <c r="D36" t="s">
        <v>104</v>
      </c>
      <c r="E36" t="s">
        <v>73</v>
      </c>
      <c r="F36" t="s">
        <v>74</v>
      </c>
      <c r="G36" t="s">
        <v>102</v>
      </c>
      <c r="H36" t="s">
        <v>84</v>
      </c>
      <c r="I36" s="4">
        <v>0</v>
      </c>
    </row>
    <row r="37" spans="1:9" x14ac:dyDescent="0.35">
      <c r="A37" t="s">
        <v>18</v>
      </c>
      <c r="B37" t="s">
        <v>93</v>
      </c>
      <c r="C37" t="s">
        <v>81</v>
      </c>
      <c r="D37" t="s">
        <v>106</v>
      </c>
      <c r="E37" t="s">
        <v>73</v>
      </c>
      <c r="F37" t="s">
        <v>74</v>
      </c>
      <c r="G37" t="s">
        <v>102</v>
      </c>
      <c r="H37" t="s">
        <v>84</v>
      </c>
      <c r="I37" s="4">
        <v>0</v>
      </c>
    </row>
    <row r="38" spans="1:9" x14ac:dyDescent="0.35">
      <c r="A38" t="s">
        <v>18</v>
      </c>
      <c r="B38" t="s">
        <v>73</v>
      </c>
      <c r="C38" t="s">
        <v>81</v>
      </c>
      <c r="D38" t="s">
        <v>118</v>
      </c>
      <c r="E38" t="s">
        <v>73</v>
      </c>
      <c r="F38" t="s">
        <v>74</v>
      </c>
      <c r="G38" t="s">
        <v>108</v>
      </c>
      <c r="H38" t="s">
        <v>84</v>
      </c>
      <c r="I38" s="76" cm="1">
        <f t="array" ref="I38:I40">'SUT_EU27 total'!$K$21:$K$23</f>
        <v>1.4582562144772118E-3</v>
      </c>
    </row>
    <row r="39" spans="1:9" x14ac:dyDescent="0.35">
      <c r="A39" t="s">
        <v>18</v>
      </c>
      <c r="B39" t="s">
        <v>73</v>
      </c>
      <c r="C39" t="s">
        <v>81</v>
      </c>
      <c r="D39" t="s">
        <v>119</v>
      </c>
      <c r="E39" t="s">
        <v>73</v>
      </c>
      <c r="F39" t="s">
        <v>74</v>
      </c>
      <c r="G39" t="s">
        <v>108</v>
      </c>
      <c r="H39" t="s">
        <v>84</v>
      </c>
      <c r="I39" s="4">
        <v>8.4634636521458274E-4</v>
      </c>
    </row>
    <row r="40" spans="1:9" x14ac:dyDescent="0.35">
      <c r="A40" t="s">
        <v>18</v>
      </c>
      <c r="B40" t="s">
        <v>73</v>
      </c>
      <c r="C40" t="s">
        <v>81</v>
      </c>
      <c r="D40" t="s">
        <v>120</v>
      </c>
      <c r="E40" t="s">
        <v>73</v>
      </c>
      <c r="F40" t="s">
        <v>74</v>
      </c>
      <c r="G40" t="s">
        <v>108</v>
      </c>
      <c r="H40" t="s">
        <v>84</v>
      </c>
      <c r="I40" s="4">
        <v>1.2517329093179335E-4</v>
      </c>
    </row>
    <row r="41" spans="1:9" x14ac:dyDescent="0.35">
      <c r="A41" t="s">
        <v>18</v>
      </c>
      <c r="B41" t="s">
        <v>73</v>
      </c>
      <c r="C41" t="s">
        <v>81</v>
      </c>
      <c r="D41" s="77" t="s">
        <v>121</v>
      </c>
      <c r="E41" t="s">
        <v>73</v>
      </c>
      <c r="F41" t="s">
        <v>74</v>
      </c>
      <c r="G41" t="s">
        <v>108</v>
      </c>
      <c r="H41" t="s">
        <v>84</v>
      </c>
      <c r="I41" s="76">
        <f>'SUT_EU27 total'!$K$25</f>
        <v>6.9749679999999994E-2</v>
      </c>
    </row>
    <row r="42" spans="1:9" x14ac:dyDescent="0.35">
      <c r="A42" t="s">
        <v>18</v>
      </c>
      <c r="B42" t="s">
        <v>73</v>
      </c>
      <c r="C42" t="s">
        <v>81</v>
      </c>
      <c r="D42" t="s">
        <v>117</v>
      </c>
      <c r="E42" t="s">
        <v>73</v>
      </c>
      <c r="F42" t="s">
        <v>74</v>
      </c>
      <c r="G42" t="s">
        <v>108</v>
      </c>
      <c r="H42" t="s">
        <v>84</v>
      </c>
      <c r="I42" s="76">
        <f>'SUT_EU27 total'!$K$27</f>
        <v>1.1932942595726979E-3</v>
      </c>
    </row>
    <row r="43" spans="1:9" x14ac:dyDescent="0.35">
      <c r="A43" t="s">
        <v>18</v>
      </c>
      <c r="B43" t="s">
        <v>73</v>
      </c>
      <c r="C43" t="s">
        <v>81</v>
      </c>
      <c r="D43" t="s">
        <v>122</v>
      </c>
      <c r="E43" t="s">
        <v>73</v>
      </c>
      <c r="F43" t="s">
        <v>74</v>
      </c>
      <c r="G43" t="s">
        <v>108</v>
      </c>
      <c r="H43" t="s">
        <v>84</v>
      </c>
      <c r="I43" s="76">
        <f>'SUT_EU27 total'!$K$30</f>
        <v>1.5965533412604042E-3</v>
      </c>
    </row>
    <row r="44" spans="1:9" x14ac:dyDescent="0.35">
      <c r="A44" t="s">
        <v>18</v>
      </c>
      <c r="B44" t="s">
        <v>73</v>
      </c>
      <c r="C44" t="s">
        <v>81</v>
      </c>
      <c r="D44" t="s">
        <v>101</v>
      </c>
      <c r="E44" t="s">
        <v>73</v>
      </c>
      <c r="F44" t="s">
        <v>74</v>
      </c>
      <c r="G44" t="s">
        <v>108</v>
      </c>
      <c r="H44" t="s">
        <v>84</v>
      </c>
      <c r="I44" s="76" cm="1">
        <f t="array" ref="I44:I46">'SUT_EU27 total'!$K$32:$K$34</f>
        <v>2.4335351040000001E-4</v>
      </c>
    </row>
    <row r="45" spans="1:9" x14ac:dyDescent="0.35">
      <c r="A45" t="s">
        <v>18</v>
      </c>
      <c r="B45" t="s">
        <v>73</v>
      </c>
      <c r="C45" t="s">
        <v>81</v>
      </c>
      <c r="D45" t="s">
        <v>104</v>
      </c>
      <c r="E45" t="s">
        <v>73</v>
      </c>
      <c r="F45" t="s">
        <v>74</v>
      </c>
      <c r="G45" t="s">
        <v>108</v>
      </c>
      <c r="H45" t="s">
        <v>84</v>
      </c>
      <c r="I45" s="4">
        <v>4.6076808959999996E-4</v>
      </c>
    </row>
    <row r="46" spans="1:9" x14ac:dyDescent="0.35">
      <c r="A46" t="s">
        <v>18</v>
      </c>
      <c r="B46" t="s">
        <v>73</v>
      </c>
      <c r="C46" t="s">
        <v>81</v>
      </c>
      <c r="D46" t="s">
        <v>106</v>
      </c>
      <c r="E46" t="s">
        <v>73</v>
      </c>
      <c r="F46" t="s">
        <v>74</v>
      </c>
      <c r="G46" t="s">
        <v>108</v>
      </c>
      <c r="H46" t="s">
        <v>84</v>
      </c>
      <c r="I46" s="4">
        <v>1.5672383999999996E-3</v>
      </c>
    </row>
    <row r="47" spans="1:9" x14ac:dyDescent="0.35">
      <c r="A47" t="s">
        <v>18</v>
      </c>
      <c r="B47" t="s">
        <v>88</v>
      </c>
      <c r="C47" t="s">
        <v>81</v>
      </c>
      <c r="D47" t="s">
        <v>118</v>
      </c>
      <c r="E47" t="s">
        <v>73</v>
      </c>
      <c r="F47" t="s">
        <v>74</v>
      </c>
      <c r="G47" t="s">
        <v>108</v>
      </c>
      <c r="H47" t="s">
        <v>84</v>
      </c>
      <c r="I47" s="76" cm="1">
        <f t="array" ref="I47:I49">'SUT_EU27 total'!$K$38:$K$40</f>
        <v>3.3029309855227888E-2</v>
      </c>
    </row>
    <row r="48" spans="1:9" x14ac:dyDescent="0.35">
      <c r="A48" t="s">
        <v>18</v>
      </c>
      <c r="B48" t="s">
        <v>88</v>
      </c>
      <c r="C48" t="s">
        <v>81</v>
      </c>
      <c r="D48" t="s">
        <v>119</v>
      </c>
      <c r="E48" t="s">
        <v>73</v>
      </c>
      <c r="F48" t="s">
        <v>74</v>
      </c>
      <c r="G48" t="s">
        <v>108</v>
      </c>
      <c r="H48" t="s">
        <v>84</v>
      </c>
      <c r="I48" s="4">
        <v>6.9915569300335089E-3</v>
      </c>
    </row>
    <row r="49" spans="1:9" x14ac:dyDescent="0.35">
      <c r="A49" t="s">
        <v>18</v>
      </c>
      <c r="B49" t="s">
        <v>88</v>
      </c>
      <c r="C49" t="s">
        <v>81</v>
      </c>
      <c r="D49" t="s">
        <v>120</v>
      </c>
      <c r="E49" t="s">
        <v>73</v>
      </c>
      <c r="F49" t="s">
        <v>74</v>
      </c>
      <c r="G49" t="s">
        <v>108</v>
      </c>
      <c r="H49" t="s">
        <v>84</v>
      </c>
      <c r="I49" s="4">
        <v>1.5283979779928203E-3</v>
      </c>
    </row>
    <row r="50" spans="1:9" x14ac:dyDescent="0.35">
      <c r="A50" t="s">
        <v>18</v>
      </c>
      <c r="B50" t="s">
        <v>88</v>
      </c>
      <c r="C50" t="s">
        <v>81</v>
      </c>
      <c r="D50" s="77" t="s">
        <v>121</v>
      </c>
      <c r="E50" t="s">
        <v>73</v>
      </c>
      <c r="F50" t="s">
        <v>74</v>
      </c>
      <c r="G50" t="s">
        <v>108</v>
      </c>
      <c r="H50" t="s">
        <v>84</v>
      </c>
      <c r="I50" s="4">
        <f>'SUT_EU27 total'!$K$42</f>
        <v>0</v>
      </c>
    </row>
    <row r="51" spans="1:9" x14ac:dyDescent="0.35">
      <c r="A51" t="s">
        <v>18</v>
      </c>
      <c r="B51" t="s">
        <v>88</v>
      </c>
      <c r="C51" t="s">
        <v>81</v>
      </c>
      <c r="D51" t="s">
        <v>117</v>
      </c>
      <c r="E51" t="s">
        <v>73</v>
      </c>
      <c r="F51" t="s">
        <v>74</v>
      </c>
      <c r="G51" t="s">
        <v>108</v>
      </c>
      <c r="H51" t="s">
        <v>84</v>
      </c>
      <c r="I51" s="76">
        <f>'SUT_EU27 total'!$K$44</f>
        <v>9.9090099874062521E-4</v>
      </c>
    </row>
    <row r="52" spans="1:9" x14ac:dyDescent="0.35">
      <c r="A52" t="s">
        <v>18</v>
      </c>
      <c r="B52" t="s">
        <v>88</v>
      </c>
      <c r="C52" t="s">
        <v>81</v>
      </c>
      <c r="D52" t="s">
        <v>122</v>
      </c>
      <c r="E52" t="s">
        <v>73</v>
      </c>
      <c r="F52" t="s">
        <v>74</v>
      </c>
      <c r="G52" t="s">
        <v>108</v>
      </c>
      <c r="H52" t="s">
        <v>84</v>
      </c>
      <c r="I52" s="76">
        <f>'SUT_EU27 total'!$K$47</f>
        <v>0</v>
      </c>
    </row>
    <row r="53" spans="1:9" x14ac:dyDescent="0.35">
      <c r="A53" t="s">
        <v>18</v>
      </c>
      <c r="B53" t="s">
        <v>88</v>
      </c>
      <c r="C53" t="s">
        <v>81</v>
      </c>
      <c r="D53" t="s">
        <v>101</v>
      </c>
      <c r="E53" t="s">
        <v>73</v>
      </c>
      <c r="F53" t="s">
        <v>74</v>
      </c>
      <c r="G53" t="s">
        <v>108</v>
      </c>
      <c r="H53" t="s">
        <v>84</v>
      </c>
      <c r="I53" s="4" cm="1">
        <f t="array" ref="I53:I55">'SUT_EU27 total'!$K$49:$K$51</f>
        <v>0</v>
      </c>
    </row>
    <row r="54" spans="1:9" x14ac:dyDescent="0.35">
      <c r="A54" t="s">
        <v>18</v>
      </c>
      <c r="B54" t="s">
        <v>88</v>
      </c>
      <c r="C54" t="s">
        <v>81</v>
      </c>
      <c r="D54" t="s">
        <v>104</v>
      </c>
      <c r="E54" t="s">
        <v>73</v>
      </c>
      <c r="F54" t="s">
        <v>74</v>
      </c>
      <c r="G54" t="s">
        <v>108</v>
      </c>
      <c r="H54" t="s">
        <v>84</v>
      </c>
      <c r="I54" s="4">
        <v>0</v>
      </c>
    </row>
    <row r="55" spans="1:9" x14ac:dyDescent="0.35">
      <c r="A55" t="s">
        <v>18</v>
      </c>
      <c r="B55" t="s">
        <v>88</v>
      </c>
      <c r="C55" t="s">
        <v>81</v>
      </c>
      <c r="D55" t="s">
        <v>106</v>
      </c>
      <c r="E55" t="s">
        <v>73</v>
      </c>
      <c r="F55" t="s">
        <v>74</v>
      </c>
      <c r="G55" t="s">
        <v>108</v>
      </c>
      <c r="H55" t="s">
        <v>84</v>
      </c>
      <c r="I55" s="4">
        <v>0</v>
      </c>
    </row>
    <row r="56" spans="1:9" x14ac:dyDescent="0.35">
      <c r="A56" t="s">
        <v>18</v>
      </c>
      <c r="B56" t="s">
        <v>90</v>
      </c>
      <c r="C56" t="s">
        <v>81</v>
      </c>
      <c r="D56" t="s">
        <v>118</v>
      </c>
      <c r="E56" t="s">
        <v>73</v>
      </c>
      <c r="F56" t="s">
        <v>74</v>
      </c>
      <c r="G56" t="s">
        <v>108</v>
      </c>
      <c r="H56" t="s">
        <v>84</v>
      </c>
      <c r="I56" s="76" cm="1">
        <f t="array" ref="I56:I58">'SUT_EU27 total'!$K$55:$K$57</f>
        <v>4.323194595174263E-3</v>
      </c>
    </row>
    <row r="57" spans="1:9" x14ac:dyDescent="0.35">
      <c r="A57" t="s">
        <v>18</v>
      </c>
      <c r="B57" t="s">
        <v>90</v>
      </c>
      <c r="C57" t="s">
        <v>81</v>
      </c>
      <c r="D57" t="s">
        <v>119</v>
      </c>
      <c r="E57" t="s">
        <v>73</v>
      </c>
      <c r="F57" t="s">
        <v>74</v>
      </c>
      <c r="G57" t="s">
        <v>108</v>
      </c>
      <c r="H57" t="s">
        <v>84</v>
      </c>
      <c r="I57" s="4">
        <v>1.2800331672655335E-3</v>
      </c>
    </row>
    <row r="58" spans="1:9" x14ac:dyDescent="0.35">
      <c r="A58" t="s">
        <v>18</v>
      </c>
      <c r="B58" t="s">
        <v>90</v>
      </c>
      <c r="C58" t="s">
        <v>81</v>
      </c>
      <c r="D58" t="s">
        <v>120</v>
      </c>
      <c r="E58" t="s">
        <v>73</v>
      </c>
      <c r="F58" t="s">
        <v>74</v>
      </c>
      <c r="G58" t="s">
        <v>108</v>
      </c>
      <c r="H58" t="s">
        <v>84</v>
      </c>
      <c r="I58" s="4">
        <v>5.6700291220540041E-3</v>
      </c>
    </row>
    <row r="59" spans="1:9" x14ac:dyDescent="0.35">
      <c r="A59" t="s">
        <v>18</v>
      </c>
      <c r="B59" t="s">
        <v>90</v>
      </c>
      <c r="C59" t="s">
        <v>81</v>
      </c>
      <c r="D59" s="77" t="s">
        <v>121</v>
      </c>
      <c r="E59" t="s">
        <v>73</v>
      </c>
      <c r="F59" t="s">
        <v>74</v>
      </c>
      <c r="G59" t="s">
        <v>108</v>
      </c>
      <c r="H59" t="s">
        <v>84</v>
      </c>
      <c r="I59" s="4">
        <f>'SUT_EU27 total'!$K$59</f>
        <v>0</v>
      </c>
    </row>
    <row r="60" spans="1:9" x14ac:dyDescent="0.35">
      <c r="A60" t="s">
        <v>18</v>
      </c>
      <c r="B60" t="s">
        <v>90</v>
      </c>
      <c r="C60" t="s">
        <v>81</v>
      </c>
      <c r="D60" t="s">
        <v>117</v>
      </c>
      <c r="E60" t="s">
        <v>73</v>
      </c>
      <c r="F60" t="s">
        <v>74</v>
      </c>
      <c r="G60" t="s">
        <v>108</v>
      </c>
      <c r="H60" t="s">
        <v>84</v>
      </c>
      <c r="I60" s="76">
        <f>'SUT_EU27 total'!$K$61</f>
        <v>1.1930979242119881E-3</v>
      </c>
    </row>
    <row r="61" spans="1:9" x14ac:dyDescent="0.35">
      <c r="A61" t="s">
        <v>18</v>
      </c>
      <c r="B61" t="s">
        <v>90</v>
      </c>
      <c r="C61" t="s">
        <v>81</v>
      </c>
      <c r="D61" t="s">
        <v>122</v>
      </c>
      <c r="E61" t="s">
        <v>73</v>
      </c>
      <c r="F61" t="s">
        <v>74</v>
      </c>
      <c r="G61" t="s">
        <v>108</v>
      </c>
      <c r="H61" t="s">
        <v>84</v>
      </c>
      <c r="I61" s="76">
        <f>'SUT_EU27 total'!$K$64</f>
        <v>2.5776238002378116E-3</v>
      </c>
    </row>
    <row r="62" spans="1:9" x14ac:dyDescent="0.35">
      <c r="A62" t="s">
        <v>18</v>
      </c>
      <c r="B62" t="s">
        <v>90</v>
      </c>
      <c r="C62" t="s">
        <v>81</v>
      </c>
      <c r="D62" t="s">
        <v>101</v>
      </c>
      <c r="E62" t="s">
        <v>73</v>
      </c>
      <c r="F62" t="s">
        <v>74</v>
      </c>
      <c r="G62" t="s">
        <v>108</v>
      </c>
      <c r="H62" t="s">
        <v>84</v>
      </c>
      <c r="I62" s="4" cm="1">
        <f t="array" ref="I62:I64">'SUT_EU27 total'!$K$66:$K$68</f>
        <v>0</v>
      </c>
    </row>
    <row r="63" spans="1:9" x14ac:dyDescent="0.35">
      <c r="A63" t="s">
        <v>18</v>
      </c>
      <c r="B63" t="s">
        <v>90</v>
      </c>
      <c r="C63" t="s">
        <v>81</v>
      </c>
      <c r="D63" t="s">
        <v>104</v>
      </c>
      <c r="E63" t="s">
        <v>73</v>
      </c>
      <c r="F63" t="s">
        <v>74</v>
      </c>
      <c r="G63" t="s">
        <v>108</v>
      </c>
      <c r="H63" t="s">
        <v>84</v>
      </c>
      <c r="I63" s="4">
        <v>0</v>
      </c>
    </row>
    <row r="64" spans="1:9" x14ac:dyDescent="0.35">
      <c r="A64" t="s">
        <v>18</v>
      </c>
      <c r="B64" t="s">
        <v>90</v>
      </c>
      <c r="C64" t="s">
        <v>81</v>
      </c>
      <c r="D64" t="s">
        <v>106</v>
      </c>
      <c r="E64" t="s">
        <v>73</v>
      </c>
      <c r="F64" t="s">
        <v>74</v>
      </c>
      <c r="G64" t="s">
        <v>108</v>
      </c>
      <c r="H64" t="s">
        <v>84</v>
      </c>
      <c r="I64" s="4">
        <v>0</v>
      </c>
    </row>
    <row r="65" spans="1:9" x14ac:dyDescent="0.35">
      <c r="A65" t="s">
        <v>18</v>
      </c>
      <c r="B65" t="s">
        <v>91</v>
      </c>
      <c r="C65" t="s">
        <v>81</v>
      </c>
      <c r="D65" t="s">
        <v>118</v>
      </c>
      <c r="E65" t="s">
        <v>73</v>
      </c>
      <c r="F65" t="s">
        <v>74</v>
      </c>
      <c r="G65" t="s">
        <v>108</v>
      </c>
      <c r="H65" t="s">
        <v>84</v>
      </c>
      <c r="I65" s="76" cm="1">
        <f t="array" ref="I65:I67">'SUT_EU27 total'!$K$72:$K$74</f>
        <v>5.3791732332439677E-3</v>
      </c>
    </row>
    <row r="66" spans="1:9" x14ac:dyDescent="0.35">
      <c r="A66" t="s">
        <v>18</v>
      </c>
      <c r="B66" t="s">
        <v>91</v>
      </c>
      <c r="C66" t="s">
        <v>81</v>
      </c>
      <c r="D66" t="s">
        <v>119</v>
      </c>
      <c r="E66" t="s">
        <v>73</v>
      </c>
      <c r="F66" t="s">
        <v>74</v>
      </c>
      <c r="G66" t="s">
        <v>108</v>
      </c>
      <c r="H66" t="s">
        <v>84</v>
      </c>
      <c r="I66" s="4">
        <v>6.5526133182607291E-3</v>
      </c>
    </row>
    <row r="67" spans="1:9" x14ac:dyDescent="0.35">
      <c r="A67" t="s">
        <v>18</v>
      </c>
      <c r="B67" t="s">
        <v>91</v>
      </c>
      <c r="C67" t="s">
        <v>81</v>
      </c>
      <c r="D67" t="s">
        <v>120</v>
      </c>
      <c r="E67" t="s">
        <v>73</v>
      </c>
      <c r="F67" t="s">
        <v>74</v>
      </c>
      <c r="G67" t="s">
        <v>108</v>
      </c>
      <c r="H67" t="s">
        <v>84</v>
      </c>
      <c r="I67" s="4">
        <v>2.464950959887623E-4</v>
      </c>
    </row>
    <row r="68" spans="1:9" x14ac:dyDescent="0.35">
      <c r="A68" t="s">
        <v>18</v>
      </c>
      <c r="B68" t="s">
        <v>91</v>
      </c>
      <c r="C68" t="s">
        <v>81</v>
      </c>
      <c r="D68" s="77" t="s">
        <v>121</v>
      </c>
      <c r="E68" t="s">
        <v>73</v>
      </c>
      <c r="F68" t="s">
        <v>74</v>
      </c>
      <c r="G68" t="s">
        <v>108</v>
      </c>
      <c r="H68" t="s">
        <v>84</v>
      </c>
      <c r="I68" s="4">
        <f>'SUT_EU27 total'!$K$76</f>
        <v>0</v>
      </c>
    </row>
    <row r="69" spans="1:9" x14ac:dyDescent="0.35">
      <c r="A69" t="s">
        <v>18</v>
      </c>
      <c r="B69" t="s">
        <v>91</v>
      </c>
      <c r="C69" t="s">
        <v>81</v>
      </c>
      <c r="D69" t="s">
        <v>117</v>
      </c>
      <c r="E69" t="s">
        <v>73</v>
      </c>
      <c r="F69" t="s">
        <v>74</v>
      </c>
      <c r="G69" t="s">
        <v>108</v>
      </c>
      <c r="H69" t="s">
        <v>84</v>
      </c>
      <c r="I69" s="76">
        <f>'SUT_EU27 total'!$K$78</f>
        <v>1.1485683451306521E-3</v>
      </c>
    </row>
    <row r="70" spans="1:9" x14ac:dyDescent="0.35">
      <c r="A70" t="s">
        <v>18</v>
      </c>
      <c r="B70" t="s">
        <v>91</v>
      </c>
      <c r="C70" t="s">
        <v>81</v>
      </c>
      <c r="D70" t="s">
        <v>122</v>
      </c>
      <c r="E70" t="s">
        <v>73</v>
      </c>
      <c r="F70" t="s">
        <v>74</v>
      </c>
      <c r="G70" t="s">
        <v>108</v>
      </c>
      <c r="H70" t="s">
        <v>84</v>
      </c>
      <c r="I70" s="76">
        <f>'SUT_EU27 total'!$K$81</f>
        <v>0</v>
      </c>
    </row>
    <row r="71" spans="1:9" x14ac:dyDescent="0.35">
      <c r="A71" t="s">
        <v>18</v>
      </c>
      <c r="B71" t="s">
        <v>91</v>
      </c>
      <c r="C71" t="s">
        <v>81</v>
      </c>
      <c r="D71" t="s">
        <v>101</v>
      </c>
      <c r="E71" t="s">
        <v>73</v>
      </c>
      <c r="F71" t="s">
        <v>74</v>
      </c>
      <c r="G71" t="s">
        <v>108</v>
      </c>
      <c r="H71" t="s">
        <v>84</v>
      </c>
      <c r="I71" s="4" cm="1">
        <f t="array" ref="I71:I73">'SUT_EU27 total'!$K$83:$K$85</f>
        <v>0</v>
      </c>
    </row>
    <row r="72" spans="1:9" x14ac:dyDescent="0.35">
      <c r="A72" t="s">
        <v>18</v>
      </c>
      <c r="B72" t="s">
        <v>91</v>
      </c>
      <c r="C72" t="s">
        <v>81</v>
      </c>
      <c r="D72" t="s">
        <v>104</v>
      </c>
      <c r="E72" t="s">
        <v>73</v>
      </c>
      <c r="F72" t="s">
        <v>74</v>
      </c>
      <c r="G72" t="s">
        <v>108</v>
      </c>
      <c r="H72" t="s">
        <v>84</v>
      </c>
      <c r="I72" s="4">
        <v>0</v>
      </c>
    </row>
    <row r="73" spans="1:9" x14ac:dyDescent="0.35">
      <c r="A73" t="s">
        <v>18</v>
      </c>
      <c r="B73" t="s">
        <v>91</v>
      </c>
      <c r="C73" t="s">
        <v>81</v>
      </c>
      <c r="D73" t="s">
        <v>106</v>
      </c>
      <c r="E73" t="s">
        <v>73</v>
      </c>
      <c r="F73" t="s">
        <v>74</v>
      </c>
      <c r="G73" t="s">
        <v>108</v>
      </c>
      <c r="H73" t="s">
        <v>84</v>
      </c>
      <c r="I73" s="4">
        <v>0</v>
      </c>
    </row>
    <row r="74" spans="1:9" x14ac:dyDescent="0.35">
      <c r="A74" t="s">
        <v>18</v>
      </c>
      <c r="B74" t="s">
        <v>92</v>
      </c>
      <c r="C74" t="s">
        <v>81</v>
      </c>
      <c r="D74" t="s">
        <v>118</v>
      </c>
      <c r="E74" t="s">
        <v>73</v>
      </c>
      <c r="F74" t="s">
        <v>74</v>
      </c>
      <c r="G74" t="s">
        <v>108</v>
      </c>
      <c r="H74" t="s">
        <v>84</v>
      </c>
      <c r="I74" s="76" cm="1">
        <f t="array" ref="I74:I76">'SUT_EU27 total'!$K$89:$K$91</f>
        <v>3.3497344343163542E-3</v>
      </c>
    </row>
    <row r="75" spans="1:9" x14ac:dyDescent="0.35">
      <c r="A75" t="s">
        <v>18</v>
      </c>
      <c r="B75" t="s">
        <v>92</v>
      </c>
      <c r="C75" t="s">
        <v>81</v>
      </c>
      <c r="D75" t="s">
        <v>119</v>
      </c>
      <c r="E75" t="s">
        <v>73</v>
      </c>
      <c r="F75" t="s">
        <v>74</v>
      </c>
      <c r="G75" t="s">
        <v>108</v>
      </c>
      <c r="H75" t="s">
        <v>84</v>
      </c>
      <c r="I75" s="4">
        <v>6.0269323460777589E-3</v>
      </c>
    </row>
    <row r="76" spans="1:9" x14ac:dyDescent="0.35">
      <c r="A76" t="s">
        <v>18</v>
      </c>
      <c r="B76" t="s">
        <v>92</v>
      </c>
      <c r="C76" t="s">
        <v>81</v>
      </c>
      <c r="D76" t="s">
        <v>120</v>
      </c>
      <c r="E76" t="s">
        <v>73</v>
      </c>
      <c r="F76" t="s">
        <v>74</v>
      </c>
      <c r="G76" t="s">
        <v>108</v>
      </c>
      <c r="H76" t="s">
        <v>84</v>
      </c>
      <c r="I76" s="4">
        <v>4.0947713992508196E-3</v>
      </c>
    </row>
    <row r="77" spans="1:9" x14ac:dyDescent="0.35">
      <c r="A77" t="s">
        <v>18</v>
      </c>
      <c r="B77" t="s">
        <v>92</v>
      </c>
      <c r="C77" t="s">
        <v>81</v>
      </c>
      <c r="D77" s="77" t="s">
        <v>121</v>
      </c>
      <c r="E77" t="s">
        <v>73</v>
      </c>
      <c r="F77" t="s">
        <v>74</v>
      </c>
      <c r="G77" t="s">
        <v>108</v>
      </c>
      <c r="H77" t="s">
        <v>84</v>
      </c>
      <c r="I77" s="4">
        <f>'SUT_EU27 total'!$K$93</f>
        <v>0</v>
      </c>
    </row>
    <row r="78" spans="1:9" x14ac:dyDescent="0.35">
      <c r="A78" t="s">
        <v>18</v>
      </c>
      <c r="B78" t="s">
        <v>92</v>
      </c>
      <c r="C78" t="s">
        <v>81</v>
      </c>
      <c r="D78" t="s">
        <v>117</v>
      </c>
      <c r="E78" t="s">
        <v>73</v>
      </c>
      <c r="F78" t="s">
        <v>74</v>
      </c>
      <c r="G78" t="s">
        <v>108</v>
      </c>
      <c r="H78" t="s">
        <v>84</v>
      </c>
      <c r="I78" s="4">
        <f>'SUT_EU27 total'!$K$95</f>
        <v>0</v>
      </c>
    </row>
    <row r="79" spans="1:9" x14ac:dyDescent="0.35">
      <c r="A79" t="s">
        <v>18</v>
      </c>
      <c r="B79" t="s">
        <v>92</v>
      </c>
      <c r="C79" t="s">
        <v>81</v>
      </c>
      <c r="D79" t="s">
        <v>122</v>
      </c>
      <c r="E79" t="s">
        <v>73</v>
      </c>
      <c r="F79" t="s">
        <v>74</v>
      </c>
      <c r="G79" t="s">
        <v>108</v>
      </c>
      <c r="H79" t="s">
        <v>84</v>
      </c>
      <c r="I79" s="76">
        <f>'SUT_EU27 total'!$K$98</f>
        <v>0</v>
      </c>
    </row>
    <row r="80" spans="1:9" x14ac:dyDescent="0.35">
      <c r="A80" t="s">
        <v>18</v>
      </c>
      <c r="B80" t="s">
        <v>92</v>
      </c>
      <c r="C80" t="s">
        <v>81</v>
      </c>
      <c r="D80" t="s">
        <v>101</v>
      </c>
      <c r="E80" t="s">
        <v>73</v>
      </c>
      <c r="F80" t="s">
        <v>74</v>
      </c>
      <c r="G80" t="s">
        <v>108</v>
      </c>
      <c r="H80" t="s">
        <v>84</v>
      </c>
      <c r="I80" s="4" cm="1">
        <f t="array" ref="I80:I82">'SUT_EU27 total'!$K$100:$K$102</f>
        <v>0</v>
      </c>
    </row>
    <row r="81" spans="1:9" x14ac:dyDescent="0.35">
      <c r="A81" t="s">
        <v>18</v>
      </c>
      <c r="B81" t="s">
        <v>92</v>
      </c>
      <c r="C81" t="s">
        <v>81</v>
      </c>
      <c r="D81" t="s">
        <v>104</v>
      </c>
      <c r="E81" t="s">
        <v>73</v>
      </c>
      <c r="F81" t="s">
        <v>74</v>
      </c>
      <c r="G81" t="s">
        <v>108</v>
      </c>
      <c r="H81" t="s">
        <v>84</v>
      </c>
      <c r="I81" s="4">
        <v>0</v>
      </c>
    </row>
    <row r="82" spans="1:9" x14ac:dyDescent="0.35">
      <c r="A82" t="s">
        <v>18</v>
      </c>
      <c r="B82" t="s">
        <v>92</v>
      </c>
      <c r="C82" t="s">
        <v>81</v>
      </c>
      <c r="D82" t="s">
        <v>106</v>
      </c>
      <c r="E82" t="s">
        <v>73</v>
      </c>
      <c r="F82" t="s">
        <v>74</v>
      </c>
      <c r="G82" t="s">
        <v>108</v>
      </c>
      <c r="H82" t="s">
        <v>84</v>
      </c>
      <c r="I82" s="4">
        <v>0</v>
      </c>
    </row>
    <row r="83" spans="1:9" x14ac:dyDescent="0.35">
      <c r="A83" t="s">
        <v>18</v>
      </c>
      <c r="B83" t="s">
        <v>93</v>
      </c>
      <c r="C83" t="s">
        <v>81</v>
      </c>
      <c r="D83" t="s">
        <v>118</v>
      </c>
      <c r="E83" t="s">
        <v>73</v>
      </c>
      <c r="F83" t="s">
        <v>74</v>
      </c>
      <c r="G83" t="s">
        <v>108</v>
      </c>
      <c r="H83" t="s">
        <v>84</v>
      </c>
      <c r="I83" s="76" cm="1">
        <f t="array" ref="I83:I85">'SUT_EU27 total'!$K$106:$K$108</f>
        <v>1.4980971667560324E-2</v>
      </c>
    </row>
    <row r="84" spans="1:9" x14ac:dyDescent="0.35">
      <c r="A84" t="s">
        <v>18</v>
      </c>
      <c r="B84" t="s">
        <v>93</v>
      </c>
      <c r="C84" t="s">
        <v>81</v>
      </c>
      <c r="D84" t="s">
        <v>119</v>
      </c>
      <c r="E84" t="s">
        <v>73</v>
      </c>
      <c r="F84" t="s">
        <v>74</v>
      </c>
      <c r="G84" t="s">
        <v>108</v>
      </c>
      <c r="H84" t="s">
        <v>84</v>
      </c>
      <c r="I84" s="4">
        <v>4.3405477873147885E-2</v>
      </c>
    </row>
    <row r="85" spans="1:9" x14ac:dyDescent="0.35">
      <c r="A85" t="s">
        <v>18</v>
      </c>
      <c r="B85" t="s">
        <v>93</v>
      </c>
      <c r="C85" t="s">
        <v>81</v>
      </c>
      <c r="D85" t="s">
        <v>120</v>
      </c>
      <c r="E85" t="s">
        <v>73</v>
      </c>
      <c r="F85" t="s">
        <v>74</v>
      </c>
      <c r="G85" t="s">
        <v>108</v>
      </c>
      <c r="H85" t="s">
        <v>84</v>
      </c>
      <c r="I85" s="4">
        <v>2.1237093113781802E-2</v>
      </c>
    </row>
    <row r="86" spans="1:9" x14ac:dyDescent="0.35">
      <c r="A86" t="s">
        <v>18</v>
      </c>
      <c r="B86" t="s">
        <v>93</v>
      </c>
      <c r="C86" t="s">
        <v>81</v>
      </c>
      <c r="D86" s="77" t="s">
        <v>121</v>
      </c>
      <c r="E86" t="s">
        <v>73</v>
      </c>
      <c r="F86" t="s">
        <v>74</v>
      </c>
      <c r="G86" t="s">
        <v>108</v>
      </c>
      <c r="H86" t="s">
        <v>84</v>
      </c>
      <c r="I86" s="4">
        <f>'SUT_EU27 total'!$K$110</f>
        <v>0</v>
      </c>
    </row>
    <row r="87" spans="1:9" x14ac:dyDescent="0.35">
      <c r="A87" t="s">
        <v>18</v>
      </c>
      <c r="B87" t="s">
        <v>93</v>
      </c>
      <c r="C87" t="s">
        <v>81</v>
      </c>
      <c r="D87" t="s">
        <v>117</v>
      </c>
      <c r="E87" t="s">
        <v>73</v>
      </c>
      <c r="F87" t="s">
        <v>74</v>
      </c>
      <c r="G87" t="s">
        <v>108</v>
      </c>
      <c r="H87" t="s">
        <v>84</v>
      </c>
      <c r="I87" s="76">
        <f>'SUT_EU27 total'!$K$112</f>
        <v>1.1930984723440377E-3</v>
      </c>
    </row>
    <row r="88" spans="1:9" x14ac:dyDescent="0.35">
      <c r="A88" t="s">
        <v>18</v>
      </c>
      <c r="B88" t="s">
        <v>93</v>
      </c>
      <c r="C88" t="s">
        <v>81</v>
      </c>
      <c r="D88" t="s">
        <v>122</v>
      </c>
      <c r="E88" t="s">
        <v>73</v>
      </c>
      <c r="F88" t="s">
        <v>74</v>
      </c>
      <c r="G88" t="s">
        <v>108</v>
      </c>
      <c r="H88" t="s">
        <v>84</v>
      </c>
      <c r="I88" s="76">
        <f>'SUT_EU27 total'!$K$115</f>
        <v>8.7987828585017833E-3</v>
      </c>
    </row>
    <row r="89" spans="1:9" x14ac:dyDescent="0.35">
      <c r="A89" t="s">
        <v>18</v>
      </c>
      <c r="B89" t="s">
        <v>93</v>
      </c>
      <c r="C89" t="s">
        <v>81</v>
      </c>
      <c r="D89" t="s">
        <v>101</v>
      </c>
      <c r="E89" t="s">
        <v>73</v>
      </c>
      <c r="F89" t="s">
        <v>74</v>
      </c>
      <c r="G89" t="s">
        <v>108</v>
      </c>
      <c r="H89" t="s">
        <v>84</v>
      </c>
      <c r="I89" s="4" cm="1">
        <f t="array" ref="I89:I91">'SUT_EU27 total'!$K$117:$K$119</f>
        <v>0</v>
      </c>
    </row>
    <row r="90" spans="1:9" x14ac:dyDescent="0.35">
      <c r="A90" t="s">
        <v>18</v>
      </c>
      <c r="B90" t="s">
        <v>93</v>
      </c>
      <c r="C90" t="s">
        <v>81</v>
      </c>
      <c r="D90" t="s">
        <v>104</v>
      </c>
      <c r="E90" t="s">
        <v>73</v>
      </c>
      <c r="F90" t="s">
        <v>74</v>
      </c>
      <c r="G90" t="s">
        <v>108</v>
      </c>
      <c r="H90" t="s">
        <v>84</v>
      </c>
      <c r="I90" s="4">
        <v>0</v>
      </c>
    </row>
    <row r="91" spans="1:9" x14ac:dyDescent="0.35">
      <c r="A91" t="s">
        <v>18</v>
      </c>
      <c r="B91" t="s">
        <v>93</v>
      </c>
      <c r="C91" t="s">
        <v>81</v>
      </c>
      <c r="D91" t="s">
        <v>106</v>
      </c>
      <c r="E91" t="s">
        <v>73</v>
      </c>
      <c r="F91" t="s">
        <v>74</v>
      </c>
      <c r="G91" t="s">
        <v>108</v>
      </c>
      <c r="H91" t="s">
        <v>84</v>
      </c>
      <c r="I91" s="4">
        <v>0</v>
      </c>
    </row>
    <row r="92" spans="1:9" x14ac:dyDescent="0.35">
      <c r="A92" t="s">
        <v>18</v>
      </c>
      <c r="B92" t="s">
        <v>73</v>
      </c>
      <c r="C92" t="s">
        <v>81</v>
      </c>
      <c r="D92" t="s">
        <v>119</v>
      </c>
      <c r="E92" t="s">
        <v>73</v>
      </c>
      <c r="F92" t="s">
        <v>74</v>
      </c>
      <c r="G92" t="s">
        <v>123</v>
      </c>
      <c r="H92" t="s">
        <v>84</v>
      </c>
      <c r="I92" s="76">
        <f>'SUT_EU27 total'!$L$22</f>
        <v>1.9500181678711294E-2</v>
      </c>
    </row>
    <row r="93" spans="1:9" x14ac:dyDescent="0.35">
      <c r="A93" t="s">
        <v>18</v>
      </c>
      <c r="B93" t="s">
        <v>73</v>
      </c>
      <c r="C93" t="s">
        <v>81</v>
      </c>
      <c r="D93" t="s">
        <v>124</v>
      </c>
      <c r="E93" t="s">
        <v>73</v>
      </c>
      <c r="F93" t="s">
        <v>74</v>
      </c>
      <c r="G93" t="s">
        <v>123</v>
      </c>
      <c r="H93" t="s">
        <v>84</v>
      </c>
      <c r="I93" s="76" cm="1">
        <f t="array" ref="I93:I101">'SUT_EU27 total'!$L$26:$L$34</f>
        <v>1.9404661061278542E-3</v>
      </c>
    </row>
    <row r="94" spans="1:9" x14ac:dyDescent="0.35">
      <c r="A94" t="s">
        <v>18</v>
      </c>
      <c r="B94" t="s">
        <v>73</v>
      </c>
      <c r="C94" t="s">
        <v>81</v>
      </c>
      <c r="D94" t="s">
        <v>117</v>
      </c>
      <c r="E94" t="s">
        <v>73</v>
      </c>
      <c r="F94" t="s">
        <v>74</v>
      </c>
      <c r="G94" t="s">
        <v>123</v>
      </c>
      <c r="H94" t="s">
        <v>84</v>
      </c>
      <c r="I94" s="4">
        <v>5.8423628191201782E-3</v>
      </c>
    </row>
    <row r="95" spans="1:9" x14ac:dyDescent="0.35">
      <c r="A95" t="s">
        <v>18</v>
      </c>
      <c r="B95" t="s">
        <v>73</v>
      </c>
      <c r="C95" t="s">
        <v>81</v>
      </c>
      <c r="D95" t="s">
        <v>82</v>
      </c>
      <c r="E95" t="s">
        <v>73</v>
      </c>
      <c r="F95" t="s">
        <v>74</v>
      </c>
      <c r="G95" t="s">
        <v>123</v>
      </c>
      <c r="H95" t="s">
        <v>84</v>
      </c>
      <c r="I95" s="4">
        <v>4.8981233243967828E-4</v>
      </c>
    </row>
    <row r="96" spans="1:9" x14ac:dyDescent="0.35">
      <c r="A96" t="s">
        <v>18</v>
      </c>
      <c r="B96" t="s">
        <v>73</v>
      </c>
      <c r="C96" t="s">
        <v>81</v>
      </c>
      <c r="D96" t="s">
        <v>125</v>
      </c>
      <c r="E96" t="s">
        <v>73</v>
      </c>
      <c r="F96" t="s">
        <v>74</v>
      </c>
      <c r="G96" t="s">
        <v>123</v>
      </c>
      <c r="H96" t="s">
        <v>84</v>
      </c>
      <c r="I96" s="4">
        <v>2.4658201215687387E-3</v>
      </c>
    </row>
    <row r="97" spans="1:9" x14ac:dyDescent="0.35">
      <c r="A97" t="s">
        <v>18</v>
      </c>
      <c r="B97" t="s">
        <v>73</v>
      </c>
      <c r="C97" t="s">
        <v>81</v>
      </c>
      <c r="D97" t="s">
        <v>122</v>
      </c>
      <c r="E97" t="s">
        <v>73</v>
      </c>
      <c r="F97" t="s">
        <v>74</v>
      </c>
      <c r="G97" t="s">
        <v>123</v>
      </c>
      <c r="H97" t="s">
        <v>84</v>
      </c>
      <c r="I97" s="4">
        <v>4.922711058263972E-4</v>
      </c>
    </row>
    <row r="98" spans="1:9" x14ac:dyDescent="0.35">
      <c r="A98" t="s">
        <v>18</v>
      </c>
      <c r="B98" t="s">
        <v>73</v>
      </c>
      <c r="C98" t="s">
        <v>81</v>
      </c>
      <c r="D98" t="s">
        <v>126</v>
      </c>
      <c r="E98" t="s">
        <v>73</v>
      </c>
      <c r="F98" t="s">
        <v>74</v>
      </c>
      <c r="G98" t="s">
        <v>123</v>
      </c>
      <c r="H98" t="s">
        <v>84</v>
      </c>
      <c r="I98" s="4">
        <v>0</v>
      </c>
    </row>
    <row r="99" spans="1:9" x14ac:dyDescent="0.35">
      <c r="A99" t="s">
        <v>18</v>
      </c>
      <c r="B99" t="s">
        <v>73</v>
      </c>
      <c r="C99" t="s">
        <v>81</v>
      </c>
      <c r="D99" t="s">
        <v>101</v>
      </c>
      <c r="E99" t="s">
        <v>73</v>
      </c>
      <c r="F99" t="s">
        <v>74</v>
      </c>
      <c r="G99" t="s">
        <v>123</v>
      </c>
      <c r="H99" t="s">
        <v>84</v>
      </c>
      <c r="I99" s="76">
        <v>3.7860913795851507E-4</v>
      </c>
    </row>
    <row r="100" spans="1:9" x14ac:dyDescent="0.35">
      <c r="A100" t="s">
        <v>18</v>
      </c>
      <c r="B100" t="s">
        <v>73</v>
      </c>
      <c r="C100" t="s">
        <v>81</v>
      </c>
      <c r="D100" t="s">
        <v>104</v>
      </c>
      <c r="E100" t="s">
        <v>73</v>
      </c>
      <c r="F100" t="s">
        <v>74</v>
      </c>
      <c r="G100" t="s">
        <v>123</v>
      </c>
      <c r="H100" t="s">
        <v>84</v>
      </c>
      <c r="I100" s="4">
        <v>7.1686251377883477E-4</v>
      </c>
    </row>
    <row r="101" spans="1:9" x14ac:dyDescent="0.35">
      <c r="A101" t="s">
        <v>18</v>
      </c>
      <c r="B101" t="s">
        <v>73</v>
      </c>
      <c r="C101" t="s">
        <v>81</v>
      </c>
      <c r="D101" t="s">
        <v>106</v>
      </c>
      <c r="E101" t="s">
        <v>73</v>
      </c>
      <c r="F101" t="s">
        <v>74</v>
      </c>
      <c r="G101" t="s">
        <v>123</v>
      </c>
      <c r="H101" t="s">
        <v>84</v>
      </c>
      <c r="I101" s="4">
        <v>2.438307869996036E-3</v>
      </c>
    </row>
    <row r="102" spans="1:9" x14ac:dyDescent="0.35">
      <c r="A102" t="s">
        <v>18</v>
      </c>
      <c r="B102" t="s">
        <v>88</v>
      </c>
      <c r="C102" t="s">
        <v>81</v>
      </c>
      <c r="D102" t="s">
        <v>119</v>
      </c>
      <c r="E102" t="s">
        <v>73</v>
      </c>
      <c r="F102" t="s">
        <v>74</v>
      </c>
      <c r="G102" t="s">
        <v>123</v>
      </c>
      <c r="H102" t="s">
        <v>84</v>
      </c>
      <c r="I102" s="76">
        <f>'SUT_EU27 total'!$L$39</f>
        <v>0.16108845734587587</v>
      </c>
    </row>
    <row r="103" spans="1:9" x14ac:dyDescent="0.35">
      <c r="A103" t="s">
        <v>18</v>
      </c>
      <c r="B103" t="s">
        <v>88</v>
      </c>
      <c r="C103" t="s">
        <v>81</v>
      </c>
      <c r="D103" t="s">
        <v>124</v>
      </c>
      <c r="E103" t="s">
        <v>73</v>
      </c>
      <c r="F103" t="s">
        <v>74</v>
      </c>
      <c r="G103" t="s">
        <v>123</v>
      </c>
      <c r="H103" t="s">
        <v>84</v>
      </c>
      <c r="I103" s="76" cm="1">
        <f t="array" ref="I103:I111">'SUT_EU27 total'!$M$43:$M$51</f>
        <v>5.0558836222750793E-4</v>
      </c>
    </row>
    <row r="104" spans="1:9" x14ac:dyDescent="0.35">
      <c r="A104" t="s">
        <v>18</v>
      </c>
      <c r="B104" t="s">
        <v>88</v>
      </c>
      <c r="C104" t="s">
        <v>81</v>
      </c>
      <c r="D104" t="s">
        <v>117</v>
      </c>
      <c r="E104" t="s">
        <v>73</v>
      </c>
      <c r="F104" t="s">
        <v>74</v>
      </c>
      <c r="G104" t="s">
        <v>123</v>
      </c>
      <c r="H104" t="s">
        <v>84</v>
      </c>
      <c r="I104" s="4">
        <v>4.8514464106651379E-3</v>
      </c>
    </row>
    <row r="105" spans="1:9" x14ac:dyDescent="0.35">
      <c r="A105" t="s">
        <v>18</v>
      </c>
      <c r="B105" t="s">
        <v>88</v>
      </c>
      <c r="C105" t="s">
        <v>81</v>
      </c>
      <c r="D105" t="s">
        <v>82</v>
      </c>
      <c r="E105" t="s">
        <v>73</v>
      </c>
      <c r="F105" t="s">
        <v>74</v>
      </c>
      <c r="G105" t="s">
        <v>123</v>
      </c>
      <c r="H105" t="s">
        <v>84</v>
      </c>
      <c r="I105" s="4">
        <v>1.109418436791091E-2</v>
      </c>
    </row>
    <row r="106" spans="1:9" x14ac:dyDescent="0.35">
      <c r="A106" t="s">
        <v>18</v>
      </c>
      <c r="B106" t="s">
        <v>88</v>
      </c>
      <c r="C106" t="s">
        <v>81</v>
      </c>
      <c r="D106" t="s">
        <v>125</v>
      </c>
      <c r="E106" t="s">
        <v>73</v>
      </c>
      <c r="F106" t="s">
        <v>74</v>
      </c>
      <c r="G106" t="s">
        <v>123</v>
      </c>
      <c r="H106" t="s">
        <v>84</v>
      </c>
      <c r="I106" s="4">
        <v>2.890870278990243E-5</v>
      </c>
    </row>
    <row r="107" spans="1:9" x14ac:dyDescent="0.35">
      <c r="A107" t="s">
        <v>18</v>
      </c>
      <c r="B107" t="s">
        <v>88</v>
      </c>
      <c r="C107" t="s">
        <v>81</v>
      </c>
      <c r="D107" t="s">
        <v>122</v>
      </c>
      <c r="E107" t="s">
        <v>73</v>
      </c>
      <c r="F107" t="s">
        <v>74</v>
      </c>
      <c r="G107" t="s">
        <v>123</v>
      </c>
      <c r="H107" t="s">
        <v>84</v>
      </c>
      <c r="I107" s="4">
        <v>0</v>
      </c>
    </row>
    <row r="108" spans="1:9" x14ac:dyDescent="0.35">
      <c r="A108" t="s">
        <v>18</v>
      </c>
      <c r="B108" t="s">
        <v>88</v>
      </c>
      <c r="C108" t="s">
        <v>81</v>
      </c>
      <c r="D108" t="s">
        <v>126</v>
      </c>
      <c r="E108" t="s">
        <v>73</v>
      </c>
      <c r="F108" t="s">
        <v>74</v>
      </c>
      <c r="G108" t="s">
        <v>123</v>
      </c>
      <c r="H108" t="s">
        <v>84</v>
      </c>
      <c r="I108" s="4">
        <v>2.8514320987501449E-3</v>
      </c>
    </row>
    <row r="109" spans="1:9" x14ac:dyDescent="0.35">
      <c r="A109" t="s">
        <v>18</v>
      </c>
      <c r="B109" t="s">
        <v>88</v>
      </c>
      <c r="C109" t="s">
        <v>81</v>
      </c>
      <c r="D109" t="s">
        <v>101</v>
      </c>
      <c r="E109" t="s">
        <v>73</v>
      </c>
      <c r="F109" t="s">
        <v>74</v>
      </c>
      <c r="G109" t="s">
        <v>123</v>
      </c>
      <c r="H109" t="s">
        <v>84</v>
      </c>
      <c r="I109" s="4">
        <v>0</v>
      </c>
    </row>
    <row r="110" spans="1:9" x14ac:dyDescent="0.35">
      <c r="A110" t="s">
        <v>18</v>
      </c>
      <c r="B110" t="s">
        <v>88</v>
      </c>
      <c r="C110" t="s">
        <v>81</v>
      </c>
      <c r="D110" t="s">
        <v>104</v>
      </c>
      <c r="E110" t="s">
        <v>73</v>
      </c>
      <c r="F110" t="s">
        <v>74</v>
      </c>
      <c r="G110" t="s">
        <v>123</v>
      </c>
      <c r="H110" t="s">
        <v>84</v>
      </c>
      <c r="I110" s="4">
        <v>0</v>
      </c>
    </row>
    <row r="111" spans="1:9" x14ac:dyDescent="0.35">
      <c r="A111" t="s">
        <v>18</v>
      </c>
      <c r="B111" t="s">
        <v>88</v>
      </c>
      <c r="C111" t="s">
        <v>81</v>
      </c>
      <c r="D111" t="s">
        <v>106</v>
      </c>
      <c r="E111" t="s">
        <v>73</v>
      </c>
      <c r="F111" t="s">
        <v>74</v>
      </c>
      <c r="G111" t="s">
        <v>123</v>
      </c>
      <c r="H111" t="s">
        <v>84</v>
      </c>
      <c r="I111" s="4">
        <v>0</v>
      </c>
    </row>
    <row r="112" spans="1:9" x14ac:dyDescent="0.35">
      <c r="A112" t="s">
        <v>18</v>
      </c>
      <c r="B112" t="s">
        <v>90</v>
      </c>
      <c r="C112" t="s">
        <v>81</v>
      </c>
      <c r="D112" t="s">
        <v>119</v>
      </c>
      <c r="E112" t="s">
        <v>73</v>
      </c>
      <c r="F112" t="s">
        <v>74</v>
      </c>
      <c r="G112" t="s">
        <v>123</v>
      </c>
      <c r="H112" t="s">
        <v>84</v>
      </c>
      <c r="I112" s="76">
        <f>'SUT_EU27 total'!$M$56</f>
        <v>2.949251079979006E-2</v>
      </c>
    </row>
    <row r="113" spans="1:9" x14ac:dyDescent="0.35">
      <c r="A113" t="s">
        <v>18</v>
      </c>
      <c r="B113" t="s">
        <v>90</v>
      </c>
      <c r="C113" t="s">
        <v>81</v>
      </c>
      <c r="D113" t="s">
        <v>124</v>
      </c>
      <c r="E113" t="s">
        <v>73</v>
      </c>
      <c r="F113" t="s">
        <v>74</v>
      </c>
      <c r="G113" t="s">
        <v>123</v>
      </c>
      <c r="H113" t="s">
        <v>84</v>
      </c>
      <c r="I113" s="76" cm="1">
        <f t="array" ref="I113:I121">'SUT_EU27 total'!$L$60:$L$68</f>
        <v>2.1047443073980527E-5</v>
      </c>
    </row>
    <row r="114" spans="1:9" x14ac:dyDescent="0.35">
      <c r="A114" t="s">
        <v>18</v>
      </c>
      <c r="B114" t="s">
        <v>90</v>
      </c>
      <c r="C114" t="s">
        <v>81</v>
      </c>
      <c r="D114" t="s">
        <v>117</v>
      </c>
      <c r="E114" t="s">
        <v>73</v>
      </c>
      <c r="F114" t="s">
        <v>74</v>
      </c>
      <c r="G114" t="s">
        <v>123</v>
      </c>
      <c r="H114" t="s">
        <v>84</v>
      </c>
      <c r="I114" s="4">
        <v>5.8414015621608938E-3</v>
      </c>
    </row>
    <row r="115" spans="1:9" x14ac:dyDescent="0.35">
      <c r="A115" t="s">
        <v>18</v>
      </c>
      <c r="B115" t="s">
        <v>90</v>
      </c>
      <c r="C115" t="s">
        <v>81</v>
      </c>
      <c r="D115" t="s">
        <v>82</v>
      </c>
      <c r="E115" t="s">
        <v>73</v>
      </c>
      <c r="F115" t="s">
        <v>74</v>
      </c>
      <c r="G115" t="s">
        <v>123</v>
      </c>
      <c r="H115" t="s">
        <v>84</v>
      </c>
      <c r="I115" s="4">
        <v>1.4521138379047227E-3</v>
      </c>
    </row>
    <row r="116" spans="1:9" x14ac:dyDescent="0.35">
      <c r="A116" t="s">
        <v>18</v>
      </c>
      <c r="B116" t="s">
        <v>90</v>
      </c>
      <c r="C116" t="s">
        <v>81</v>
      </c>
      <c r="D116" t="s">
        <v>125</v>
      </c>
      <c r="E116" t="s">
        <v>73</v>
      </c>
      <c r="F116" t="s">
        <v>74</v>
      </c>
      <c r="G116" t="s">
        <v>123</v>
      </c>
      <c r="H116" t="s">
        <v>84</v>
      </c>
      <c r="I116" s="4">
        <v>6.5130870114372285E-5</v>
      </c>
    </row>
    <row r="117" spans="1:9" x14ac:dyDescent="0.35">
      <c r="A117" t="s">
        <v>18</v>
      </c>
      <c r="B117" t="s">
        <v>90</v>
      </c>
      <c r="C117" t="s">
        <v>81</v>
      </c>
      <c r="D117" t="s">
        <v>122</v>
      </c>
      <c r="E117" t="s">
        <v>73</v>
      </c>
      <c r="F117" t="s">
        <v>74</v>
      </c>
      <c r="G117" t="s">
        <v>123</v>
      </c>
      <c r="H117" t="s">
        <v>84</v>
      </c>
      <c r="I117" s="4">
        <v>7.9476813317479189E-4</v>
      </c>
    </row>
    <row r="118" spans="1:9" x14ac:dyDescent="0.35">
      <c r="A118" t="s">
        <v>18</v>
      </c>
      <c r="B118" t="s">
        <v>90</v>
      </c>
      <c r="C118" t="s">
        <v>81</v>
      </c>
      <c r="D118" t="s">
        <v>126</v>
      </c>
      <c r="E118" t="s">
        <v>73</v>
      </c>
      <c r="F118" t="s">
        <v>74</v>
      </c>
      <c r="G118" t="s">
        <v>123</v>
      </c>
      <c r="H118" t="s">
        <v>84</v>
      </c>
      <c r="I118" s="4">
        <v>8.4821183458843076E-3</v>
      </c>
    </row>
    <row r="119" spans="1:9" x14ac:dyDescent="0.35">
      <c r="A119" t="s">
        <v>18</v>
      </c>
      <c r="B119" t="s">
        <v>90</v>
      </c>
      <c r="C119" t="s">
        <v>81</v>
      </c>
      <c r="D119" t="s">
        <v>101</v>
      </c>
      <c r="E119" t="s">
        <v>73</v>
      </c>
      <c r="F119" t="s">
        <v>74</v>
      </c>
      <c r="G119" t="s">
        <v>123</v>
      </c>
      <c r="H119" t="s">
        <v>84</v>
      </c>
      <c r="I119" s="4">
        <v>0</v>
      </c>
    </row>
    <row r="120" spans="1:9" x14ac:dyDescent="0.35">
      <c r="A120" t="s">
        <v>18</v>
      </c>
      <c r="B120" t="s">
        <v>90</v>
      </c>
      <c r="C120" t="s">
        <v>81</v>
      </c>
      <c r="D120" t="s">
        <v>104</v>
      </c>
      <c r="E120" t="s">
        <v>73</v>
      </c>
      <c r="F120" t="s">
        <v>74</v>
      </c>
      <c r="G120" t="s">
        <v>123</v>
      </c>
      <c r="H120" t="s">
        <v>84</v>
      </c>
      <c r="I120" s="4">
        <v>0</v>
      </c>
    </row>
    <row r="121" spans="1:9" x14ac:dyDescent="0.35">
      <c r="A121" t="s">
        <v>18</v>
      </c>
      <c r="B121" t="s">
        <v>90</v>
      </c>
      <c r="C121" t="s">
        <v>81</v>
      </c>
      <c r="D121" t="s">
        <v>106</v>
      </c>
      <c r="E121" t="s">
        <v>73</v>
      </c>
      <c r="F121" t="s">
        <v>74</v>
      </c>
      <c r="G121" t="s">
        <v>123</v>
      </c>
      <c r="H121" t="s">
        <v>84</v>
      </c>
      <c r="I121" s="4">
        <v>0</v>
      </c>
    </row>
    <row r="122" spans="1:9" x14ac:dyDescent="0.35">
      <c r="A122" t="s">
        <v>18</v>
      </c>
      <c r="B122" t="s">
        <v>91</v>
      </c>
      <c r="C122" t="s">
        <v>81</v>
      </c>
      <c r="D122" t="s">
        <v>119</v>
      </c>
      <c r="E122" t="s">
        <v>73</v>
      </c>
      <c r="F122" t="s">
        <v>74</v>
      </c>
      <c r="G122" t="s">
        <v>123</v>
      </c>
      <c r="H122" t="s">
        <v>84</v>
      </c>
      <c r="I122" s="76">
        <f>'SUT_EU27 total'!$L$73</f>
        <v>0.15097500908393557</v>
      </c>
    </row>
    <row r="123" spans="1:9" x14ac:dyDescent="0.35">
      <c r="A123" t="s">
        <v>18</v>
      </c>
      <c r="B123" t="s">
        <v>91</v>
      </c>
      <c r="C123" t="s">
        <v>81</v>
      </c>
      <c r="D123" t="s">
        <v>124</v>
      </c>
      <c r="E123" t="s">
        <v>73</v>
      </c>
      <c r="F123" t="s">
        <v>74</v>
      </c>
      <c r="G123" t="s">
        <v>123</v>
      </c>
      <c r="H123" t="s">
        <v>84</v>
      </c>
      <c r="I123" s="76" cm="1">
        <f t="array" ref="I123:I131">'SUT_EU27 total'!$L$77:$L$85</f>
        <v>6.7728942399646885E-5</v>
      </c>
    </row>
    <row r="124" spans="1:9" x14ac:dyDescent="0.35">
      <c r="A124" t="s">
        <v>18</v>
      </c>
      <c r="B124" t="s">
        <v>91</v>
      </c>
      <c r="C124" t="s">
        <v>81</v>
      </c>
      <c r="D124" t="s">
        <v>117</v>
      </c>
      <c r="E124" t="s">
        <v>73</v>
      </c>
      <c r="F124" t="s">
        <v>74</v>
      </c>
      <c r="G124" t="s">
        <v>123</v>
      </c>
      <c r="H124" t="s">
        <v>84</v>
      </c>
      <c r="I124" s="4">
        <v>5.6233849622410815E-3</v>
      </c>
    </row>
    <row r="125" spans="1:9" x14ac:dyDescent="0.35">
      <c r="A125" t="s">
        <v>18</v>
      </c>
      <c r="B125" t="s">
        <v>91</v>
      </c>
      <c r="C125" t="s">
        <v>81</v>
      </c>
      <c r="D125" t="s">
        <v>82</v>
      </c>
      <c r="E125" t="s">
        <v>73</v>
      </c>
      <c r="F125" t="s">
        <v>74</v>
      </c>
      <c r="G125" t="s">
        <v>123</v>
      </c>
      <c r="H125" t="s">
        <v>84</v>
      </c>
      <c r="I125" s="4">
        <v>1.8068055269127655E-3</v>
      </c>
    </row>
    <row r="126" spans="1:9" x14ac:dyDescent="0.35">
      <c r="A126" t="s">
        <v>18</v>
      </c>
      <c r="B126" t="s">
        <v>91</v>
      </c>
      <c r="C126" t="s">
        <v>81</v>
      </c>
      <c r="D126" t="s">
        <v>125</v>
      </c>
      <c r="E126" t="s">
        <v>73</v>
      </c>
      <c r="F126" t="s">
        <v>74</v>
      </c>
      <c r="G126" t="s">
        <v>123</v>
      </c>
      <c r="H126" t="s">
        <v>84</v>
      </c>
      <c r="I126" s="4">
        <v>5.6492118062760293E-6</v>
      </c>
    </row>
    <row r="127" spans="1:9" x14ac:dyDescent="0.35">
      <c r="A127" t="s">
        <v>18</v>
      </c>
      <c r="B127" t="s">
        <v>91</v>
      </c>
      <c r="C127" t="s">
        <v>81</v>
      </c>
      <c r="D127" t="s">
        <v>122</v>
      </c>
      <c r="E127" t="s">
        <v>73</v>
      </c>
      <c r="F127" t="s">
        <v>74</v>
      </c>
      <c r="G127" t="s">
        <v>123</v>
      </c>
      <c r="H127" t="s">
        <v>84</v>
      </c>
      <c r="I127" s="4">
        <v>0</v>
      </c>
    </row>
    <row r="128" spans="1:9" x14ac:dyDescent="0.35">
      <c r="A128" t="s">
        <v>18</v>
      </c>
      <c r="B128" t="s">
        <v>91</v>
      </c>
      <c r="C128" t="s">
        <v>81</v>
      </c>
      <c r="D128" t="s">
        <v>126</v>
      </c>
      <c r="E128" t="s">
        <v>73</v>
      </c>
      <c r="F128" t="s">
        <v>74</v>
      </c>
      <c r="G128" t="s">
        <v>123</v>
      </c>
      <c r="H128" t="s">
        <v>84</v>
      </c>
      <c r="I128" s="4">
        <v>8.1093795177776388E-4</v>
      </c>
    </row>
    <row r="129" spans="1:9" x14ac:dyDescent="0.35">
      <c r="A129" t="s">
        <v>18</v>
      </c>
      <c r="B129" t="s">
        <v>91</v>
      </c>
      <c r="C129" t="s">
        <v>81</v>
      </c>
      <c r="D129" t="s">
        <v>101</v>
      </c>
      <c r="E129" t="s">
        <v>73</v>
      </c>
      <c r="F129" t="s">
        <v>74</v>
      </c>
      <c r="G129" t="s">
        <v>123</v>
      </c>
      <c r="H129" t="s">
        <v>84</v>
      </c>
      <c r="I129" s="4">
        <v>0</v>
      </c>
    </row>
    <row r="130" spans="1:9" x14ac:dyDescent="0.35">
      <c r="A130" t="s">
        <v>18</v>
      </c>
      <c r="B130" t="s">
        <v>91</v>
      </c>
      <c r="C130" t="s">
        <v>81</v>
      </c>
      <c r="D130" t="s">
        <v>104</v>
      </c>
      <c r="E130" t="s">
        <v>73</v>
      </c>
      <c r="F130" t="s">
        <v>74</v>
      </c>
      <c r="G130" t="s">
        <v>123</v>
      </c>
      <c r="H130" t="s">
        <v>84</v>
      </c>
      <c r="I130" s="4">
        <v>0</v>
      </c>
    </row>
    <row r="131" spans="1:9" x14ac:dyDescent="0.35">
      <c r="A131" t="s">
        <v>18</v>
      </c>
      <c r="B131" t="s">
        <v>91</v>
      </c>
      <c r="C131" t="s">
        <v>81</v>
      </c>
      <c r="D131" t="s">
        <v>106</v>
      </c>
      <c r="E131" t="s">
        <v>73</v>
      </c>
      <c r="F131" t="s">
        <v>74</v>
      </c>
      <c r="G131" t="s">
        <v>123</v>
      </c>
      <c r="H131" t="s">
        <v>84</v>
      </c>
      <c r="I131" s="4">
        <v>0</v>
      </c>
    </row>
    <row r="132" spans="1:9" x14ac:dyDescent="0.35">
      <c r="A132" t="s">
        <v>18</v>
      </c>
      <c r="B132" t="s">
        <v>92</v>
      </c>
      <c r="C132" t="s">
        <v>81</v>
      </c>
      <c r="D132" t="s">
        <v>119</v>
      </c>
      <c r="E132" t="s">
        <v>73</v>
      </c>
      <c r="F132" t="s">
        <v>74</v>
      </c>
      <c r="G132" t="s">
        <v>123</v>
      </c>
      <c r="H132" t="s">
        <v>84</v>
      </c>
      <c r="I132" s="76">
        <f>'SUT_EU27 total'!$L$90</f>
        <v>0.13886309499777949</v>
      </c>
    </row>
    <row r="133" spans="1:9" x14ac:dyDescent="0.35">
      <c r="A133" t="s">
        <v>18</v>
      </c>
      <c r="B133" t="s">
        <v>92</v>
      </c>
      <c r="C133" t="s">
        <v>81</v>
      </c>
      <c r="D133" t="s">
        <v>124</v>
      </c>
      <c r="E133" t="s">
        <v>73</v>
      </c>
      <c r="F133" t="s">
        <v>74</v>
      </c>
      <c r="G133" t="s">
        <v>123</v>
      </c>
      <c r="H133" t="s">
        <v>84</v>
      </c>
      <c r="I133" s="76" cm="1">
        <f t="array" ref="I133:I141">'SUT_EU27 total'!$L$94:$L$102</f>
        <v>9.2968907089085616E-5</v>
      </c>
    </row>
    <row r="134" spans="1:9" x14ac:dyDescent="0.35">
      <c r="A134" t="s">
        <v>18</v>
      </c>
      <c r="B134" t="s">
        <v>92</v>
      </c>
      <c r="C134" t="s">
        <v>81</v>
      </c>
      <c r="D134" t="s">
        <v>117</v>
      </c>
      <c r="E134" t="s">
        <v>73</v>
      </c>
      <c r="F134" t="s">
        <v>74</v>
      </c>
      <c r="G134" t="s">
        <v>123</v>
      </c>
      <c r="H134" t="s">
        <v>84</v>
      </c>
      <c r="I134" s="4">
        <v>0</v>
      </c>
    </row>
    <row r="135" spans="1:9" x14ac:dyDescent="0.35">
      <c r="A135" t="s">
        <v>18</v>
      </c>
      <c r="B135" t="s">
        <v>92</v>
      </c>
      <c r="C135" t="s">
        <v>81</v>
      </c>
      <c r="D135" t="s">
        <v>82</v>
      </c>
      <c r="E135" t="s">
        <v>73</v>
      </c>
      <c r="F135" t="s">
        <v>74</v>
      </c>
      <c r="G135" t="s">
        <v>123</v>
      </c>
      <c r="H135" t="s">
        <v>84</v>
      </c>
      <c r="I135" s="4">
        <v>1.1251392039595793E-3</v>
      </c>
    </row>
    <row r="136" spans="1:9" x14ac:dyDescent="0.35">
      <c r="A136" t="s">
        <v>18</v>
      </c>
      <c r="B136" t="s">
        <v>92</v>
      </c>
      <c r="C136" t="s">
        <v>81</v>
      </c>
      <c r="D136" t="s">
        <v>125</v>
      </c>
      <c r="E136" t="s">
        <v>73</v>
      </c>
      <c r="F136" t="s">
        <v>74</v>
      </c>
      <c r="G136" t="s">
        <v>123</v>
      </c>
      <c r="H136" t="s">
        <v>84</v>
      </c>
      <c r="I136" s="4">
        <v>5.0048817841215026E-7</v>
      </c>
    </row>
    <row r="137" spans="1:9" x14ac:dyDescent="0.35">
      <c r="A137" t="s">
        <v>18</v>
      </c>
      <c r="B137" t="s">
        <v>92</v>
      </c>
      <c r="C137" t="s">
        <v>81</v>
      </c>
      <c r="D137" t="s">
        <v>122</v>
      </c>
      <c r="E137" t="s">
        <v>73</v>
      </c>
      <c r="F137" t="s">
        <v>74</v>
      </c>
      <c r="G137" t="s">
        <v>123</v>
      </c>
      <c r="H137" t="s">
        <v>84</v>
      </c>
      <c r="I137" s="4">
        <v>0</v>
      </c>
    </row>
    <row r="138" spans="1:9" x14ac:dyDescent="0.35">
      <c r="A138" t="s">
        <v>18</v>
      </c>
      <c r="B138" t="s">
        <v>92</v>
      </c>
      <c r="C138" t="s">
        <v>81</v>
      </c>
      <c r="D138" t="s">
        <v>126</v>
      </c>
      <c r="E138" t="s">
        <v>73</v>
      </c>
      <c r="F138" t="s">
        <v>74</v>
      </c>
      <c r="G138" t="s">
        <v>123</v>
      </c>
      <c r="H138" t="s">
        <v>84</v>
      </c>
      <c r="I138" s="4">
        <v>0</v>
      </c>
    </row>
    <row r="139" spans="1:9" x14ac:dyDescent="0.35">
      <c r="A139" t="s">
        <v>18</v>
      </c>
      <c r="B139" t="s">
        <v>92</v>
      </c>
      <c r="C139" t="s">
        <v>81</v>
      </c>
      <c r="D139" t="s">
        <v>101</v>
      </c>
      <c r="E139" t="s">
        <v>73</v>
      </c>
      <c r="F139" t="s">
        <v>74</v>
      </c>
      <c r="G139" t="s">
        <v>123</v>
      </c>
      <c r="H139" t="s">
        <v>84</v>
      </c>
      <c r="I139" s="4">
        <v>0</v>
      </c>
    </row>
    <row r="140" spans="1:9" x14ac:dyDescent="0.35">
      <c r="A140" t="s">
        <v>18</v>
      </c>
      <c r="B140" t="s">
        <v>92</v>
      </c>
      <c r="C140" t="s">
        <v>81</v>
      </c>
      <c r="D140" t="s">
        <v>104</v>
      </c>
      <c r="E140" t="s">
        <v>73</v>
      </c>
      <c r="F140" t="s">
        <v>74</v>
      </c>
      <c r="G140" t="s">
        <v>123</v>
      </c>
      <c r="H140" t="s">
        <v>84</v>
      </c>
      <c r="I140" s="4">
        <v>0</v>
      </c>
    </row>
    <row r="141" spans="1:9" x14ac:dyDescent="0.35">
      <c r="A141" t="s">
        <v>18</v>
      </c>
      <c r="B141" t="s">
        <v>92</v>
      </c>
      <c r="C141" t="s">
        <v>81</v>
      </c>
      <c r="D141" t="s">
        <v>106</v>
      </c>
      <c r="E141" t="s">
        <v>73</v>
      </c>
      <c r="F141" t="s">
        <v>74</v>
      </c>
      <c r="G141" t="s">
        <v>123</v>
      </c>
      <c r="H141" t="s">
        <v>84</v>
      </c>
      <c r="I141" s="4">
        <v>0</v>
      </c>
    </row>
    <row r="142" spans="1:9" x14ac:dyDescent="0.35">
      <c r="A142" t="s">
        <v>18</v>
      </c>
      <c r="B142" t="s">
        <v>93</v>
      </c>
      <c r="C142" t="s">
        <v>81</v>
      </c>
      <c r="D142" t="s">
        <v>119</v>
      </c>
      <c r="E142" t="s">
        <v>73</v>
      </c>
      <c r="F142" t="s">
        <v>74</v>
      </c>
      <c r="G142" t="s">
        <v>123</v>
      </c>
      <c r="H142" t="s">
        <v>84</v>
      </c>
      <c r="I142" s="76">
        <f>'SUT_EU27 total'!$L$107</f>
        <v>1.0000807460939076</v>
      </c>
    </row>
    <row r="143" spans="1:9" x14ac:dyDescent="0.35">
      <c r="A143" t="s">
        <v>18</v>
      </c>
      <c r="B143" t="s">
        <v>93</v>
      </c>
      <c r="C143" t="s">
        <v>81</v>
      </c>
      <c r="D143" t="s">
        <v>124</v>
      </c>
      <c r="E143" t="s">
        <v>73</v>
      </c>
      <c r="F143" t="s">
        <v>74</v>
      </c>
      <c r="G143" t="s">
        <v>123</v>
      </c>
      <c r="H143" t="s">
        <v>84</v>
      </c>
      <c r="I143" s="76" cm="1">
        <f t="array" ref="I143:I151">'SUT_EU27 total'!$L$111:$L$119</f>
        <v>3.7052409430862396E-4</v>
      </c>
    </row>
    <row r="144" spans="1:9" x14ac:dyDescent="0.35">
      <c r="A144" t="s">
        <v>18</v>
      </c>
      <c r="B144" t="s">
        <v>93</v>
      </c>
      <c r="C144" t="s">
        <v>81</v>
      </c>
      <c r="D144" t="s">
        <v>117</v>
      </c>
      <c r="E144" t="s">
        <v>73</v>
      </c>
      <c r="F144" t="s">
        <v>74</v>
      </c>
      <c r="G144" t="s">
        <v>123</v>
      </c>
      <c r="H144" t="s">
        <v>84</v>
      </c>
      <c r="I144" s="4">
        <v>5.8414042458127093E-3</v>
      </c>
    </row>
    <row r="145" spans="1:9" x14ac:dyDescent="0.35">
      <c r="A145" t="s">
        <v>18</v>
      </c>
      <c r="B145" t="s">
        <v>93</v>
      </c>
      <c r="C145" t="s">
        <v>81</v>
      </c>
      <c r="D145" t="s">
        <v>82</v>
      </c>
      <c r="E145" t="s">
        <v>73</v>
      </c>
      <c r="F145" t="s">
        <v>74</v>
      </c>
      <c r="G145" t="s">
        <v>123</v>
      </c>
      <c r="H145" t="s">
        <v>84</v>
      </c>
      <c r="I145" s="4">
        <v>5.0319447308723453E-3</v>
      </c>
    </row>
    <row r="146" spans="1:9" x14ac:dyDescent="0.35">
      <c r="A146" t="s">
        <v>18</v>
      </c>
      <c r="B146" t="s">
        <v>93</v>
      </c>
      <c r="C146" t="s">
        <v>81</v>
      </c>
      <c r="D146" t="s">
        <v>125</v>
      </c>
      <c r="E146" t="s">
        <v>73</v>
      </c>
      <c r="F146" t="s">
        <v>74</v>
      </c>
      <c r="G146" t="s">
        <v>123</v>
      </c>
      <c r="H146" t="s">
        <v>84</v>
      </c>
      <c r="I146" s="4">
        <v>4.336096678710085E-4</v>
      </c>
    </row>
    <row r="147" spans="1:9" x14ac:dyDescent="0.35">
      <c r="A147" t="s">
        <v>18</v>
      </c>
      <c r="B147" t="s">
        <v>93</v>
      </c>
      <c r="C147" t="s">
        <v>81</v>
      </c>
      <c r="D147" t="s">
        <v>122</v>
      </c>
      <c r="E147" t="s">
        <v>73</v>
      </c>
      <c r="F147" t="s">
        <v>74</v>
      </c>
      <c r="G147" t="s">
        <v>123</v>
      </c>
      <c r="H147" t="s">
        <v>84</v>
      </c>
      <c r="I147" s="4">
        <v>2.7129607609988112E-3</v>
      </c>
    </row>
    <row r="148" spans="1:9" x14ac:dyDescent="0.35">
      <c r="A148" t="s">
        <v>18</v>
      </c>
      <c r="B148" t="s">
        <v>93</v>
      </c>
      <c r="C148" t="s">
        <v>81</v>
      </c>
      <c r="D148" t="s">
        <v>126</v>
      </c>
      <c r="E148" t="s">
        <v>73</v>
      </c>
      <c r="F148" t="s">
        <v>74</v>
      </c>
      <c r="G148" t="s">
        <v>123</v>
      </c>
      <c r="H148" t="s">
        <v>84</v>
      </c>
      <c r="I148" s="4">
        <v>4.3855511603587784E-2</v>
      </c>
    </row>
    <row r="149" spans="1:9" x14ac:dyDescent="0.35">
      <c r="A149" t="s">
        <v>18</v>
      </c>
      <c r="B149" t="s">
        <v>93</v>
      </c>
      <c r="C149" t="s">
        <v>81</v>
      </c>
      <c r="D149" t="s">
        <v>101</v>
      </c>
      <c r="E149" t="s">
        <v>73</v>
      </c>
      <c r="F149" t="s">
        <v>74</v>
      </c>
      <c r="G149" t="s">
        <v>123</v>
      </c>
      <c r="H149" t="s">
        <v>84</v>
      </c>
      <c r="I149" s="4">
        <v>0</v>
      </c>
    </row>
    <row r="150" spans="1:9" x14ac:dyDescent="0.35">
      <c r="A150" t="s">
        <v>18</v>
      </c>
      <c r="B150" t="s">
        <v>93</v>
      </c>
      <c r="C150" t="s">
        <v>81</v>
      </c>
      <c r="D150" t="s">
        <v>104</v>
      </c>
      <c r="E150" t="s">
        <v>73</v>
      </c>
      <c r="F150" t="s">
        <v>74</v>
      </c>
      <c r="G150" t="s">
        <v>123</v>
      </c>
      <c r="H150" t="s">
        <v>84</v>
      </c>
      <c r="I150" s="4">
        <v>0</v>
      </c>
    </row>
    <row r="151" spans="1:9" x14ac:dyDescent="0.35">
      <c r="A151" t="s">
        <v>18</v>
      </c>
      <c r="B151" t="s">
        <v>93</v>
      </c>
      <c r="C151" t="s">
        <v>81</v>
      </c>
      <c r="D151" t="s">
        <v>106</v>
      </c>
      <c r="E151" t="s">
        <v>73</v>
      </c>
      <c r="F151" t="s">
        <v>74</v>
      </c>
      <c r="G151" t="s">
        <v>123</v>
      </c>
      <c r="H151" t="s">
        <v>84</v>
      </c>
      <c r="I151" s="4">
        <v>0</v>
      </c>
    </row>
    <row r="152" spans="1:9" x14ac:dyDescent="0.35">
      <c r="A152" t="s">
        <v>18</v>
      </c>
      <c r="B152" t="s">
        <v>73</v>
      </c>
      <c r="C152" t="s">
        <v>81</v>
      </c>
      <c r="D152" t="s">
        <v>119</v>
      </c>
      <c r="E152" t="s">
        <v>73</v>
      </c>
      <c r="F152" t="s">
        <v>74</v>
      </c>
      <c r="G152" t="s">
        <v>127</v>
      </c>
      <c r="H152" t="s">
        <v>84</v>
      </c>
      <c r="I152" s="76">
        <f>'SUT_EU27 total'!$M$22</f>
        <v>1.9500181678711294E-2</v>
      </c>
    </row>
    <row r="153" spans="1:9" x14ac:dyDescent="0.35">
      <c r="A153" t="s">
        <v>18</v>
      </c>
      <c r="B153" t="s">
        <v>73</v>
      </c>
      <c r="C153" t="s">
        <v>81</v>
      </c>
      <c r="D153" t="s">
        <v>124</v>
      </c>
      <c r="E153" t="s">
        <v>73</v>
      </c>
      <c r="F153" t="s">
        <v>74</v>
      </c>
      <c r="G153" t="s">
        <v>127</v>
      </c>
      <c r="H153" t="s">
        <v>84</v>
      </c>
      <c r="I153" s="76" cm="1">
        <f t="array" ref="I153:I161">'SUT_EU27 total'!$M$26:$M$34</f>
        <v>1.9404661061278542E-3</v>
      </c>
    </row>
    <row r="154" spans="1:9" x14ac:dyDescent="0.35">
      <c r="A154" t="s">
        <v>18</v>
      </c>
      <c r="B154" t="s">
        <v>73</v>
      </c>
      <c r="C154" t="s">
        <v>81</v>
      </c>
      <c r="D154" t="s">
        <v>117</v>
      </c>
      <c r="E154" t="s">
        <v>73</v>
      </c>
      <c r="F154" t="s">
        <v>74</v>
      </c>
      <c r="G154" t="s">
        <v>127</v>
      </c>
      <c r="H154" t="s">
        <v>84</v>
      </c>
      <c r="I154" s="4">
        <v>5.8423628191201782E-3</v>
      </c>
    </row>
    <row r="155" spans="1:9" x14ac:dyDescent="0.35">
      <c r="A155" t="s">
        <v>18</v>
      </c>
      <c r="B155" t="s">
        <v>73</v>
      </c>
      <c r="C155" t="s">
        <v>81</v>
      </c>
      <c r="D155" t="s">
        <v>82</v>
      </c>
      <c r="E155" t="s">
        <v>73</v>
      </c>
      <c r="F155" t="s">
        <v>74</v>
      </c>
      <c r="G155" t="s">
        <v>127</v>
      </c>
      <c r="H155" t="s">
        <v>84</v>
      </c>
      <c r="I155" s="4">
        <v>4.8981233243967828E-4</v>
      </c>
    </row>
    <row r="156" spans="1:9" x14ac:dyDescent="0.35">
      <c r="A156" t="s">
        <v>18</v>
      </c>
      <c r="B156" t="s">
        <v>73</v>
      </c>
      <c r="C156" t="s">
        <v>81</v>
      </c>
      <c r="D156" t="s">
        <v>125</v>
      </c>
      <c r="E156" t="s">
        <v>73</v>
      </c>
      <c r="F156" t="s">
        <v>74</v>
      </c>
      <c r="G156" t="s">
        <v>127</v>
      </c>
      <c r="H156" t="s">
        <v>84</v>
      </c>
      <c r="I156" s="4">
        <v>2.4658201215687387E-3</v>
      </c>
    </row>
    <row r="157" spans="1:9" x14ac:dyDescent="0.35">
      <c r="A157" t="s">
        <v>18</v>
      </c>
      <c r="B157" t="s">
        <v>73</v>
      </c>
      <c r="C157" t="s">
        <v>81</v>
      </c>
      <c r="D157" t="s">
        <v>122</v>
      </c>
      <c r="E157" t="s">
        <v>73</v>
      </c>
      <c r="F157" t="s">
        <v>74</v>
      </c>
      <c r="G157" t="s">
        <v>127</v>
      </c>
      <c r="H157" t="s">
        <v>84</v>
      </c>
      <c r="I157" s="4">
        <v>4.922711058263972E-4</v>
      </c>
    </row>
    <row r="158" spans="1:9" x14ac:dyDescent="0.35">
      <c r="A158" t="s">
        <v>18</v>
      </c>
      <c r="B158" t="s">
        <v>73</v>
      </c>
      <c r="C158" t="s">
        <v>81</v>
      </c>
      <c r="D158" t="s">
        <v>126</v>
      </c>
      <c r="E158" t="s">
        <v>73</v>
      </c>
      <c r="F158" t="s">
        <v>74</v>
      </c>
      <c r="G158" t="s">
        <v>127</v>
      </c>
      <c r="H158" t="s">
        <v>84</v>
      </c>
      <c r="I158" s="4">
        <v>0</v>
      </c>
    </row>
    <row r="159" spans="1:9" x14ac:dyDescent="0.35">
      <c r="A159" t="s">
        <v>18</v>
      </c>
      <c r="B159" t="s">
        <v>73</v>
      </c>
      <c r="C159" t="s">
        <v>81</v>
      </c>
      <c r="D159" t="s">
        <v>101</v>
      </c>
      <c r="E159" t="s">
        <v>73</v>
      </c>
      <c r="F159" t="s">
        <v>74</v>
      </c>
      <c r="G159" t="s">
        <v>127</v>
      </c>
      <c r="H159" t="s">
        <v>84</v>
      </c>
      <c r="I159" s="4">
        <v>3.6586167200000007E-4</v>
      </c>
    </row>
    <row r="160" spans="1:9" x14ac:dyDescent="0.35">
      <c r="A160" t="s">
        <v>18</v>
      </c>
      <c r="B160" t="s">
        <v>73</v>
      </c>
      <c r="C160" t="s">
        <v>81</v>
      </c>
      <c r="D160" t="s">
        <v>104</v>
      </c>
      <c r="E160" t="s">
        <v>73</v>
      </c>
      <c r="F160" t="s">
        <v>74</v>
      </c>
      <c r="G160" t="s">
        <v>127</v>
      </c>
      <c r="H160" t="s">
        <v>84</v>
      </c>
      <c r="I160" s="4">
        <v>6.9272632800000005E-4</v>
      </c>
    </row>
    <row r="161" spans="1:9" x14ac:dyDescent="0.35">
      <c r="A161" t="s">
        <v>18</v>
      </c>
      <c r="B161" t="s">
        <v>73</v>
      </c>
      <c r="C161" t="s">
        <v>81</v>
      </c>
      <c r="D161" t="s">
        <v>106</v>
      </c>
      <c r="E161" t="s">
        <v>73</v>
      </c>
      <c r="F161" t="s">
        <v>74</v>
      </c>
      <c r="G161" t="s">
        <v>127</v>
      </c>
      <c r="H161" t="s">
        <v>84</v>
      </c>
      <c r="I161" s="4">
        <v>2.3562119999999999E-3</v>
      </c>
    </row>
    <row r="162" spans="1:9" x14ac:dyDescent="0.35">
      <c r="A162" t="s">
        <v>18</v>
      </c>
      <c r="B162" t="s">
        <v>88</v>
      </c>
      <c r="C162" t="s">
        <v>81</v>
      </c>
      <c r="D162" t="s">
        <v>119</v>
      </c>
      <c r="E162" t="s">
        <v>73</v>
      </c>
      <c r="F162" t="s">
        <v>74</v>
      </c>
      <c r="G162" t="s">
        <v>127</v>
      </c>
      <c r="H162" t="s">
        <v>84</v>
      </c>
      <c r="I162" s="76">
        <f>'SUT_EU27 total'!$M$39</f>
        <v>0.16108845734587587</v>
      </c>
    </row>
    <row r="163" spans="1:9" x14ac:dyDescent="0.35">
      <c r="A163" t="s">
        <v>18</v>
      </c>
      <c r="B163" t="s">
        <v>88</v>
      </c>
      <c r="C163" t="s">
        <v>81</v>
      </c>
      <c r="D163" t="s">
        <v>124</v>
      </c>
      <c r="E163" t="s">
        <v>73</v>
      </c>
      <c r="F163" t="s">
        <v>74</v>
      </c>
      <c r="G163" t="s">
        <v>127</v>
      </c>
      <c r="H163" t="s">
        <v>84</v>
      </c>
      <c r="I163" s="76" cm="1">
        <f t="array" ref="I163:I171">'SUT_EU27 total'!$L$43:$L$51</f>
        <v>5.0558836222750793E-4</v>
      </c>
    </row>
    <row r="164" spans="1:9" x14ac:dyDescent="0.35">
      <c r="A164" t="s">
        <v>18</v>
      </c>
      <c r="B164" t="s">
        <v>88</v>
      </c>
      <c r="C164" t="s">
        <v>81</v>
      </c>
      <c r="D164" t="s">
        <v>117</v>
      </c>
      <c r="E164" t="s">
        <v>73</v>
      </c>
      <c r="F164" t="s">
        <v>74</v>
      </c>
      <c r="G164" t="s">
        <v>127</v>
      </c>
      <c r="H164" t="s">
        <v>84</v>
      </c>
      <c r="I164" s="4">
        <v>4.8514464106651379E-3</v>
      </c>
    </row>
    <row r="165" spans="1:9" x14ac:dyDescent="0.35">
      <c r="A165" t="s">
        <v>18</v>
      </c>
      <c r="B165" t="s">
        <v>88</v>
      </c>
      <c r="C165" t="s">
        <v>81</v>
      </c>
      <c r="D165" t="s">
        <v>82</v>
      </c>
      <c r="E165" t="s">
        <v>73</v>
      </c>
      <c r="F165" t="s">
        <v>74</v>
      </c>
      <c r="G165" t="s">
        <v>127</v>
      </c>
      <c r="H165" t="s">
        <v>84</v>
      </c>
      <c r="I165" s="4">
        <v>1.109418436791091E-2</v>
      </c>
    </row>
    <row r="166" spans="1:9" x14ac:dyDescent="0.35">
      <c r="A166" t="s">
        <v>18</v>
      </c>
      <c r="B166" t="s">
        <v>88</v>
      </c>
      <c r="C166" t="s">
        <v>81</v>
      </c>
      <c r="D166" t="s">
        <v>125</v>
      </c>
      <c r="E166" t="s">
        <v>73</v>
      </c>
      <c r="F166" t="s">
        <v>74</v>
      </c>
      <c r="G166" t="s">
        <v>127</v>
      </c>
      <c r="H166" t="s">
        <v>84</v>
      </c>
      <c r="I166" s="4">
        <v>2.890870278990243E-5</v>
      </c>
    </row>
    <row r="167" spans="1:9" x14ac:dyDescent="0.35">
      <c r="A167" t="s">
        <v>18</v>
      </c>
      <c r="B167" t="s">
        <v>88</v>
      </c>
      <c r="C167" t="s">
        <v>81</v>
      </c>
      <c r="D167" t="s">
        <v>122</v>
      </c>
      <c r="E167" t="s">
        <v>73</v>
      </c>
      <c r="F167" t="s">
        <v>74</v>
      </c>
      <c r="G167" t="s">
        <v>127</v>
      </c>
      <c r="H167" t="s">
        <v>84</v>
      </c>
      <c r="I167" s="4">
        <v>0</v>
      </c>
    </row>
    <row r="168" spans="1:9" x14ac:dyDescent="0.35">
      <c r="A168" t="s">
        <v>18</v>
      </c>
      <c r="B168" t="s">
        <v>88</v>
      </c>
      <c r="C168" t="s">
        <v>81</v>
      </c>
      <c r="D168" t="s">
        <v>126</v>
      </c>
      <c r="E168" t="s">
        <v>73</v>
      </c>
      <c r="F168" t="s">
        <v>74</v>
      </c>
      <c r="G168" t="s">
        <v>127</v>
      </c>
      <c r="H168" t="s">
        <v>84</v>
      </c>
      <c r="I168" s="4">
        <v>2.8514320987501449E-3</v>
      </c>
    </row>
    <row r="169" spans="1:9" x14ac:dyDescent="0.35">
      <c r="A169" t="s">
        <v>18</v>
      </c>
      <c r="B169" t="s">
        <v>88</v>
      </c>
      <c r="C169" t="s">
        <v>81</v>
      </c>
      <c r="D169" t="s">
        <v>101</v>
      </c>
      <c r="E169" t="s">
        <v>73</v>
      </c>
      <c r="F169" t="s">
        <v>74</v>
      </c>
      <c r="G169" t="s">
        <v>127</v>
      </c>
      <c r="H169" t="s">
        <v>84</v>
      </c>
      <c r="I169" s="4">
        <v>0</v>
      </c>
    </row>
    <row r="170" spans="1:9" x14ac:dyDescent="0.35">
      <c r="A170" t="s">
        <v>18</v>
      </c>
      <c r="B170" t="s">
        <v>88</v>
      </c>
      <c r="C170" t="s">
        <v>81</v>
      </c>
      <c r="D170" t="s">
        <v>104</v>
      </c>
      <c r="E170" t="s">
        <v>73</v>
      </c>
      <c r="F170" t="s">
        <v>74</v>
      </c>
      <c r="G170" t="s">
        <v>127</v>
      </c>
      <c r="H170" t="s">
        <v>84</v>
      </c>
      <c r="I170" s="4">
        <v>0</v>
      </c>
    </row>
    <row r="171" spans="1:9" x14ac:dyDescent="0.35">
      <c r="A171" t="s">
        <v>18</v>
      </c>
      <c r="B171" t="s">
        <v>88</v>
      </c>
      <c r="C171" t="s">
        <v>81</v>
      </c>
      <c r="D171" t="s">
        <v>106</v>
      </c>
      <c r="E171" t="s">
        <v>73</v>
      </c>
      <c r="F171" t="s">
        <v>74</v>
      </c>
      <c r="G171" t="s">
        <v>127</v>
      </c>
      <c r="H171" t="s">
        <v>84</v>
      </c>
      <c r="I171" s="4">
        <v>0</v>
      </c>
    </row>
    <row r="172" spans="1:9" x14ac:dyDescent="0.35">
      <c r="A172" t="s">
        <v>18</v>
      </c>
      <c r="B172" t="s">
        <v>90</v>
      </c>
      <c r="C172" t="s">
        <v>81</v>
      </c>
      <c r="D172" t="s">
        <v>119</v>
      </c>
      <c r="E172" t="s">
        <v>73</v>
      </c>
      <c r="F172" t="s">
        <v>74</v>
      </c>
      <c r="G172" t="s">
        <v>127</v>
      </c>
      <c r="H172" t="s">
        <v>84</v>
      </c>
      <c r="I172" s="76">
        <f>'SUT_EU27 total'!$M$56</f>
        <v>2.949251079979006E-2</v>
      </c>
    </row>
    <row r="173" spans="1:9" x14ac:dyDescent="0.35">
      <c r="A173" t="s">
        <v>18</v>
      </c>
      <c r="B173" t="s">
        <v>90</v>
      </c>
      <c r="C173" t="s">
        <v>81</v>
      </c>
      <c r="D173" t="s">
        <v>124</v>
      </c>
      <c r="E173" t="s">
        <v>73</v>
      </c>
      <c r="F173" t="s">
        <v>74</v>
      </c>
      <c r="G173" t="s">
        <v>127</v>
      </c>
      <c r="H173" t="s">
        <v>84</v>
      </c>
      <c r="I173" s="76" cm="1">
        <f t="array" ref="I173:I181">'SUT_EU27 total'!$M$60:$M$68</f>
        <v>2.1047443073980527E-5</v>
      </c>
    </row>
    <row r="174" spans="1:9" x14ac:dyDescent="0.35">
      <c r="A174" t="s">
        <v>18</v>
      </c>
      <c r="B174" t="s">
        <v>90</v>
      </c>
      <c r="C174" t="s">
        <v>81</v>
      </c>
      <c r="D174" t="s">
        <v>117</v>
      </c>
      <c r="E174" t="s">
        <v>73</v>
      </c>
      <c r="F174" t="s">
        <v>74</v>
      </c>
      <c r="G174" t="s">
        <v>127</v>
      </c>
      <c r="H174" t="s">
        <v>84</v>
      </c>
      <c r="I174" s="4">
        <v>5.8414015621608938E-3</v>
      </c>
    </row>
    <row r="175" spans="1:9" x14ac:dyDescent="0.35">
      <c r="A175" t="s">
        <v>18</v>
      </c>
      <c r="B175" t="s">
        <v>90</v>
      </c>
      <c r="C175" t="s">
        <v>81</v>
      </c>
      <c r="D175" t="s">
        <v>82</v>
      </c>
      <c r="E175" t="s">
        <v>73</v>
      </c>
      <c r="F175" t="s">
        <v>74</v>
      </c>
      <c r="G175" t="s">
        <v>127</v>
      </c>
      <c r="H175" t="s">
        <v>84</v>
      </c>
      <c r="I175" s="4">
        <v>1.4521138379047227E-3</v>
      </c>
    </row>
    <row r="176" spans="1:9" x14ac:dyDescent="0.35">
      <c r="A176" t="s">
        <v>18</v>
      </c>
      <c r="B176" t="s">
        <v>90</v>
      </c>
      <c r="C176" t="s">
        <v>81</v>
      </c>
      <c r="D176" t="s">
        <v>125</v>
      </c>
      <c r="E176" t="s">
        <v>73</v>
      </c>
      <c r="F176" t="s">
        <v>74</v>
      </c>
      <c r="G176" t="s">
        <v>127</v>
      </c>
      <c r="H176" t="s">
        <v>84</v>
      </c>
      <c r="I176" s="4">
        <v>6.5130870114372285E-5</v>
      </c>
    </row>
    <row r="177" spans="1:9" x14ac:dyDescent="0.35">
      <c r="A177" t="s">
        <v>18</v>
      </c>
      <c r="B177" t="s">
        <v>90</v>
      </c>
      <c r="C177" t="s">
        <v>81</v>
      </c>
      <c r="D177" t="s">
        <v>122</v>
      </c>
      <c r="E177" t="s">
        <v>73</v>
      </c>
      <c r="F177" t="s">
        <v>74</v>
      </c>
      <c r="G177" t="s">
        <v>127</v>
      </c>
      <c r="H177" t="s">
        <v>84</v>
      </c>
      <c r="I177" s="4">
        <v>7.9476813317479189E-4</v>
      </c>
    </row>
    <row r="178" spans="1:9" x14ac:dyDescent="0.35">
      <c r="A178" t="s">
        <v>18</v>
      </c>
      <c r="B178" t="s">
        <v>90</v>
      </c>
      <c r="C178" t="s">
        <v>81</v>
      </c>
      <c r="D178" t="s">
        <v>126</v>
      </c>
      <c r="E178" t="s">
        <v>73</v>
      </c>
      <c r="F178" t="s">
        <v>74</v>
      </c>
      <c r="G178" t="s">
        <v>127</v>
      </c>
      <c r="H178" t="s">
        <v>84</v>
      </c>
      <c r="I178" s="4">
        <v>8.4821183458843076E-3</v>
      </c>
    </row>
    <row r="179" spans="1:9" x14ac:dyDescent="0.35">
      <c r="A179" t="s">
        <v>18</v>
      </c>
      <c r="B179" t="s">
        <v>90</v>
      </c>
      <c r="C179" t="s">
        <v>81</v>
      </c>
      <c r="D179" t="s">
        <v>101</v>
      </c>
      <c r="E179" t="s">
        <v>73</v>
      </c>
      <c r="F179" t="s">
        <v>74</v>
      </c>
      <c r="G179" t="s">
        <v>127</v>
      </c>
      <c r="H179" t="s">
        <v>84</v>
      </c>
      <c r="I179" s="4">
        <v>0</v>
      </c>
    </row>
    <row r="180" spans="1:9" x14ac:dyDescent="0.35">
      <c r="A180" t="s">
        <v>18</v>
      </c>
      <c r="B180" t="s">
        <v>90</v>
      </c>
      <c r="C180" t="s">
        <v>81</v>
      </c>
      <c r="D180" t="s">
        <v>104</v>
      </c>
      <c r="E180" t="s">
        <v>73</v>
      </c>
      <c r="F180" t="s">
        <v>74</v>
      </c>
      <c r="G180" t="s">
        <v>127</v>
      </c>
      <c r="H180" t="s">
        <v>84</v>
      </c>
      <c r="I180" s="4">
        <v>0</v>
      </c>
    </row>
    <row r="181" spans="1:9" x14ac:dyDescent="0.35">
      <c r="A181" t="s">
        <v>18</v>
      </c>
      <c r="B181" t="s">
        <v>90</v>
      </c>
      <c r="C181" t="s">
        <v>81</v>
      </c>
      <c r="D181" t="s">
        <v>106</v>
      </c>
      <c r="E181" t="s">
        <v>73</v>
      </c>
      <c r="F181" t="s">
        <v>74</v>
      </c>
      <c r="G181" t="s">
        <v>127</v>
      </c>
      <c r="H181" t="s">
        <v>84</v>
      </c>
      <c r="I181" s="4">
        <v>0</v>
      </c>
    </row>
    <row r="182" spans="1:9" x14ac:dyDescent="0.35">
      <c r="A182" t="s">
        <v>18</v>
      </c>
      <c r="B182" t="s">
        <v>91</v>
      </c>
      <c r="C182" t="s">
        <v>81</v>
      </c>
      <c r="D182" t="s">
        <v>119</v>
      </c>
      <c r="E182" t="s">
        <v>73</v>
      </c>
      <c r="F182" t="s">
        <v>74</v>
      </c>
      <c r="G182" t="s">
        <v>127</v>
      </c>
      <c r="H182" t="s">
        <v>84</v>
      </c>
      <c r="I182" s="76">
        <f>'SUT_EU27 total'!$M$73</f>
        <v>0.15097500908393557</v>
      </c>
    </row>
    <row r="183" spans="1:9" x14ac:dyDescent="0.35">
      <c r="A183" t="s">
        <v>18</v>
      </c>
      <c r="B183" t="s">
        <v>91</v>
      </c>
      <c r="C183" t="s">
        <v>81</v>
      </c>
      <c r="D183" t="s">
        <v>124</v>
      </c>
      <c r="E183" t="s">
        <v>73</v>
      </c>
      <c r="F183" t="s">
        <v>74</v>
      </c>
      <c r="G183" t="s">
        <v>127</v>
      </c>
      <c r="H183" t="s">
        <v>84</v>
      </c>
      <c r="I183" s="76" cm="1">
        <f t="array" ref="I183:I191">'SUT_EU27 total'!$M$77:$M$85</f>
        <v>6.7728942399646885E-5</v>
      </c>
    </row>
    <row r="184" spans="1:9" x14ac:dyDescent="0.35">
      <c r="A184" t="s">
        <v>18</v>
      </c>
      <c r="B184" t="s">
        <v>91</v>
      </c>
      <c r="C184" t="s">
        <v>81</v>
      </c>
      <c r="D184" t="s">
        <v>117</v>
      </c>
      <c r="E184" t="s">
        <v>73</v>
      </c>
      <c r="F184" t="s">
        <v>74</v>
      </c>
      <c r="G184" t="s">
        <v>127</v>
      </c>
      <c r="H184" t="s">
        <v>84</v>
      </c>
      <c r="I184" s="4">
        <v>5.6233849622410815E-3</v>
      </c>
    </row>
    <row r="185" spans="1:9" x14ac:dyDescent="0.35">
      <c r="A185" t="s">
        <v>18</v>
      </c>
      <c r="B185" t="s">
        <v>91</v>
      </c>
      <c r="C185" t="s">
        <v>81</v>
      </c>
      <c r="D185" t="s">
        <v>82</v>
      </c>
      <c r="E185" t="s">
        <v>73</v>
      </c>
      <c r="F185" t="s">
        <v>74</v>
      </c>
      <c r="G185" t="s">
        <v>127</v>
      </c>
      <c r="H185" t="s">
        <v>84</v>
      </c>
      <c r="I185" s="4">
        <v>1.8068055269127655E-3</v>
      </c>
    </row>
    <row r="186" spans="1:9" x14ac:dyDescent="0.35">
      <c r="A186" t="s">
        <v>18</v>
      </c>
      <c r="B186" t="s">
        <v>91</v>
      </c>
      <c r="C186" t="s">
        <v>81</v>
      </c>
      <c r="D186" t="s">
        <v>125</v>
      </c>
      <c r="E186" t="s">
        <v>73</v>
      </c>
      <c r="F186" t="s">
        <v>74</v>
      </c>
      <c r="G186" t="s">
        <v>127</v>
      </c>
      <c r="H186" t="s">
        <v>84</v>
      </c>
      <c r="I186" s="4">
        <v>5.6492118062760293E-6</v>
      </c>
    </row>
    <row r="187" spans="1:9" x14ac:dyDescent="0.35">
      <c r="A187" t="s">
        <v>18</v>
      </c>
      <c r="B187" t="s">
        <v>91</v>
      </c>
      <c r="C187" t="s">
        <v>81</v>
      </c>
      <c r="D187" t="s">
        <v>122</v>
      </c>
      <c r="E187" t="s">
        <v>73</v>
      </c>
      <c r="F187" t="s">
        <v>74</v>
      </c>
      <c r="G187" t="s">
        <v>127</v>
      </c>
      <c r="H187" t="s">
        <v>84</v>
      </c>
      <c r="I187" s="4">
        <v>0</v>
      </c>
    </row>
    <row r="188" spans="1:9" x14ac:dyDescent="0.35">
      <c r="A188" t="s">
        <v>18</v>
      </c>
      <c r="B188" t="s">
        <v>91</v>
      </c>
      <c r="C188" t="s">
        <v>81</v>
      </c>
      <c r="D188" t="s">
        <v>126</v>
      </c>
      <c r="E188" t="s">
        <v>73</v>
      </c>
      <c r="F188" t="s">
        <v>74</v>
      </c>
      <c r="G188" t="s">
        <v>127</v>
      </c>
      <c r="H188" t="s">
        <v>84</v>
      </c>
      <c r="I188" s="4">
        <v>8.1093795177776388E-4</v>
      </c>
    </row>
    <row r="189" spans="1:9" x14ac:dyDescent="0.35">
      <c r="A189" t="s">
        <v>18</v>
      </c>
      <c r="B189" t="s">
        <v>91</v>
      </c>
      <c r="C189" t="s">
        <v>81</v>
      </c>
      <c r="D189" t="s">
        <v>101</v>
      </c>
      <c r="E189" t="s">
        <v>73</v>
      </c>
      <c r="F189" t="s">
        <v>74</v>
      </c>
      <c r="G189" t="s">
        <v>127</v>
      </c>
      <c r="H189" t="s">
        <v>84</v>
      </c>
      <c r="I189" s="4">
        <v>0</v>
      </c>
    </row>
    <row r="190" spans="1:9" x14ac:dyDescent="0.35">
      <c r="A190" t="s">
        <v>18</v>
      </c>
      <c r="B190" t="s">
        <v>91</v>
      </c>
      <c r="C190" t="s">
        <v>81</v>
      </c>
      <c r="D190" t="s">
        <v>104</v>
      </c>
      <c r="E190" t="s">
        <v>73</v>
      </c>
      <c r="F190" t="s">
        <v>74</v>
      </c>
      <c r="G190" t="s">
        <v>127</v>
      </c>
      <c r="H190" t="s">
        <v>84</v>
      </c>
      <c r="I190" s="4">
        <v>0</v>
      </c>
    </row>
    <row r="191" spans="1:9" x14ac:dyDescent="0.35">
      <c r="A191" t="s">
        <v>18</v>
      </c>
      <c r="B191" t="s">
        <v>91</v>
      </c>
      <c r="C191" t="s">
        <v>81</v>
      </c>
      <c r="D191" t="s">
        <v>106</v>
      </c>
      <c r="E191" t="s">
        <v>73</v>
      </c>
      <c r="F191" t="s">
        <v>74</v>
      </c>
      <c r="G191" t="s">
        <v>127</v>
      </c>
      <c r="H191" t="s">
        <v>84</v>
      </c>
      <c r="I191" s="4">
        <v>0</v>
      </c>
    </row>
    <row r="192" spans="1:9" x14ac:dyDescent="0.35">
      <c r="A192" t="s">
        <v>18</v>
      </c>
      <c r="B192" t="s">
        <v>92</v>
      </c>
      <c r="C192" t="s">
        <v>81</v>
      </c>
      <c r="D192" t="s">
        <v>119</v>
      </c>
      <c r="E192" t="s">
        <v>73</v>
      </c>
      <c r="F192" t="s">
        <v>74</v>
      </c>
      <c r="G192" t="s">
        <v>127</v>
      </c>
      <c r="H192" t="s">
        <v>84</v>
      </c>
      <c r="I192" s="76">
        <f>'SUT_EU27 total'!$M$90</f>
        <v>0.13886309499777949</v>
      </c>
    </row>
    <row r="193" spans="1:9" x14ac:dyDescent="0.35">
      <c r="A193" t="s">
        <v>18</v>
      </c>
      <c r="B193" t="s">
        <v>92</v>
      </c>
      <c r="C193" t="s">
        <v>81</v>
      </c>
      <c r="D193" t="s">
        <v>124</v>
      </c>
      <c r="E193" t="s">
        <v>73</v>
      </c>
      <c r="F193" t="s">
        <v>74</v>
      </c>
      <c r="G193" t="s">
        <v>127</v>
      </c>
      <c r="H193" t="s">
        <v>84</v>
      </c>
      <c r="I193" s="76" cm="1">
        <f t="array" ref="I193:I201">'SUT_EU27 total'!$M$94:$M$102</f>
        <v>9.2968907089085616E-5</v>
      </c>
    </row>
    <row r="194" spans="1:9" x14ac:dyDescent="0.35">
      <c r="A194" t="s">
        <v>18</v>
      </c>
      <c r="B194" t="s">
        <v>92</v>
      </c>
      <c r="C194" t="s">
        <v>81</v>
      </c>
      <c r="D194" t="s">
        <v>117</v>
      </c>
      <c r="E194" t="s">
        <v>73</v>
      </c>
      <c r="F194" t="s">
        <v>74</v>
      </c>
      <c r="G194" t="s">
        <v>127</v>
      </c>
      <c r="H194" t="s">
        <v>84</v>
      </c>
      <c r="I194" s="4">
        <v>0</v>
      </c>
    </row>
    <row r="195" spans="1:9" x14ac:dyDescent="0.35">
      <c r="A195" t="s">
        <v>18</v>
      </c>
      <c r="B195" t="s">
        <v>92</v>
      </c>
      <c r="C195" t="s">
        <v>81</v>
      </c>
      <c r="D195" t="s">
        <v>82</v>
      </c>
      <c r="E195" t="s">
        <v>73</v>
      </c>
      <c r="F195" t="s">
        <v>74</v>
      </c>
      <c r="G195" t="s">
        <v>127</v>
      </c>
      <c r="H195" t="s">
        <v>84</v>
      </c>
      <c r="I195" s="4">
        <v>1.1251392039595793E-3</v>
      </c>
    </row>
    <row r="196" spans="1:9" x14ac:dyDescent="0.35">
      <c r="A196" t="s">
        <v>18</v>
      </c>
      <c r="B196" t="s">
        <v>92</v>
      </c>
      <c r="C196" t="s">
        <v>81</v>
      </c>
      <c r="D196" t="s">
        <v>125</v>
      </c>
      <c r="E196" t="s">
        <v>73</v>
      </c>
      <c r="F196" t="s">
        <v>74</v>
      </c>
      <c r="G196" t="s">
        <v>127</v>
      </c>
      <c r="H196" t="s">
        <v>84</v>
      </c>
      <c r="I196" s="4">
        <v>5.0048817841215026E-7</v>
      </c>
    </row>
    <row r="197" spans="1:9" x14ac:dyDescent="0.35">
      <c r="A197" t="s">
        <v>18</v>
      </c>
      <c r="B197" t="s">
        <v>92</v>
      </c>
      <c r="C197" t="s">
        <v>81</v>
      </c>
      <c r="D197" t="s">
        <v>122</v>
      </c>
      <c r="E197" t="s">
        <v>73</v>
      </c>
      <c r="F197" t="s">
        <v>74</v>
      </c>
      <c r="G197" t="s">
        <v>127</v>
      </c>
      <c r="H197" t="s">
        <v>84</v>
      </c>
      <c r="I197" s="4">
        <v>0</v>
      </c>
    </row>
    <row r="198" spans="1:9" x14ac:dyDescent="0.35">
      <c r="A198" t="s">
        <v>18</v>
      </c>
      <c r="B198" t="s">
        <v>92</v>
      </c>
      <c r="C198" t="s">
        <v>81</v>
      </c>
      <c r="D198" t="s">
        <v>126</v>
      </c>
      <c r="E198" t="s">
        <v>73</v>
      </c>
      <c r="F198" t="s">
        <v>74</v>
      </c>
      <c r="G198" t="s">
        <v>127</v>
      </c>
      <c r="H198" t="s">
        <v>84</v>
      </c>
      <c r="I198" s="4">
        <v>0</v>
      </c>
    </row>
    <row r="199" spans="1:9" x14ac:dyDescent="0.35">
      <c r="A199" t="s">
        <v>18</v>
      </c>
      <c r="B199" t="s">
        <v>92</v>
      </c>
      <c r="C199" t="s">
        <v>81</v>
      </c>
      <c r="D199" t="s">
        <v>101</v>
      </c>
      <c r="E199" t="s">
        <v>73</v>
      </c>
      <c r="F199" t="s">
        <v>74</v>
      </c>
      <c r="G199" t="s">
        <v>127</v>
      </c>
      <c r="H199" t="s">
        <v>84</v>
      </c>
      <c r="I199" s="4">
        <v>0</v>
      </c>
    </row>
    <row r="200" spans="1:9" x14ac:dyDescent="0.35">
      <c r="A200" t="s">
        <v>18</v>
      </c>
      <c r="B200" t="s">
        <v>92</v>
      </c>
      <c r="C200" t="s">
        <v>81</v>
      </c>
      <c r="D200" t="s">
        <v>104</v>
      </c>
      <c r="E200" t="s">
        <v>73</v>
      </c>
      <c r="F200" t="s">
        <v>74</v>
      </c>
      <c r="G200" t="s">
        <v>127</v>
      </c>
      <c r="H200" t="s">
        <v>84</v>
      </c>
      <c r="I200" s="4">
        <v>0</v>
      </c>
    </row>
    <row r="201" spans="1:9" x14ac:dyDescent="0.35">
      <c r="A201" t="s">
        <v>18</v>
      </c>
      <c r="B201" t="s">
        <v>92</v>
      </c>
      <c r="C201" t="s">
        <v>81</v>
      </c>
      <c r="D201" t="s">
        <v>106</v>
      </c>
      <c r="E201" t="s">
        <v>73</v>
      </c>
      <c r="F201" t="s">
        <v>74</v>
      </c>
      <c r="G201" t="s">
        <v>127</v>
      </c>
      <c r="H201" t="s">
        <v>84</v>
      </c>
      <c r="I201" s="4">
        <v>0</v>
      </c>
    </row>
    <row r="202" spans="1:9" x14ac:dyDescent="0.35">
      <c r="A202" t="s">
        <v>18</v>
      </c>
      <c r="B202" t="s">
        <v>93</v>
      </c>
      <c r="C202" t="s">
        <v>81</v>
      </c>
      <c r="D202" t="s">
        <v>119</v>
      </c>
      <c r="E202" t="s">
        <v>73</v>
      </c>
      <c r="F202" t="s">
        <v>74</v>
      </c>
      <c r="G202" t="s">
        <v>127</v>
      </c>
      <c r="H202" t="s">
        <v>84</v>
      </c>
      <c r="I202" s="76">
        <f>'SUT_EU27 total'!$M$107</f>
        <v>1.0000807460939076</v>
      </c>
    </row>
    <row r="203" spans="1:9" x14ac:dyDescent="0.35">
      <c r="A203" t="s">
        <v>18</v>
      </c>
      <c r="B203" t="s">
        <v>93</v>
      </c>
      <c r="C203" t="s">
        <v>81</v>
      </c>
      <c r="D203" t="s">
        <v>124</v>
      </c>
      <c r="E203" t="s">
        <v>73</v>
      </c>
      <c r="F203" t="s">
        <v>74</v>
      </c>
      <c r="G203" t="s">
        <v>127</v>
      </c>
      <c r="H203" t="s">
        <v>84</v>
      </c>
      <c r="I203" s="76" cm="1">
        <f t="array" ref="I203:I211">'SUT_EU27 total'!$M$111:$M$119</f>
        <v>3.7052409430862396E-4</v>
      </c>
    </row>
    <row r="204" spans="1:9" x14ac:dyDescent="0.35">
      <c r="A204" t="s">
        <v>18</v>
      </c>
      <c r="B204" t="s">
        <v>93</v>
      </c>
      <c r="C204" t="s">
        <v>81</v>
      </c>
      <c r="D204" t="s">
        <v>117</v>
      </c>
      <c r="E204" t="s">
        <v>73</v>
      </c>
      <c r="F204" t="s">
        <v>74</v>
      </c>
      <c r="G204" t="s">
        <v>127</v>
      </c>
      <c r="H204" t="s">
        <v>84</v>
      </c>
      <c r="I204" s="4">
        <v>5.8414042458127093E-3</v>
      </c>
    </row>
    <row r="205" spans="1:9" x14ac:dyDescent="0.35">
      <c r="A205" t="s">
        <v>18</v>
      </c>
      <c r="B205" t="s">
        <v>93</v>
      </c>
      <c r="C205" t="s">
        <v>81</v>
      </c>
      <c r="D205" t="s">
        <v>82</v>
      </c>
      <c r="E205" t="s">
        <v>73</v>
      </c>
      <c r="F205" t="s">
        <v>74</v>
      </c>
      <c r="G205" t="s">
        <v>127</v>
      </c>
      <c r="H205" t="s">
        <v>84</v>
      </c>
      <c r="I205" s="4">
        <v>5.0319447308723453E-3</v>
      </c>
    </row>
    <row r="206" spans="1:9" x14ac:dyDescent="0.35">
      <c r="A206" t="s">
        <v>18</v>
      </c>
      <c r="B206" t="s">
        <v>93</v>
      </c>
      <c r="C206" t="s">
        <v>81</v>
      </c>
      <c r="D206" t="s">
        <v>125</v>
      </c>
      <c r="E206" t="s">
        <v>73</v>
      </c>
      <c r="F206" t="s">
        <v>74</v>
      </c>
      <c r="G206" t="s">
        <v>127</v>
      </c>
      <c r="H206" t="s">
        <v>84</v>
      </c>
      <c r="I206" s="4">
        <v>4.336096678710085E-4</v>
      </c>
    </row>
    <row r="207" spans="1:9" x14ac:dyDescent="0.35">
      <c r="A207" t="s">
        <v>18</v>
      </c>
      <c r="B207" t="s">
        <v>93</v>
      </c>
      <c r="C207" t="s">
        <v>81</v>
      </c>
      <c r="D207" t="s">
        <v>122</v>
      </c>
      <c r="E207" t="s">
        <v>73</v>
      </c>
      <c r="F207" t="s">
        <v>74</v>
      </c>
      <c r="G207" t="s">
        <v>127</v>
      </c>
      <c r="H207" t="s">
        <v>84</v>
      </c>
      <c r="I207" s="4">
        <v>2.7129607609988112E-3</v>
      </c>
    </row>
    <row r="208" spans="1:9" x14ac:dyDescent="0.35">
      <c r="A208" t="s">
        <v>18</v>
      </c>
      <c r="B208" t="s">
        <v>93</v>
      </c>
      <c r="C208" t="s">
        <v>81</v>
      </c>
      <c r="D208" t="s">
        <v>126</v>
      </c>
      <c r="E208" t="s">
        <v>73</v>
      </c>
      <c r="F208" t="s">
        <v>74</v>
      </c>
      <c r="G208" t="s">
        <v>127</v>
      </c>
      <c r="H208" t="s">
        <v>84</v>
      </c>
      <c r="I208" s="4">
        <v>4.3855511603587784E-2</v>
      </c>
    </row>
    <row r="209" spans="1:9" x14ac:dyDescent="0.35">
      <c r="A209" t="s">
        <v>18</v>
      </c>
      <c r="B209" t="s">
        <v>93</v>
      </c>
      <c r="C209" t="s">
        <v>81</v>
      </c>
      <c r="D209" t="s">
        <v>101</v>
      </c>
      <c r="E209" t="s">
        <v>73</v>
      </c>
      <c r="F209" t="s">
        <v>74</v>
      </c>
      <c r="G209" t="s">
        <v>127</v>
      </c>
      <c r="H209" t="s">
        <v>84</v>
      </c>
      <c r="I209" s="4">
        <v>0</v>
      </c>
    </row>
    <row r="210" spans="1:9" x14ac:dyDescent="0.35">
      <c r="A210" t="s">
        <v>18</v>
      </c>
      <c r="B210" t="s">
        <v>93</v>
      </c>
      <c r="C210" t="s">
        <v>81</v>
      </c>
      <c r="D210" t="s">
        <v>104</v>
      </c>
      <c r="E210" t="s">
        <v>73</v>
      </c>
      <c r="F210" t="s">
        <v>74</v>
      </c>
      <c r="G210" t="s">
        <v>127</v>
      </c>
      <c r="H210" t="s">
        <v>84</v>
      </c>
      <c r="I210" s="4">
        <v>0</v>
      </c>
    </row>
    <row r="211" spans="1:9" x14ac:dyDescent="0.35">
      <c r="A211" t="s">
        <v>18</v>
      </c>
      <c r="B211" t="s">
        <v>93</v>
      </c>
      <c r="C211" t="s">
        <v>81</v>
      </c>
      <c r="D211" t="s">
        <v>106</v>
      </c>
      <c r="E211" t="s">
        <v>73</v>
      </c>
      <c r="F211" t="s">
        <v>74</v>
      </c>
      <c r="G211" t="s">
        <v>127</v>
      </c>
      <c r="H211" t="s">
        <v>84</v>
      </c>
      <c r="I211" s="4">
        <v>0</v>
      </c>
    </row>
    <row r="212" spans="1:9" x14ac:dyDescent="0.35">
      <c r="A212" t="s">
        <v>18</v>
      </c>
      <c r="B212" t="s">
        <v>73</v>
      </c>
      <c r="C212" t="s">
        <v>81</v>
      </c>
      <c r="D212" t="s">
        <v>82</v>
      </c>
      <c r="E212" t="s">
        <v>73</v>
      </c>
      <c r="F212" t="s">
        <v>74</v>
      </c>
      <c r="G212" t="s">
        <v>128</v>
      </c>
      <c r="H212" t="s">
        <v>84</v>
      </c>
      <c r="I212" s="76">
        <f>'SUT_EU27 total'!$N$28</f>
        <v>1.4658301341380521E-2</v>
      </c>
    </row>
    <row r="213" spans="1:9" x14ac:dyDescent="0.35">
      <c r="A213" t="s">
        <v>18</v>
      </c>
      <c r="B213" t="s">
        <v>73</v>
      </c>
      <c r="C213" t="s">
        <v>81</v>
      </c>
      <c r="D213" t="s">
        <v>86</v>
      </c>
      <c r="E213" t="s">
        <v>73</v>
      </c>
      <c r="F213" t="s">
        <v>74</v>
      </c>
      <c r="G213" t="s">
        <v>128</v>
      </c>
      <c r="H213" t="s">
        <v>84</v>
      </c>
      <c r="I213" s="76">
        <f>'SUT_EU27 total'!$N$35</f>
        <v>3.0740776778828832E-3</v>
      </c>
    </row>
    <row r="214" spans="1:9" x14ac:dyDescent="0.35">
      <c r="A214" t="s">
        <v>18</v>
      </c>
      <c r="B214" t="s">
        <v>88</v>
      </c>
      <c r="C214" t="s">
        <v>81</v>
      </c>
      <c r="D214" t="s">
        <v>82</v>
      </c>
      <c r="E214" t="s">
        <v>73</v>
      </c>
      <c r="F214" t="s">
        <v>74</v>
      </c>
      <c r="G214" t="s">
        <v>128</v>
      </c>
      <c r="H214" t="s">
        <v>84</v>
      </c>
      <c r="I214" s="76">
        <f>'SUT_EU27 total'!$N$45</f>
        <v>9.2276548594747033E-3</v>
      </c>
    </row>
    <row r="215" spans="1:9" x14ac:dyDescent="0.35">
      <c r="A215" t="s">
        <v>18</v>
      </c>
      <c r="B215" t="s">
        <v>88</v>
      </c>
      <c r="C215" t="s">
        <v>81</v>
      </c>
      <c r="D215" t="s">
        <v>86</v>
      </c>
      <c r="E215" t="s">
        <v>73</v>
      </c>
      <c r="F215" t="s">
        <v>74</v>
      </c>
      <c r="G215" t="s">
        <v>128</v>
      </c>
      <c r="H215" t="s">
        <v>84</v>
      </c>
      <c r="I215" s="76">
        <f>'SUT_EU27 total'!$N$52</f>
        <v>6.9627451701437512E-2</v>
      </c>
    </row>
    <row r="216" spans="1:9" x14ac:dyDescent="0.35">
      <c r="A216" t="s">
        <v>18</v>
      </c>
      <c r="B216" t="s">
        <v>90</v>
      </c>
      <c r="C216" t="s">
        <v>81</v>
      </c>
      <c r="D216" t="s">
        <v>82</v>
      </c>
      <c r="E216" t="s">
        <v>73</v>
      </c>
      <c r="F216" t="s">
        <v>74</v>
      </c>
      <c r="G216" t="s">
        <v>128</v>
      </c>
      <c r="H216" t="s">
        <v>84</v>
      </c>
      <c r="I216" s="76">
        <f>'SUT_EU27 total'!$N$62</f>
        <v>2.2200107734217647E-6</v>
      </c>
    </row>
    <row r="217" spans="1:9" x14ac:dyDescent="0.35">
      <c r="A217" t="s">
        <v>18</v>
      </c>
      <c r="B217" t="s">
        <v>90</v>
      </c>
      <c r="C217" t="s">
        <v>81</v>
      </c>
      <c r="D217" t="s">
        <v>86</v>
      </c>
      <c r="E217" t="s">
        <v>73</v>
      </c>
      <c r="F217" t="s">
        <v>74</v>
      </c>
      <c r="G217" t="s">
        <v>128</v>
      </c>
      <c r="H217" t="s">
        <v>84</v>
      </c>
      <c r="I217" s="76">
        <f>'SUT_EU27 total'!$N$69</f>
        <v>9.1135123377023061E-3</v>
      </c>
    </row>
    <row r="218" spans="1:9" x14ac:dyDescent="0.35">
      <c r="A218" t="s">
        <v>18</v>
      </c>
      <c r="B218" t="s">
        <v>91</v>
      </c>
      <c r="C218" t="s">
        <v>81</v>
      </c>
      <c r="D218" t="s">
        <v>82</v>
      </c>
      <c r="E218" t="s">
        <v>73</v>
      </c>
      <c r="F218" t="s">
        <v>74</v>
      </c>
      <c r="G218" t="s">
        <v>128</v>
      </c>
      <c r="H218" t="s">
        <v>84</v>
      </c>
      <c r="I218" s="76">
        <f>'SUT_EU27 total'!$N$79</f>
        <v>4.3195382907628159E-4</v>
      </c>
    </row>
    <row r="219" spans="1:9" x14ac:dyDescent="0.35">
      <c r="A219" t="s">
        <v>18</v>
      </c>
      <c r="B219" t="s">
        <v>91</v>
      </c>
      <c r="C219" t="s">
        <v>81</v>
      </c>
      <c r="D219" t="s">
        <v>86</v>
      </c>
      <c r="E219" t="s">
        <v>73</v>
      </c>
      <c r="F219" t="s">
        <v>74</v>
      </c>
      <c r="G219" t="s">
        <v>128</v>
      </c>
      <c r="H219" t="s">
        <v>84</v>
      </c>
      <c r="I219" s="76">
        <f>'SUT_EU27 total'!$N$86</f>
        <v>1.1339568587203704E-2</v>
      </c>
    </row>
    <row r="220" spans="1:9" x14ac:dyDescent="0.35">
      <c r="A220" t="s">
        <v>18</v>
      </c>
      <c r="B220" t="s">
        <v>92</v>
      </c>
      <c r="C220" t="s">
        <v>81</v>
      </c>
      <c r="D220" t="s">
        <v>82</v>
      </c>
      <c r="E220" t="s">
        <v>73</v>
      </c>
      <c r="F220" t="s">
        <v>74</v>
      </c>
      <c r="G220" t="s">
        <v>128</v>
      </c>
      <c r="H220" t="s">
        <v>84</v>
      </c>
      <c r="I220" s="76">
        <f>'SUT_EU27 total'!$N$96</f>
        <v>5.9963902402539811E-4</v>
      </c>
    </row>
    <row r="221" spans="1:9" x14ac:dyDescent="0.35">
      <c r="A221" t="s">
        <v>18</v>
      </c>
      <c r="B221" t="s">
        <v>92</v>
      </c>
      <c r="C221" t="s">
        <v>81</v>
      </c>
      <c r="D221" t="s">
        <v>86</v>
      </c>
      <c r="E221" t="s">
        <v>73</v>
      </c>
      <c r="F221" t="s">
        <v>74</v>
      </c>
      <c r="G221" t="s">
        <v>128</v>
      </c>
      <c r="H221" t="s">
        <v>84</v>
      </c>
      <c r="I221" s="76">
        <f>'SUT_EU27 total'!$N$103</f>
        <v>7.0614092017150581E-3</v>
      </c>
    </row>
    <row r="222" spans="1:9" x14ac:dyDescent="0.35">
      <c r="A222" t="s">
        <v>18</v>
      </c>
      <c r="B222" t="s">
        <v>93</v>
      </c>
      <c r="C222" t="s">
        <v>81</v>
      </c>
      <c r="D222" t="s">
        <v>82</v>
      </c>
      <c r="E222" t="s">
        <v>73</v>
      </c>
      <c r="F222" t="s">
        <v>74</v>
      </c>
      <c r="G222" t="s">
        <v>128</v>
      </c>
      <c r="H222" t="s">
        <v>84</v>
      </c>
      <c r="I222" s="76">
        <f>'SUT_EU27 total'!$N$113</f>
        <v>2.4854239602480213E-3</v>
      </c>
    </row>
    <row r="223" spans="1:9" x14ac:dyDescent="0.35">
      <c r="A223" t="s">
        <v>18</v>
      </c>
      <c r="B223" t="s">
        <v>93</v>
      </c>
      <c r="C223" t="s">
        <v>81</v>
      </c>
      <c r="D223" t="s">
        <v>86</v>
      </c>
      <c r="E223" t="s">
        <v>73</v>
      </c>
      <c r="F223" t="s">
        <v>74</v>
      </c>
      <c r="G223" t="s">
        <v>128</v>
      </c>
      <c r="H223" t="s">
        <v>84</v>
      </c>
      <c r="I223" s="76">
        <f>'SUT_EU27 total'!$N$120</f>
        <v>3.1580644155014347E-2</v>
      </c>
    </row>
    <row r="224" spans="1:9" x14ac:dyDescent="0.35">
      <c r="A224" t="s">
        <v>18</v>
      </c>
      <c r="B224" t="s">
        <v>73</v>
      </c>
      <c r="C224" t="s">
        <v>81</v>
      </c>
      <c r="D224" t="s">
        <v>82</v>
      </c>
      <c r="E224" t="s">
        <v>73</v>
      </c>
      <c r="F224" t="s">
        <v>74</v>
      </c>
      <c r="G224" t="s">
        <v>129</v>
      </c>
      <c r="H224" t="s">
        <v>84</v>
      </c>
      <c r="I224" s="76">
        <f>'SUT_EU27 total'!$O$28</f>
        <v>1.4658301341380521E-2</v>
      </c>
    </row>
    <row r="225" spans="1:9" x14ac:dyDescent="0.35">
      <c r="A225" t="s">
        <v>18</v>
      </c>
      <c r="B225" t="s">
        <v>73</v>
      </c>
      <c r="C225" t="s">
        <v>81</v>
      </c>
      <c r="D225" t="s">
        <v>86</v>
      </c>
      <c r="E225" t="s">
        <v>73</v>
      </c>
      <c r="F225" t="s">
        <v>74</v>
      </c>
      <c r="G225" t="s">
        <v>129</v>
      </c>
      <c r="H225" t="s">
        <v>84</v>
      </c>
      <c r="I225" s="76">
        <f>'SUT_EU27 total'!$O$35</f>
        <v>3.0740776778828832E-3</v>
      </c>
    </row>
    <row r="226" spans="1:9" x14ac:dyDescent="0.35">
      <c r="A226" t="s">
        <v>18</v>
      </c>
      <c r="B226" t="s">
        <v>88</v>
      </c>
      <c r="C226" t="s">
        <v>81</v>
      </c>
      <c r="D226" t="s">
        <v>82</v>
      </c>
      <c r="E226" t="s">
        <v>73</v>
      </c>
      <c r="F226" t="s">
        <v>74</v>
      </c>
      <c r="G226" t="s">
        <v>129</v>
      </c>
      <c r="H226" t="s">
        <v>84</v>
      </c>
      <c r="I226" s="76">
        <f>'SUT_EU27 total'!$O$45</f>
        <v>9.2276548594747033E-3</v>
      </c>
    </row>
    <row r="227" spans="1:9" x14ac:dyDescent="0.35">
      <c r="A227" t="s">
        <v>18</v>
      </c>
      <c r="B227" t="s">
        <v>88</v>
      </c>
      <c r="C227" t="s">
        <v>81</v>
      </c>
      <c r="D227" t="s">
        <v>86</v>
      </c>
      <c r="E227" t="s">
        <v>73</v>
      </c>
      <c r="F227" t="s">
        <v>74</v>
      </c>
      <c r="G227" t="s">
        <v>129</v>
      </c>
      <c r="H227" t="s">
        <v>84</v>
      </c>
      <c r="I227" s="76">
        <f>'SUT_EU27 total'!$O$52</f>
        <v>6.9627451701437512E-2</v>
      </c>
    </row>
    <row r="228" spans="1:9" x14ac:dyDescent="0.35">
      <c r="A228" t="s">
        <v>18</v>
      </c>
      <c r="B228" t="s">
        <v>90</v>
      </c>
      <c r="C228" t="s">
        <v>81</v>
      </c>
      <c r="D228" t="s">
        <v>82</v>
      </c>
      <c r="E228" t="s">
        <v>73</v>
      </c>
      <c r="F228" t="s">
        <v>74</v>
      </c>
      <c r="G228" t="s">
        <v>129</v>
      </c>
      <c r="H228" t="s">
        <v>84</v>
      </c>
      <c r="I228" s="76">
        <f>'SUT_EU27 total'!$O$62</f>
        <v>2.2200107734217647E-6</v>
      </c>
    </row>
    <row r="229" spans="1:9" x14ac:dyDescent="0.35">
      <c r="A229" t="s">
        <v>18</v>
      </c>
      <c r="B229" t="s">
        <v>90</v>
      </c>
      <c r="C229" t="s">
        <v>81</v>
      </c>
      <c r="D229" t="s">
        <v>86</v>
      </c>
      <c r="E229" t="s">
        <v>73</v>
      </c>
      <c r="F229" t="s">
        <v>74</v>
      </c>
      <c r="G229" t="s">
        <v>129</v>
      </c>
      <c r="H229" t="s">
        <v>84</v>
      </c>
      <c r="I229" s="76">
        <f>'SUT_EU27 total'!$O$69</f>
        <v>9.1135123377023061E-3</v>
      </c>
    </row>
    <row r="230" spans="1:9" x14ac:dyDescent="0.35">
      <c r="A230" t="s">
        <v>18</v>
      </c>
      <c r="B230" t="s">
        <v>91</v>
      </c>
      <c r="C230" t="s">
        <v>81</v>
      </c>
      <c r="D230" t="s">
        <v>82</v>
      </c>
      <c r="E230" t="s">
        <v>73</v>
      </c>
      <c r="F230" t="s">
        <v>74</v>
      </c>
      <c r="G230" t="s">
        <v>129</v>
      </c>
      <c r="H230" t="s">
        <v>84</v>
      </c>
      <c r="I230" s="76">
        <f>'SUT_EU27 total'!$O$79</f>
        <v>4.3195382907628159E-4</v>
      </c>
    </row>
    <row r="231" spans="1:9" x14ac:dyDescent="0.35">
      <c r="A231" t="s">
        <v>18</v>
      </c>
      <c r="B231" t="s">
        <v>91</v>
      </c>
      <c r="C231" t="s">
        <v>81</v>
      </c>
      <c r="D231" t="s">
        <v>86</v>
      </c>
      <c r="E231" t="s">
        <v>73</v>
      </c>
      <c r="F231" t="s">
        <v>74</v>
      </c>
      <c r="G231" t="s">
        <v>129</v>
      </c>
      <c r="H231" t="s">
        <v>84</v>
      </c>
      <c r="I231" s="76">
        <f>'SUT_EU27 total'!$O$86</f>
        <v>1.1339568587203704E-2</v>
      </c>
    </row>
    <row r="232" spans="1:9" x14ac:dyDescent="0.35">
      <c r="A232" t="s">
        <v>18</v>
      </c>
      <c r="B232" t="s">
        <v>92</v>
      </c>
      <c r="C232" t="s">
        <v>81</v>
      </c>
      <c r="D232" t="s">
        <v>82</v>
      </c>
      <c r="E232" t="s">
        <v>73</v>
      </c>
      <c r="F232" t="s">
        <v>74</v>
      </c>
      <c r="G232" t="s">
        <v>129</v>
      </c>
      <c r="H232" t="s">
        <v>84</v>
      </c>
      <c r="I232" s="76">
        <f>'SUT_EU27 total'!$O$96</f>
        <v>5.9963902402539811E-4</v>
      </c>
    </row>
    <row r="233" spans="1:9" x14ac:dyDescent="0.35">
      <c r="A233" t="s">
        <v>18</v>
      </c>
      <c r="B233" t="s">
        <v>92</v>
      </c>
      <c r="C233" t="s">
        <v>81</v>
      </c>
      <c r="D233" t="s">
        <v>86</v>
      </c>
      <c r="E233" t="s">
        <v>73</v>
      </c>
      <c r="F233" t="s">
        <v>74</v>
      </c>
      <c r="G233" t="s">
        <v>129</v>
      </c>
      <c r="H233" t="s">
        <v>84</v>
      </c>
      <c r="I233" s="76">
        <f>'SUT_EU27 total'!$O$103</f>
        <v>7.0614092017150581E-3</v>
      </c>
    </row>
    <row r="234" spans="1:9" x14ac:dyDescent="0.35">
      <c r="A234" t="s">
        <v>18</v>
      </c>
      <c r="B234" t="s">
        <v>93</v>
      </c>
      <c r="C234" t="s">
        <v>81</v>
      </c>
      <c r="D234" t="s">
        <v>82</v>
      </c>
      <c r="E234" t="s">
        <v>73</v>
      </c>
      <c r="F234" t="s">
        <v>74</v>
      </c>
      <c r="G234" t="s">
        <v>129</v>
      </c>
      <c r="H234" t="s">
        <v>84</v>
      </c>
      <c r="I234" s="76">
        <f>'SUT_EU27 total'!$O$113</f>
        <v>2.4854239602480213E-3</v>
      </c>
    </row>
    <row r="235" spans="1:9" x14ac:dyDescent="0.35">
      <c r="A235" t="s">
        <v>18</v>
      </c>
      <c r="B235" t="s">
        <v>93</v>
      </c>
      <c r="C235" t="s">
        <v>81</v>
      </c>
      <c r="D235" t="s">
        <v>86</v>
      </c>
      <c r="E235" t="s">
        <v>73</v>
      </c>
      <c r="F235" t="s">
        <v>74</v>
      </c>
      <c r="G235" t="s">
        <v>129</v>
      </c>
      <c r="H235" t="s">
        <v>84</v>
      </c>
      <c r="I235" s="76">
        <f>'SUT_EU27 total'!$O$120</f>
        <v>3.1580644155014347E-2</v>
      </c>
    </row>
    <row r="236" spans="1:9" x14ac:dyDescent="0.35">
      <c r="A236" t="s">
        <v>18</v>
      </c>
      <c r="B236" t="s">
        <v>73</v>
      </c>
      <c r="C236" t="s">
        <v>81</v>
      </c>
      <c r="D236" t="s">
        <v>82</v>
      </c>
      <c r="E236" t="s">
        <v>73</v>
      </c>
      <c r="F236" t="s">
        <v>74</v>
      </c>
      <c r="G236" t="s">
        <v>130</v>
      </c>
      <c r="H236" t="s">
        <v>84</v>
      </c>
      <c r="I236" s="76">
        <f>'SUT_EU27 total'!$Q$28</f>
        <v>7.0611384178638645E-2</v>
      </c>
    </row>
    <row r="237" spans="1:9" x14ac:dyDescent="0.35">
      <c r="A237" t="s">
        <v>18</v>
      </c>
      <c r="B237" t="s">
        <v>88</v>
      </c>
      <c r="C237" t="s">
        <v>81</v>
      </c>
      <c r="D237" t="s">
        <v>82</v>
      </c>
      <c r="E237" t="s">
        <v>73</v>
      </c>
      <c r="F237" t="s">
        <v>74</v>
      </c>
      <c r="G237" t="s">
        <v>130</v>
      </c>
      <c r="H237" t="s">
        <v>84</v>
      </c>
      <c r="I237" s="76">
        <f>'SUT_EU27 total'!$Q$45</f>
        <v>4.4451090694311274E-2</v>
      </c>
    </row>
    <row r="238" spans="1:9" x14ac:dyDescent="0.35">
      <c r="A238" t="s">
        <v>18</v>
      </c>
      <c r="B238" t="s">
        <v>90</v>
      </c>
      <c r="C238" t="s">
        <v>81</v>
      </c>
      <c r="D238" t="s">
        <v>82</v>
      </c>
      <c r="E238" t="s">
        <v>73</v>
      </c>
      <c r="F238" t="s">
        <v>74</v>
      </c>
      <c r="G238" t="s">
        <v>130</v>
      </c>
      <c r="H238" t="s">
        <v>84</v>
      </c>
      <c r="I238" s="76">
        <f>'SUT_EU27 total'!$Q$62</f>
        <v>1.0694147292515508E-5</v>
      </c>
    </row>
    <row r="239" spans="1:9" x14ac:dyDescent="0.35">
      <c r="A239" t="s">
        <v>18</v>
      </c>
      <c r="B239" t="s">
        <v>91</v>
      </c>
      <c r="C239" t="s">
        <v>81</v>
      </c>
      <c r="D239" t="s">
        <v>82</v>
      </c>
      <c r="E239" t="s">
        <v>73</v>
      </c>
      <c r="F239" t="s">
        <v>74</v>
      </c>
      <c r="G239" t="s">
        <v>130</v>
      </c>
      <c r="H239" t="s">
        <v>84</v>
      </c>
      <c r="I239" s="76">
        <f>'SUT_EU27 total'!$Q$79</f>
        <v>2.0807907452574416E-3</v>
      </c>
    </row>
    <row r="240" spans="1:9" x14ac:dyDescent="0.35">
      <c r="A240" t="s">
        <v>18</v>
      </c>
      <c r="B240" t="s">
        <v>92</v>
      </c>
      <c r="C240" t="s">
        <v>81</v>
      </c>
      <c r="D240" t="s">
        <v>82</v>
      </c>
      <c r="E240" t="s">
        <v>73</v>
      </c>
      <c r="F240" t="s">
        <v>74</v>
      </c>
      <c r="G240" t="s">
        <v>130</v>
      </c>
      <c r="H240" t="s">
        <v>84</v>
      </c>
      <c r="I240" s="76">
        <f>'SUT_EU27 total'!$Q$96</f>
        <v>2.8885571737041122E-3</v>
      </c>
    </row>
    <row r="241" spans="1:9" x14ac:dyDescent="0.35">
      <c r="A241" t="s">
        <v>18</v>
      </c>
      <c r="B241" t="s">
        <v>93</v>
      </c>
      <c r="C241" t="s">
        <v>81</v>
      </c>
      <c r="D241" t="s">
        <v>82</v>
      </c>
      <c r="E241" t="s">
        <v>73</v>
      </c>
      <c r="F241" t="s">
        <v>74</v>
      </c>
      <c r="G241" t="s">
        <v>130</v>
      </c>
      <c r="H241" t="s">
        <v>84</v>
      </c>
      <c r="I241" s="76">
        <f>'SUT_EU27 total'!$Q$113</f>
        <v>1.1972685102906883E-2</v>
      </c>
    </row>
    <row r="242" spans="1:9" x14ac:dyDescent="0.35">
      <c r="A242" t="s">
        <v>18</v>
      </c>
      <c r="B242" t="s">
        <v>73</v>
      </c>
      <c r="C242" t="s">
        <v>81</v>
      </c>
      <c r="D242" t="s">
        <v>131</v>
      </c>
      <c r="E242" t="s">
        <v>73</v>
      </c>
      <c r="F242" t="s">
        <v>74</v>
      </c>
      <c r="G242" t="s">
        <v>112</v>
      </c>
      <c r="H242" t="s">
        <v>84</v>
      </c>
      <c r="I242" s="76">
        <f>'SUT_EU27 total'!$R$24</f>
        <v>4.0146105919003111E-8</v>
      </c>
    </row>
    <row r="243" spans="1:9" x14ac:dyDescent="0.35">
      <c r="A243" t="s">
        <v>18</v>
      </c>
      <c r="B243" t="s">
        <v>73</v>
      </c>
      <c r="C243" t="s">
        <v>81</v>
      </c>
      <c r="D243" t="s">
        <v>122</v>
      </c>
      <c r="E243" t="s">
        <v>73</v>
      </c>
      <c r="F243" t="s">
        <v>74</v>
      </c>
      <c r="G243" t="s">
        <v>112</v>
      </c>
      <c r="H243" t="s">
        <v>84</v>
      </c>
      <c r="I243" s="76">
        <f>'SUT_EU27 total'!$R$30</f>
        <v>3.9708116569218732E-4</v>
      </c>
    </row>
    <row r="244" spans="1:9" x14ac:dyDescent="0.35">
      <c r="A244" t="s">
        <v>18</v>
      </c>
      <c r="B244" t="s">
        <v>73</v>
      </c>
      <c r="C244" t="s">
        <v>81</v>
      </c>
      <c r="D244" t="s">
        <v>101</v>
      </c>
      <c r="E244" t="s">
        <v>73</v>
      </c>
      <c r="F244" t="s">
        <v>74</v>
      </c>
      <c r="G244" t="s">
        <v>112</v>
      </c>
      <c r="H244" t="s">
        <v>84</v>
      </c>
      <c r="I244" s="76" cm="1">
        <f t="array" ref="I244:I246">'SUT_EU27 total'!$R$32:$R$34</f>
        <v>1.2183459827918709E-7</v>
      </c>
    </row>
    <row r="245" spans="1:9" x14ac:dyDescent="0.35">
      <c r="A245" t="s">
        <v>18</v>
      </c>
      <c r="B245" t="s">
        <v>73</v>
      </c>
      <c r="C245" t="s">
        <v>81</v>
      </c>
      <c r="D245" t="s">
        <v>104</v>
      </c>
      <c r="E245" t="s">
        <v>73</v>
      </c>
      <c r="F245" t="s">
        <v>74</v>
      </c>
      <c r="G245" t="s">
        <v>112</v>
      </c>
      <c r="H245" t="s">
        <v>84</v>
      </c>
      <c r="I245" s="4">
        <v>2.3068290654205609E-7</v>
      </c>
    </row>
    <row r="246" spans="1:9" x14ac:dyDescent="0.35">
      <c r="A246" t="s">
        <v>18</v>
      </c>
      <c r="B246" t="s">
        <v>73</v>
      </c>
      <c r="C246" t="s">
        <v>81</v>
      </c>
      <c r="D246" t="s">
        <v>106</v>
      </c>
      <c r="E246" t="s">
        <v>73</v>
      </c>
      <c r="F246" t="s">
        <v>74</v>
      </c>
      <c r="G246" t="s">
        <v>112</v>
      </c>
      <c r="H246" t="s">
        <v>84</v>
      </c>
      <c r="I246" s="4">
        <v>7.8463573653760568E-7</v>
      </c>
    </row>
    <row r="247" spans="1:9" x14ac:dyDescent="0.35">
      <c r="A247" t="s">
        <v>18</v>
      </c>
      <c r="B247" t="s">
        <v>88</v>
      </c>
      <c r="C247" t="s">
        <v>81</v>
      </c>
      <c r="D247" t="s">
        <v>131</v>
      </c>
      <c r="E247" t="s">
        <v>73</v>
      </c>
      <c r="F247" t="s">
        <v>74</v>
      </c>
      <c r="G247" t="s">
        <v>112</v>
      </c>
      <c r="H247" t="s">
        <v>84</v>
      </c>
      <c r="I247" s="4">
        <f>'SUT_EU27 total'!$R$41</f>
        <v>0</v>
      </c>
    </row>
    <row r="248" spans="1:9" x14ac:dyDescent="0.35">
      <c r="A248" t="s">
        <v>18</v>
      </c>
      <c r="B248" t="s">
        <v>88</v>
      </c>
      <c r="C248" t="s">
        <v>81</v>
      </c>
      <c r="D248" t="s">
        <v>122</v>
      </c>
      <c r="E248" t="s">
        <v>73</v>
      </c>
      <c r="F248" t="s">
        <v>74</v>
      </c>
      <c r="G248" t="s">
        <v>112</v>
      </c>
      <c r="H248" t="s">
        <v>84</v>
      </c>
      <c r="I248" s="76">
        <f>'SUT_EU27 total'!$R$47</f>
        <v>0</v>
      </c>
    </row>
    <row r="249" spans="1:9" x14ac:dyDescent="0.35">
      <c r="A249" t="s">
        <v>18</v>
      </c>
      <c r="B249" t="s">
        <v>88</v>
      </c>
      <c r="C249" t="s">
        <v>81</v>
      </c>
      <c r="D249" t="s">
        <v>101</v>
      </c>
      <c r="E249" t="s">
        <v>73</v>
      </c>
      <c r="F249" t="s">
        <v>74</v>
      </c>
      <c r="G249" t="s">
        <v>112</v>
      </c>
      <c r="H249" t="s">
        <v>84</v>
      </c>
      <c r="I249" s="4" cm="1">
        <f t="array" ref="I249:I251">'SUT_EU27 total'!$R$49:$R$51</f>
        <v>0</v>
      </c>
    </row>
    <row r="250" spans="1:9" x14ac:dyDescent="0.35">
      <c r="A250" t="s">
        <v>18</v>
      </c>
      <c r="B250" t="s">
        <v>88</v>
      </c>
      <c r="C250" t="s">
        <v>81</v>
      </c>
      <c r="D250" t="s">
        <v>104</v>
      </c>
      <c r="E250" t="s">
        <v>73</v>
      </c>
      <c r="F250" t="s">
        <v>74</v>
      </c>
      <c r="G250" t="s">
        <v>112</v>
      </c>
      <c r="H250" t="s">
        <v>84</v>
      </c>
      <c r="I250" s="4">
        <v>0</v>
      </c>
    </row>
    <row r="251" spans="1:9" x14ac:dyDescent="0.35">
      <c r="A251" t="s">
        <v>18</v>
      </c>
      <c r="B251" t="s">
        <v>88</v>
      </c>
      <c r="C251" t="s">
        <v>81</v>
      </c>
      <c r="D251" t="s">
        <v>106</v>
      </c>
      <c r="E251" t="s">
        <v>73</v>
      </c>
      <c r="F251" t="s">
        <v>74</v>
      </c>
      <c r="G251" t="s">
        <v>112</v>
      </c>
      <c r="H251" t="s">
        <v>84</v>
      </c>
      <c r="I251" s="4">
        <v>0</v>
      </c>
    </row>
    <row r="252" spans="1:9" x14ac:dyDescent="0.35">
      <c r="A252" t="s">
        <v>18</v>
      </c>
      <c r="B252" t="s">
        <v>90</v>
      </c>
      <c r="C252" t="s">
        <v>81</v>
      </c>
      <c r="D252" t="s">
        <v>131</v>
      </c>
      <c r="E252" t="s">
        <v>73</v>
      </c>
      <c r="F252" t="s">
        <v>74</v>
      </c>
      <c r="G252" t="s">
        <v>112</v>
      </c>
      <c r="H252" t="s">
        <v>84</v>
      </c>
      <c r="I252" s="4">
        <f>'SUT_EU27 total'!$R$58</f>
        <v>0</v>
      </c>
    </row>
    <row r="253" spans="1:9" x14ac:dyDescent="0.35">
      <c r="A253" t="s">
        <v>18</v>
      </c>
      <c r="B253" t="s">
        <v>90</v>
      </c>
      <c r="C253" t="s">
        <v>81</v>
      </c>
      <c r="D253" t="s">
        <v>122</v>
      </c>
      <c r="E253" t="s">
        <v>73</v>
      </c>
      <c r="F253" t="s">
        <v>74</v>
      </c>
      <c r="G253" t="s">
        <v>112</v>
      </c>
      <c r="H253" t="s">
        <v>84</v>
      </c>
      <c r="I253" s="76">
        <f>'SUT_EU27 total'!$R$64</f>
        <v>6.4108466461028498E-4</v>
      </c>
    </row>
    <row r="254" spans="1:9" x14ac:dyDescent="0.35">
      <c r="A254" t="s">
        <v>18</v>
      </c>
      <c r="B254" t="s">
        <v>90</v>
      </c>
      <c r="C254" t="s">
        <v>81</v>
      </c>
      <c r="D254" t="s">
        <v>101</v>
      </c>
      <c r="E254" t="s">
        <v>73</v>
      </c>
      <c r="F254" t="s">
        <v>74</v>
      </c>
      <c r="G254" t="s">
        <v>112</v>
      </c>
      <c r="H254" t="s">
        <v>84</v>
      </c>
      <c r="I254" s="4" cm="1">
        <f t="array" ref="I254:I256">'SUT_EU27 total'!$R$66:$R$68</f>
        <v>0</v>
      </c>
    </row>
    <row r="255" spans="1:9" x14ac:dyDescent="0.35">
      <c r="A255" t="s">
        <v>18</v>
      </c>
      <c r="B255" t="s">
        <v>90</v>
      </c>
      <c r="C255" t="s">
        <v>81</v>
      </c>
      <c r="D255" t="s">
        <v>104</v>
      </c>
      <c r="E255" t="s">
        <v>73</v>
      </c>
      <c r="F255" t="s">
        <v>74</v>
      </c>
      <c r="G255" t="s">
        <v>112</v>
      </c>
      <c r="H255" t="s">
        <v>84</v>
      </c>
      <c r="I255" s="4">
        <v>0</v>
      </c>
    </row>
    <row r="256" spans="1:9" x14ac:dyDescent="0.35">
      <c r="A256" t="s">
        <v>18</v>
      </c>
      <c r="B256" t="s">
        <v>90</v>
      </c>
      <c r="C256" t="s">
        <v>81</v>
      </c>
      <c r="D256" t="s">
        <v>106</v>
      </c>
      <c r="E256" t="s">
        <v>73</v>
      </c>
      <c r="F256" t="s">
        <v>74</v>
      </c>
      <c r="G256" t="s">
        <v>112</v>
      </c>
      <c r="H256" t="s">
        <v>84</v>
      </c>
      <c r="I256" s="4">
        <v>0</v>
      </c>
    </row>
    <row r="257" spans="1:9" x14ac:dyDescent="0.35">
      <c r="A257" t="s">
        <v>18</v>
      </c>
      <c r="B257" t="s">
        <v>91</v>
      </c>
      <c r="C257" t="s">
        <v>81</v>
      </c>
      <c r="D257" t="s">
        <v>131</v>
      </c>
      <c r="E257" t="s">
        <v>73</v>
      </c>
      <c r="F257" t="s">
        <v>74</v>
      </c>
      <c r="G257" t="s">
        <v>112</v>
      </c>
      <c r="H257" t="s">
        <v>84</v>
      </c>
      <c r="I257" s="4">
        <f>'SUT_EU27 total'!$R$75</f>
        <v>0</v>
      </c>
    </row>
    <row r="258" spans="1:9" x14ac:dyDescent="0.35">
      <c r="A258" t="s">
        <v>18</v>
      </c>
      <c r="B258" t="s">
        <v>91</v>
      </c>
      <c r="C258" t="s">
        <v>81</v>
      </c>
      <c r="D258" t="s">
        <v>122</v>
      </c>
      <c r="E258" t="s">
        <v>73</v>
      </c>
      <c r="F258" t="s">
        <v>74</v>
      </c>
      <c r="G258" t="s">
        <v>112</v>
      </c>
      <c r="H258" t="s">
        <v>84</v>
      </c>
      <c r="I258" s="76">
        <f>'SUT_EU27 total'!$R$81</f>
        <v>0</v>
      </c>
    </row>
    <row r="259" spans="1:9" x14ac:dyDescent="0.35">
      <c r="A259" t="s">
        <v>18</v>
      </c>
      <c r="B259" t="s">
        <v>91</v>
      </c>
      <c r="C259" t="s">
        <v>81</v>
      </c>
      <c r="D259" t="s">
        <v>101</v>
      </c>
      <c r="E259" t="s">
        <v>73</v>
      </c>
      <c r="F259" t="s">
        <v>74</v>
      </c>
      <c r="G259" t="s">
        <v>112</v>
      </c>
      <c r="H259" t="s">
        <v>84</v>
      </c>
      <c r="I259" s="4" cm="1">
        <f t="array" ref="I259:I261">'SUT_EU27 total'!$R$83:$R$85</f>
        <v>0</v>
      </c>
    </row>
    <row r="260" spans="1:9" x14ac:dyDescent="0.35">
      <c r="A260" t="s">
        <v>18</v>
      </c>
      <c r="B260" t="s">
        <v>91</v>
      </c>
      <c r="C260" t="s">
        <v>81</v>
      </c>
      <c r="D260" t="s">
        <v>104</v>
      </c>
      <c r="E260" t="s">
        <v>73</v>
      </c>
      <c r="F260" t="s">
        <v>74</v>
      </c>
      <c r="G260" t="s">
        <v>112</v>
      </c>
      <c r="H260" t="s">
        <v>84</v>
      </c>
      <c r="I260" s="4">
        <v>0</v>
      </c>
    </row>
    <row r="261" spans="1:9" x14ac:dyDescent="0.35">
      <c r="A261" t="s">
        <v>18</v>
      </c>
      <c r="B261" t="s">
        <v>91</v>
      </c>
      <c r="C261" t="s">
        <v>81</v>
      </c>
      <c r="D261" t="s">
        <v>106</v>
      </c>
      <c r="E261" t="s">
        <v>73</v>
      </c>
      <c r="F261" t="s">
        <v>74</v>
      </c>
      <c r="G261" t="s">
        <v>112</v>
      </c>
      <c r="H261" t="s">
        <v>84</v>
      </c>
      <c r="I261" s="4">
        <v>0</v>
      </c>
    </row>
    <row r="262" spans="1:9" x14ac:dyDescent="0.35">
      <c r="A262" t="s">
        <v>18</v>
      </c>
      <c r="B262" t="s">
        <v>92</v>
      </c>
      <c r="C262" t="s">
        <v>81</v>
      </c>
      <c r="D262" t="s">
        <v>131</v>
      </c>
      <c r="E262" t="s">
        <v>73</v>
      </c>
      <c r="F262" t="s">
        <v>74</v>
      </c>
      <c r="G262" t="s">
        <v>112</v>
      </c>
      <c r="H262" t="s">
        <v>84</v>
      </c>
      <c r="I262" s="4">
        <f>'SUT_EU27 total'!$R$92</f>
        <v>0</v>
      </c>
    </row>
    <row r="263" spans="1:9" x14ac:dyDescent="0.35">
      <c r="A263" t="s">
        <v>18</v>
      </c>
      <c r="B263" t="s">
        <v>92</v>
      </c>
      <c r="C263" t="s">
        <v>81</v>
      </c>
      <c r="D263" t="s">
        <v>122</v>
      </c>
      <c r="E263" t="s">
        <v>73</v>
      </c>
      <c r="F263" t="s">
        <v>74</v>
      </c>
      <c r="G263" t="s">
        <v>112</v>
      </c>
      <c r="H263" t="s">
        <v>84</v>
      </c>
      <c r="I263" s="76">
        <f>'SUT_EU27 total'!$R$98</f>
        <v>0</v>
      </c>
    </row>
    <row r="264" spans="1:9" x14ac:dyDescent="0.35">
      <c r="A264" t="s">
        <v>18</v>
      </c>
      <c r="B264" t="s">
        <v>92</v>
      </c>
      <c r="C264" t="s">
        <v>81</v>
      </c>
      <c r="D264" t="s">
        <v>101</v>
      </c>
      <c r="E264" t="s">
        <v>73</v>
      </c>
      <c r="F264" t="s">
        <v>74</v>
      </c>
      <c r="G264" t="s">
        <v>112</v>
      </c>
      <c r="H264" t="s">
        <v>84</v>
      </c>
      <c r="I264" s="4" cm="1">
        <f t="array" ref="I264:I266">'SUT_EU27 total'!$R$100:$R$102</f>
        <v>0</v>
      </c>
    </row>
    <row r="265" spans="1:9" x14ac:dyDescent="0.35">
      <c r="A265" t="s">
        <v>18</v>
      </c>
      <c r="B265" t="s">
        <v>92</v>
      </c>
      <c r="C265" t="s">
        <v>81</v>
      </c>
      <c r="D265" t="s">
        <v>104</v>
      </c>
      <c r="E265" t="s">
        <v>73</v>
      </c>
      <c r="F265" t="s">
        <v>74</v>
      </c>
      <c r="G265" t="s">
        <v>112</v>
      </c>
      <c r="H265" t="s">
        <v>84</v>
      </c>
      <c r="I265" s="4">
        <v>0</v>
      </c>
    </row>
    <row r="266" spans="1:9" x14ac:dyDescent="0.35">
      <c r="A266" t="s">
        <v>18</v>
      </c>
      <c r="B266" t="s">
        <v>92</v>
      </c>
      <c r="C266" t="s">
        <v>81</v>
      </c>
      <c r="D266" t="s">
        <v>106</v>
      </c>
      <c r="E266" t="s">
        <v>73</v>
      </c>
      <c r="F266" t="s">
        <v>74</v>
      </c>
      <c r="G266" t="s">
        <v>112</v>
      </c>
      <c r="H266" t="s">
        <v>84</v>
      </c>
      <c r="I266" s="4">
        <v>0</v>
      </c>
    </row>
    <row r="267" spans="1:9" x14ac:dyDescent="0.35">
      <c r="A267" t="s">
        <v>18</v>
      </c>
      <c r="B267" t="s">
        <v>93</v>
      </c>
      <c r="C267" t="s">
        <v>81</v>
      </c>
      <c r="D267" t="s">
        <v>131</v>
      </c>
      <c r="E267" t="s">
        <v>73</v>
      </c>
      <c r="F267" t="s">
        <v>74</v>
      </c>
      <c r="G267" t="s">
        <v>112</v>
      </c>
      <c r="H267" t="s">
        <v>84</v>
      </c>
      <c r="I267" s="4">
        <f>'SUT_EU27 total'!$R$109</f>
        <v>0</v>
      </c>
    </row>
    <row r="268" spans="1:9" x14ac:dyDescent="0.35">
      <c r="A268" t="s">
        <v>18</v>
      </c>
      <c r="B268" t="s">
        <v>93</v>
      </c>
      <c r="C268" t="s">
        <v>81</v>
      </c>
      <c r="D268" t="s">
        <v>122</v>
      </c>
      <c r="E268" t="s">
        <v>73</v>
      </c>
      <c r="F268" t="s">
        <v>74</v>
      </c>
      <c r="G268" t="s">
        <v>112</v>
      </c>
      <c r="H268" t="s">
        <v>84</v>
      </c>
      <c r="I268" s="76">
        <f>'SUT_EU27 total'!$R$115</f>
        <v>2.188358424259166E-3</v>
      </c>
    </row>
    <row r="269" spans="1:9" x14ac:dyDescent="0.35">
      <c r="A269" t="s">
        <v>18</v>
      </c>
      <c r="B269" t="s">
        <v>93</v>
      </c>
      <c r="C269" t="s">
        <v>81</v>
      </c>
      <c r="D269" t="s">
        <v>101</v>
      </c>
      <c r="E269" t="s">
        <v>73</v>
      </c>
      <c r="F269" t="s">
        <v>74</v>
      </c>
      <c r="G269" t="s">
        <v>112</v>
      </c>
      <c r="H269" t="s">
        <v>84</v>
      </c>
      <c r="I269" s="4" cm="1">
        <f t="array" ref="I269:I271">'SUT_EU27 total'!$R$117:$R$119</f>
        <v>0</v>
      </c>
    </row>
    <row r="270" spans="1:9" x14ac:dyDescent="0.35">
      <c r="A270" t="s">
        <v>18</v>
      </c>
      <c r="B270" t="s">
        <v>93</v>
      </c>
      <c r="C270" t="s">
        <v>81</v>
      </c>
      <c r="D270" t="s">
        <v>104</v>
      </c>
      <c r="E270" t="s">
        <v>73</v>
      </c>
      <c r="F270" t="s">
        <v>74</v>
      </c>
      <c r="G270" t="s">
        <v>112</v>
      </c>
      <c r="H270" t="s">
        <v>84</v>
      </c>
      <c r="I270" s="4">
        <v>0</v>
      </c>
    </row>
    <row r="271" spans="1:9" x14ac:dyDescent="0.35">
      <c r="A271" t="s">
        <v>18</v>
      </c>
      <c r="B271" t="s">
        <v>93</v>
      </c>
      <c r="C271" t="s">
        <v>81</v>
      </c>
      <c r="D271" t="s">
        <v>106</v>
      </c>
      <c r="E271" t="s">
        <v>73</v>
      </c>
      <c r="F271" t="s">
        <v>74</v>
      </c>
      <c r="G271" t="s">
        <v>112</v>
      </c>
      <c r="H271" t="s">
        <v>84</v>
      </c>
      <c r="I271" s="4">
        <v>0</v>
      </c>
    </row>
    <row r="272" spans="1:9" x14ac:dyDescent="0.35">
      <c r="A272" t="s">
        <v>18</v>
      </c>
      <c r="B272" t="s">
        <v>73</v>
      </c>
      <c r="C272" t="s">
        <v>81</v>
      </c>
      <c r="D272" t="s">
        <v>131</v>
      </c>
      <c r="E272" t="s">
        <v>73</v>
      </c>
      <c r="F272" t="s">
        <v>74</v>
      </c>
      <c r="G272" t="s">
        <v>113</v>
      </c>
      <c r="H272" t="s">
        <v>84</v>
      </c>
      <c r="I272" s="76">
        <f>'SUT_EU27 total'!$S$24</f>
        <v>5.0294789999999994E-8</v>
      </c>
    </row>
    <row r="273" spans="1:9" x14ac:dyDescent="0.35">
      <c r="A273" t="s">
        <v>18</v>
      </c>
      <c r="B273" t="s">
        <v>73</v>
      </c>
      <c r="C273" t="s">
        <v>81</v>
      </c>
      <c r="D273" t="s">
        <v>101</v>
      </c>
      <c r="E273" t="s">
        <v>73</v>
      </c>
      <c r="F273" t="s">
        <v>74</v>
      </c>
      <c r="G273" t="s">
        <v>113</v>
      </c>
      <c r="H273" t="s">
        <v>84</v>
      </c>
      <c r="I273" s="76" cm="1">
        <f t="array" ref="I273:I275">'SUT_EU27 total'!$S$32:$S$34</f>
        <v>1.7883556705882356E-5</v>
      </c>
    </row>
    <row r="274" spans="1:9" x14ac:dyDescent="0.35">
      <c r="A274" t="s">
        <v>18</v>
      </c>
      <c r="B274" t="s">
        <v>73</v>
      </c>
      <c r="C274" t="s">
        <v>81</v>
      </c>
      <c r="D274" t="s">
        <v>104</v>
      </c>
      <c r="E274" t="s">
        <v>73</v>
      </c>
      <c r="F274" t="s">
        <v>74</v>
      </c>
      <c r="G274" t="s">
        <v>113</v>
      </c>
      <c r="H274" t="s">
        <v>84</v>
      </c>
      <c r="I274" s="4">
        <v>3.3860913882352942E-5</v>
      </c>
    </row>
    <row r="275" spans="1:9" x14ac:dyDescent="0.35">
      <c r="A275" t="s">
        <v>18</v>
      </c>
      <c r="B275" t="s">
        <v>73</v>
      </c>
      <c r="C275" t="s">
        <v>81</v>
      </c>
      <c r="D275" t="s">
        <v>106</v>
      </c>
      <c r="E275" t="s">
        <v>73</v>
      </c>
      <c r="F275" t="s">
        <v>74</v>
      </c>
      <c r="G275" t="s">
        <v>113</v>
      </c>
      <c r="H275" t="s">
        <v>84</v>
      </c>
      <c r="I275" s="4">
        <v>1.1517317647058823E-4</v>
      </c>
    </row>
    <row r="276" spans="1:9" x14ac:dyDescent="0.35">
      <c r="A276" t="s">
        <v>18</v>
      </c>
      <c r="B276" t="s">
        <v>88</v>
      </c>
      <c r="C276" t="s">
        <v>81</v>
      </c>
      <c r="D276" t="s">
        <v>131</v>
      </c>
      <c r="E276" t="s">
        <v>73</v>
      </c>
      <c r="F276" t="s">
        <v>74</v>
      </c>
      <c r="G276" t="s">
        <v>113</v>
      </c>
      <c r="H276" t="s">
        <v>84</v>
      </c>
      <c r="I276" s="4">
        <f>'SUT_EU27 total'!$S$41</f>
        <v>0</v>
      </c>
    </row>
    <row r="277" spans="1:9" x14ac:dyDescent="0.35">
      <c r="A277" t="s">
        <v>18</v>
      </c>
      <c r="B277" t="s">
        <v>88</v>
      </c>
      <c r="C277" t="s">
        <v>81</v>
      </c>
      <c r="D277" t="s">
        <v>101</v>
      </c>
      <c r="E277" t="s">
        <v>73</v>
      </c>
      <c r="F277" t="s">
        <v>74</v>
      </c>
      <c r="G277" t="s">
        <v>113</v>
      </c>
      <c r="H277" t="s">
        <v>84</v>
      </c>
      <c r="I277" s="4" cm="1">
        <f t="array" ref="I277:I279">'SUT_EU27 total'!$S$49:$S$51</f>
        <v>0</v>
      </c>
    </row>
    <row r="278" spans="1:9" x14ac:dyDescent="0.35">
      <c r="A278" t="s">
        <v>18</v>
      </c>
      <c r="B278" t="s">
        <v>88</v>
      </c>
      <c r="C278" t="s">
        <v>81</v>
      </c>
      <c r="D278" t="s">
        <v>104</v>
      </c>
      <c r="E278" t="s">
        <v>73</v>
      </c>
      <c r="F278" t="s">
        <v>74</v>
      </c>
      <c r="G278" t="s">
        <v>113</v>
      </c>
      <c r="H278" t="s">
        <v>84</v>
      </c>
      <c r="I278" s="4">
        <v>0</v>
      </c>
    </row>
    <row r="279" spans="1:9" x14ac:dyDescent="0.35">
      <c r="A279" t="s">
        <v>18</v>
      </c>
      <c r="B279" t="s">
        <v>88</v>
      </c>
      <c r="C279" t="s">
        <v>81</v>
      </c>
      <c r="D279" t="s">
        <v>106</v>
      </c>
      <c r="E279" t="s">
        <v>73</v>
      </c>
      <c r="F279" t="s">
        <v>74</v>
      </c>
      <c r="G279" t="s">
        <v>113</v>
      </c>
      <c r="H279" t="s">
        <v>84</v>
      </c>
      <c r="I279" s="4">
        <v>0</v>
      </c>
    </row>
    <row r="280" spans="1:9" x14ac:dyDescent="0.35">
      <c r="A280" t="s">
        <v>18</v>
      </c>
      <c r="B280" t="s">
        <v>90</v>
      </c>
      <c r="C280" t="s">
        <v>81</v>
      </c>
      <c r="D280" t="s">
        <v>131</v>
      </c>
      <c r="E280" t="s">
        <v>73</v>
      </c>
      <c r="F280" t="s">
        <v>74</v>
      </c>
      <c r="G280" t="s">
        <v>113</v>
      </c>
      <c r="H280" t="s">
        <v>84</v>
      </c>
      <c r="I280" s="4">
        <f>'SUT_EU27 total'!$S$58</f>
        <v>0</v>
      </c>
    </row>
    <row r="281" spans="1:9" x14ac:dyDescent="0.35">
      <c r="A281" t="s">
        <v>18</v>
      </c>
      <c r="B281" t="s">
        <v>90</v>
      </c>
      <c r="C281" t="s">
        <v>81</v>
      </c>
      <c r="D281" t="s">
        <v>101</v>
      </c>
      <c r="E281" t="s">
        <v>73</v>
      </c>
      <c r="F281" t="s">
        <v>74</v>
      </c>
      <c r="G281" t="s">
        <v>113</v>
      </c>
      <c r="H281" t="s">
        <v>84</v>
      </c>
      <c r="I281" s="4" cm="1">
        <f t="array" ref="I281:I283">'SUT_EU27 total'!$S$66:$S$68</f>
        <v>0</v>
      </c>
    </row>
    <row r="282" spans="1:9" x14ac:dyDescent="0.35">
      <c r="A282" t="s">
        <v>18</v>
      </c>
      <c r="B282" t="s">
        <v>90</v>
      </c>
      <c r="C282" t="s">
        <v>81</v>
      </c>
      <c r="D282" t="s">
        <v>104</v>
      </c>
      <c r="E282" t="s">
        <v>73</v>
      </c>
      <c r="F282" t="s">
        <v>74</v>
      </c>
      <c r="G282" t="s">
        <v>113</v>
      </c>
      <c r="H282" t="s">
        <v>84</v>
      </c>
      <c r="I282" s="4">
        <v>0</v>
      </c>
    </row>
    <row r="283" spans="1:9" x14ac:dyDescent="0.35">
      <c r="A283" t="s">
        <v>18</v>
      </c>
      <c r="B283" t="s">
        <v>90</v>
      </c>
      <c r="C283" t="s">
        <v>81</v>
      </c>
      <c r="D283" t="s">
        <v>106</v>
      </c>
      <c r="E283" t="s">
        <v>73</v>
      </c>
      <c r="F283" t="s">
        <v>74</v>
      </c>
      <c r="G283" t="s">
        <v>113</v>
      </c>
      <c r="H283" t="s">
        <v>84</v>
      </c>
      <c r="I283" s="4">
        <v>0</v>
      </c>
    </row>
    <row r="284" spans="1:9" x14ac:dyDescent="0.35">
      <c r="A284" t="s">
        <v>18</v>
      </c>
      <c r="B284" t="s">
        <v>91</v>
      </c>
      <c r="C284" t="s">
        <v>81</v>
      </c>
      <c r="D284" t="s">
        <v>131</v>
      </c>
      <c r="E284" t="s">
        <v>73</v>
      </c>
      <c r="F284" t="s">
        <v>74</v>
      </c>
      <c r="G284" t="s">
        <v>113</v>
      </c>
      <c r="H284" t="s">
        <v>84</v>
      </c>
      <c r="I284" s="4">
        <f>'SUT_EU27 total'!$S$75</f>
        <v>0</v>
      </c>
    </row>
    <row r="285" spans="1:9" x14ac:dyDescent="0.35">
      <c r="A285" t="s">
        <v>18</v>
      </c>
      <c r="B285" t="s">
        <v>91</v>
      </c>
      <c r="C285" t="s">
        <v>81</v>
      </c>
      <c r="D285" t="s">
        <v>101</v>
      </c>
      <c r="E285" t="s">
        <v>73</v>
      </c>
      <c r="F285" t="s">
        <v>74</v>
      </c>
      <c r="G285" t="s">
        <v>113</v>
      </c>
      <c r="H285" t="s">
        <v>84</v>
      </c>
      <c r="I285" s="4" cm="1">
        <f t="array" ref="I285:I287">'SUT_EU27 total'!$S$83:$S$85</f>
        <v>0</v>
      </c>
    </row>
    <row r="286" spans="1:9" x14ac:dyDescent="0.35">
      <c r="A286" t="s">
        <v>18</v>
      </c>
      <c r="B286" t="s">
        <v>91</v>
      </c>
      <c r="C286" t="s">
        <v>81</v>
      </c>
      <c r="D286" t="s">
        <v>104</v>
      </c>
      <c r="E286" t="s">
        <v>73</v>
      </c>
      <c r="F286" t="s">
        <v>74</v>
      </c>
      <c r="G286" t="s">
        <v>113</v>
      </c>
      <c r="H286" t="s">
        <v>84</v>
      </c>
      <c r="I286" s="4">
        <v>0</v>
      </c>
    </row>
    <row r="287" spans="1:9" x14ac:dyDescent="0.35">
      <c r="A287" t="s">
        <v>18</v>
      </c>
      <c r="B287" t="s">
        <v>91</v>
      </c>
      <c r="C287" t="s">
        <v>81</v>
      </c>
      <c r="D287" t="s">
        <v>106</v>
      </c>
      <c r="E287" t="s">
        <v>73</v>
      </c>
      <c r="F287" t="s">
        <v>74</v>
      </c>
      <c r="G287" t="s">
        <v>113</v>
      </c>
      <c r="H287" t="s">
        <v>84</v>
      </c>
      <c r="I287" s="4">
        <v>0</v>
      </c>
    </row>
    <row r="288" spans="1:9" x14ac:dyDescent="0.35">
      <c r="A288" t="s">
        <v>18</v>
      </c>
      <c r="B288" t="s">
        <v>92</v>
      </c>
      <c r="C288" t="s">
        <v>81</v>
      </c>
      <c r="D288" t="s">
        <v>131</v>
      </c>
      <c r="E288" t="s">
        <v>73</v>
      </c>
      <c r="F288" t="s">
        <v>74</v>
      </c>
      <c r="G288" t="s">
        <v>113</v>
      </c>
      <c r="H288" t="s">
        <v>84</v>
      </c>
      <c r="I288" s="4">
        <f>'SUT_EU27 total'!$S$92</f>
        <v>0</v>
      </c>
    </row>
    <row r="289" spans="1:9" x14ac:dyDescent="0.35">
      <c r="A289" t="s">
        <v>18</v>
      </c>
      <c r="B289" t="s">
        <v>92</v>
      </c>
      <c r="C289" t="s">
        <v>81</v>
      </c>
      <c r="D289" t="s">
        <v>101</v>
      </c>
      <c r="E289" t="s">
        <v>73</v>
      </c>
      <c r="F289" t="s">
        <v>74</v>
      </c>
      <c r="G289" t="s">
        <v>113</v>
      </c>
      <c r="H289" t="s">
        <v>84</v>
      </c>
      <c r="I289" s="4" cm="1">
        <f t="array" ref="I289:I291">'SUT_EU27 total'!$S$100:$S$102</f>
        <v>0</v>
      </c>
    </row>
    <row r="290" spans="1:9" x14ac:dyDescent="0.35">
      <c r="A290" t="s">
        <v>18</v>
      </c>
      <c r="B290" t="s">
        <v>92</v>
      </c>
      <c r="C290" t="s">
        <v>81</v>
      </c>
      <c r="D290" t="s">
        <v>104</v>
      </c>
      <c r="E290" t="s">
        <v>73</v>
      </c>
      <c r="F290" t="s">
        <v>74</v>
      </c>
      <c r="G290" t="s">
        <v>113</v>
      </c>
      <c r="H290" t="s">
        <v>84</v>
      </c>
      <c r="I290" s="4">
        <v>0</v>
      </c>
    </row>
    <row r="291" spans="1:9" x14ac:dyDescent="0.35">
      <c r="A291" t="s">
        <v>18</v>
      </c>
      <c r="B291" t="s">
        <v>92</v>
      </c>
      <c r="C291" t="s">
        <v>81</v>
      </c>
      <c r="D291" t="s">
        <v>106</v>
      </c>
      <c r="E291" t="s">
        <v>73</v>
      </c>
      <c r="F291" t="s">
        <v>74</v>
      </c>
      <c r="G291" t="s">
        <v>113</v>
      </c>
      <c r="H291" t="s">
        <v>84</v>
      </c>
      <c r="I291" s="4">
        <v>0</v>
      </c>
    </row>
    <row r="292" spans="1:9" x14ac:dyDescent="0.35">
      <c r="A292" t="s">
        <v>18</v>
      </c>
      <c r="B292" t="s">
        <v>93</v>
      </c>
      <c r="C292" t="s">
        <v>81</v>
      </c>
      <c r="D292" t="s">
        <v>131</v>
      </c>
      <c r="E292" t="s">
        <v>73</v>
      </c>
      <c r="F292" t="s">
        <v>74</v>
      </c>
      <c r="G292" t="s">
        <v>113</v>
      </c>
      <c r="H292" t="s">
        <v>84</v>
      </c>
      <c r="I292" s="4">
        <f>'SUT_EU27 total'!$S$109</f>
        <v>0</v>
      </c>
    </row>
    <row r="293" spans="1:9" x14ac:dyDescent="0.35">
      <c r="A293" t="s">
        <v>18</v>
      </c>
      <c r="B293" t="s">
        <v>93</v>
      </c>
      <c r="C293" t="s">
        <v>81</v>
      </c>
      <c r="D293" t="s">
        <v>101</v>
      </c>
      <c r="E293" t="s">
        <v>73</v>
      </c>
      <c r="F293" t="s">
        <v>74</v>
      </c>
      <c r="G293" t="s">
        <v>113</v>
      </c>
      <c r="H293" t="s">
        <v>84</v>
      </c>
      <c r="I293" s="4" cm="1">
        <f t="array" ref="I293:I295">'SUT_EU27 total'!$S$117:$S$119</f>
        <v>0</v>
      </c>
    </row>
    <row r="294" spans="1:9" x14ac:dyDescent="0.35">
      <c r="A294" t="s">
        <v>18</v>
      </c>
      <c r="B294" t="s">
        <v>93</v>
      </c>
      <c r="C294" t="s">
        <v>81</v>
      </c>
      <c r="D294" t="s">
        <v>104</v>
      </c>
      <c r="E294" t="s">
        <v>73</v>
      </c>
      <c r="F294" t="s">
        <v>74</v>
      </c>
      <c r="G294" t="s">
        <v>113</v>
      </c>
      <c r="H294" t="s">
        <v>84</v>
      </c>
      <c r="I294" s="4">
        <v>0</v>
      </c>
    </row>
    <row r="295" spans="1:9" x14ac:dyDescent="0.35">
      <c r="A295" t="s">
        <v>18</v>
      </c>
      <c r="B295" t="s">
        <v>93</v>
      </c>
      <c r="C295" t="s">
        <v>81</v>
      </c>
      <c r="D295" t="s">
        <v>106</v>
      </c>
      <c r="E295" t="s">
        <v>73</v>
      </c>
      <c r="F295" t="s">
        <v>74</v>
      </c>
      <c r="G295" t="s">
        <v>113</v>
      </c>
      <c r="H295" t="s">
        <v>84</v>
      </c>
      <c r="I295" s="4">
        <v>0</v>
      </c>
    </row>
    <row r="296" spans="1:9" x14ac:dyDescent="0.35">
      <c r="A296" t="s">
        <v>18</v>
      </c>
      <c r="B296" t="s">
        <v>73</v>
      </c>
      <c r="C296" t="s">
        <v>74</v>
      </c>
      <c r="D296" t="s">
        <v>123</v>
      </c>
      <c r="E296" t="s">
        <v>73</v>
      </c>
      <c r="F296" t="s">
        <v>81</v>
      </c>
      <c r="G296" t="s">
        <v>115</v>
      </c>
      <c r="H296" t="s">
        <v>84</v>
      </c>
      <c r="I296" s="4" cm="1">
        <f t="array" ref="I296:I302">TRANSPOSE('2030 pathways'!C17:I17)</f>
        <v>0.1003</v>
      </c>
    </row>
    <row r="297" spans="1:9" x14ac:dyDescent="0.35">
      <c r="A297" t="s">
        <v>18</v>
      </c>
      <c r="B297" t="s">
        <v>73</v>
      </c>
      <c r="C297" t="s">
        <v>74</v>
      </c>
      <c r="D297" t="s">
        <v>127</v>
      </c>
      <c r="E297" t="s">
        <v>73</v>
      </c>
      <c r="F297" t="s">
        <v>81</v>
      </c>
      <c r="G297" t="s">
        <v>115</v>
      </c>
      <c r="H297" t="s">
        <v>84</v>
      </c>
      <c r="I297" s="4">
        <v>0.17699999999999999</v>
      </c>
    </row>
    <row r="298" spans="1:9" x14ac:dyDescent="0.35">
      <c r="A298" t="s">
        <v>18</v>
      </c>
      <c r="B298" t="s">
        <v>73</v>
      </c>
      <c r="C298" t="s">
        <v>74</v>
      </c>
      <c r="D298" t="s">
        <v>128</v>
      </c>
      <c r="E298" t="s">
        <v>73</v>
      </c>
      <c r="F298" t="s">
        <v>81</v>
      </c>
      <c r="G298" t="s">
        <v>115</v>
      </c>
      <c r="H298" t="s">
        <v>84</v>
      </c>
      <c r="I298" s="4">
        <v>8.8499999999999995E-2</v>
      </c>
    </row>
    <row r="299" spans="1:9" x14ac:dyDescent="0.35">
      <c r="A299" t="s">
        <v>18</v>
      </c>
      <c r="B299" t="s">
        <v>73</v>
      </c>
      <c r="C299" t="s">
        <v>74</v>
      </c>
      <c r="D299" t="s">
        <v>129</v>
      </c>
      <c r="E299" t="s">
        <v>73</v>
      </c>
      <c r="F299" t="s">
        <v>81</v>
      </c>
      <c r="G299" t="s">
        <v>115</v>
      </c>
      <c r="H299" t="s">
        <v>84</v>
      </c>
      <c r="I299" s="4">
        <v>5.8999999999999999E-3</v>
      </c>
    </row>
    <row r="300" spans="1:9" x14ac:dyDescent="0.35">
      <c r="A300" t="s">
        <v>18</v>
      </c>
      <c r="B300" t="s">
        <v>73</v>
      </c>
      <c r="C300" t="s">
        <v>74</v>
      </c>
      <c r="D300" t="s">
        <v>77</v>
      </c>
      <c r="E300" t="s">
        <v>73</v>
      </c>
      <c r="F300" t="s">
        <v>81</v>
      </c>
      <c r="G300" t="s">
        <v>115</v>
      </c>
      <c r="H300" t="s">
        <v>84</v>
      </c>
      <c r="I300" s="4">
        <v>5.8999999999999999E-3</v>
      </c>
    </row>
    <row r="301" spans="1:9" x14ac:dyDescent="0.35">
      <c r="A301" t="s">
        <v>18</v>
      </c>
      <c r="B301" t="s">
        <v>73</v>
      </c>
      <c r="C301" t="s">
        <v>74</v>
      </c>
      <c r="D301" t="s">
        <v>130</v>
      </c>
      <c r="E301" t="s">
        <v>73</v>
      </c>
      <c r="F301" t="s">
        <v>81</v>
      </c>
      <c r="G301" t="s">
        <v>115</v>
      </c>
      <c r="H301" t="s">
        <v>84</v>
      </c>
      <c r="I301" s="4">
        <v>0.21239999999999992</v>
      </c>
    </row>
    <row r="302" spans="1:9" x14ac:dyDescent="0.35">
      <c r="A302" t="s">
        <v>18</v>
      </c>
      <c r="B302" t="s">
        <v>73</v>
      </c>
      <c r="C302" t="s">
        <v>74</v>
      </c>
      <c r="D302" t="s">
        <v>132</v>
      </c>
      <c r="E302" t="s">
        <v>73</v>
      </c>
      <c r="F302" t="s">
        <v>81</v>
      </c>
      <c r="G302" t="s">
        <v>115</v>
      </c>
      <c r="H302" t="s">
        <v>84</v>
      </c>
      <c r="I302" s="4">
        <v>0.41</v>
      </c>
    </row>
    <row r="303" spans="1:9" x14ac:dyDescent="0.35">
      <c r="A303" t="s">
        <v>18</v>
      </c>
      <c r="B303" t="s">
        <v>73</v>
      </c>
      <c r="C303" t="s">
        <v>74</v>
      </c>
      <c r="D303" t="s">
        <v>133</v>
      </c>
      <c r="E303" t="s">
        <v>73</v>
      </c>
      <c r="F303" t="s">
        <v>81</v>
      </c>
      <c r="G303" t="s">
        <v>115</v>
      </c>
      <c r="H303" t="s">
        <v>84</v>
      </c>
      <c r="I303" s="4">
        <v>0</v>
      </c>
    </row>
    <row r="304" spans="1:9" x14ac:dyDescent="0.35">
      <c r="I304"/>
    </row>
    <row r="305" spans="9:9" x14ac:dyDescent="0.35">
      <c r="I305"/>
    </row>
    <row r="306" spans="9:9" x14ac:dyDescent="0.35">
      <c r="I306"/>
    </row>
    <row r="307" spans="9:9" x14ac:dyDescent="0.35">
      <c r="I307"/>
    </row>
    <row r="308" spans="9:9" x14ac:dyDescent="0.35">
      <c r="I308"/>
    </row>
    <row r="309" spans="9:9" x14ac:dyDescent="0.35">
      <c r="I309"/>
    </row>
    <row r="310" spans="9:9" x14ac:dyDescent="0.35">
      <c r="I310"/>
    </row>
    <row r="311" spans="9:9" x14ac:dyDescent="0.35">
      <c r="I311"/>
    </row>
    <row r="312" spans="9:9" x14ac:dyDescent="0.35">
      <c r="I312"/>
    </row>
    <row r="313" spans="9:9" x14ac:dyDescent="0.35">
      <c r="I313"/>
    </row>
    <row r="314" spans="9:9" x14ac:dyDescent="0.35">
      <c r="I314"/>
    </row>
    <row r="315" spans="9:9" x14ac:dyDescent="0.35">
      <c r="I315"/>
    </row>
    <row r="316" spans="9:9" x14ac:dyDescent="0.35">
      <c r="I316"/>
    </row>
    <row r="317" spans="9:9" x14ac:dyDescent="0.35">
      <c r="I317"/>
    </row>
    <row r="318" spans="9:9" x14ac:dyDescent="0.35">
      <c r="I318"/>
    </row>
    <row r="319" spans="9:9" x14ac:dyDescent="0.35">
      <c r="I319"/>
    </row>
    <row r="320" spans="9:9" x14ac:dyDescent="0.35">
      <c r="I320"/>
    </row>
    <row r="321" spans="9:9" x14ac:dyDescent="0.35">
      <c r="I321"/>
    </row>
    <row r="322" spans="9:9" x14ac:dyDescent="0.35">
      <c r="I322"/>
    </row>
    <row r="323" spans="9:9" x14ac:dyDescent="0.35">
      <c r="I323"/>
    </row>
    <row r="324" spans="9:9" x14ac:dyDescent="0.35">
      <c r="I324"/>
    </row>
    <row r="325" spans="9:9" x14ac:dyDescent="0.35">
      <c r="I325"/>
    </row>
    <row r="326" spans="9:9" x14ac:dyDescent="0.35">
      <c r="I326"/>
    </row>
    <row r="327" spans="9:9" x14ac:dyDescent="0.35">
      <c r="I327"/>
    </row>
    <row r="328" spans="9:9" x14ac:dyDescent="0.35">
      <c r="I328"/>
    </row>
    <row r="329" spans="9:9" x14ac:dyDescent="0.35">
      <c r="I329"/>
    </row>
    <row r="330" spans="9:9" x14ac:dyDescent="0.35">
      <c r="I330"/>
    </row>
    <row r="331" spans="9:9" x14ac:dyDescent="0.35">
      <c r="I331"/>
    </row>
    <row r="332" spans="9:9" x14ac:dyDescent="0.35">
      <c r="I332"/>
    </row>
    <row r="333" spans="9:9" x14ac:dyDescent="0.35">
      <c r="I333"/>
    </row>
    <row r="334" spans="9:9" x14ac:dyDescent="0.35">
      <c r="I334"/>
    </row>
    <row r="335" spans="9:9" x14ac:dyDescent="0.35">
      <c r="I335"/>
    </row>
    <row r="336" spans="9:9" x14ac:dyDescent="0.35">
      <c r="I336"/>
    </row>
    <row r="337" spans="9:9" x14ac:dyDescent="0.35">
      <c r="I337"/>
    </row>
    <row r="338" spans="9:9" x14ac:dyDescent="0.35">
      <c r="I338"/>
    </row>
    <row r="339" spans="9:9" x14ac:dyDescent="0.35">
      <c r="I339"/>
    </row>
    <row r="340" spans="9:9" x14ac:dyDescent="0.35">
      <c r="I340"/>
    </row>
    <row r="341" spans="9:9" x14ac:dyDescent="0.35">
      <c r="I341"/>
    </row>
    <row r="342" spans="9:9" x14ac:dyDescent="0.35">
      <c r="I342"/>
    </row>
    <row r="343" spans="9:9" x14ac:dyDescent="0.35">
      <c r="I343"/>
    </row>
    <row r="344" spans="9:9" x14ac:dyDescent="0.35">
      <c r="I344"/>
    </row>
    <row r="345" spans="9:9" x14ac:dyDescent="0.35">
      <c r="I345"/>
    </row>
    <row r="346" spans="9:9" x14ac:dyDescent="0.35">
      <c r="I346"/>
    </row>
    <row r="347" spans="9:9" x14ac:dyDescent="0.35">
      <c r="I347"/>
    </row>
    <row r="348" spans="9:9" x14ac:dyDescent="0.35">
      <c r="I348"/>
    </row>
    <row r="349" spans="9:9" x14ac:dyDescent="0.35">
      <c r="I349"/>
    </row>
    <row r="350" spans="9:9" x14ac:dyDescent="0.35">
      <c r="I350"/>
    </row>
    <row r="351" spans="9:9" x14ac:dyDescent="0.35">
      <c r="I351"/>
    </row>
    <row r="352" spans="9:9" x14ac:dyDescent="0.35">
      <c r="I352"/>
    </row>
    <row r="353" spans="9:9" x14ac:dyDescent="0.35">
      <c r="I353"/>
    </row>
    <row r="354" spans="9:9" x14ac:dyDescent="0.35">
      <c r="I354"/>
    </row>
    <row r="355" spans="9:9" x14ac:dyDescent="0.35">
      <c r="I355"/>
    </row>
    <row r="356" spans="9:9" x14ac:dyDescent="0.35">
      <c r="I356"/>
    </row>
    <row r="357" spans="9:9" x14ac:dyDescent="0.35">
      <c r="I357"/>
    </row>
    <row r="358" spans="9:9" x14ac:dyDescent="0.35">
      <c r="I358"/>
    </row>
    <row r="359" spans="9:9" x14ac:dyDescent="0.35">
      <c r="I359"/>
    </row>
    <row r="360" spans="9:9" x14ac:dyDescent="0.35">
      <c r="I360"/>
    </row>
    <row r="361" spans="9:9" x14ac:dyDescent="0.35">
      <c r="I361"/>
    </row>
    <row r="362" spans="9:9" x14ac:dyDescent="0.35">
      <c r="I362"/>
    </row>
    <row r="363" spans="9:9" x14ac:dyDescent="0.35">
      <c r="I363"/>
    </row>
    <row r="364" spans="9:9" x14ac:dyDescent="0.35">
      <c r="I364"/>
    </row>
    <row r="365" spans="9:9" x14ac:dyDescent="0.35">
      <c r="I365"/>
    </row>
    <row r="366" spans="9:9" x14ac:dyDescent="0.35">
      <c r="I366"/>
    </row>
    <row r="367" spans="9:9" x14ac:dyDescent="0.35">
      <c r="I367"/>
    </row>
    <row r="368" spans="9:9" x14ac:dyDescent="0.35">
      <c r="I368"/>
    </row>
    <row r="369" spans="9:9" x14ac:dyDescent="0.35">
      <c r="I369"/>
    </row>
    <row r="370" spans="9:9" x14ac:dyDescent="0.35">
      <c r="I370"/>
    </row>
    <row r="371" spans="9:9" x14ac:dyDescent="0.35">
      <c r="I371"/>
    </row>
    <row r="372" spans="9:9" x14ac:dyDescent="0.35">
      <c r="I372"/>
    </row>
    <row r="373" spans="9:9" x14ac:dyDescent="0.35">
      <c r="I373"/>
    </row>
    <row r="374" spans="9:9" x14ac:dyDescent="0.35">
      <c r="I374"/>
    </row>
    <row r="375" spans="9:9" x14ac:dyDescent="0.35">
      <c r="I375"/>
    </row>
    <row r="376" spans="9:9" x14ac:dyDescent="0.35">
      <c r="I376"/>
    </row>
    <row r="377" spans="9:9" x14ac:dyDescent="0.35">
      <c r="I377"/>
    </row>
    <row r="378" spans="9:9" x14ac:dyDescent="0.35">
      <c r="I378"/>
    </row>
    <row r="379" spans="9:9" x14ac:dyDescent="0.35">
      <c r="I379"/>
    </row>
    <row r="380" spans="9:9" x14ac:dyDescent="0.35">
      <c r="I380"/>
    </row>
    <row r="381" spans="9:9" x14ac:dyDescent="0.35">
      <c r="I381"/>
    </row>
    <row r="382" spans="9:9" x14ac:dyDescent="0.35">
      <c r="I382"/>
    </row>
    <row r="383" spans="9:9" x14ac:dyDescent="0.35">
      <c r="I383"/>
    </row>
    <row r="384" spans="9:9" x14ac:dyDescent="0.35">
      <c r="I384"/>
    </row>
    <row r="385" spans="9:9" x14ac:dyDescent="0.35">
      <c r="I385"/>
    </row>
    <row r="386" spans="9:9" x14ac:dyDescent="0.35">
      <c r="I386"/>
    </row>
    <row r="387" spans="9:9" x14ac:dyDescent="0.35">
      <c r="I387"/>
    </row>
    <row r="388" spans="9:9" x14ac:dyDescent="0.35">
      <c r="I388"/>
    </row>
    <row r="389" spans="9:9" x14ac:dyDescent="0.35">
      <c r="I389"/>
    </row>
    <row r="390" spans="9:9" x14ac:dyDescent="0.35">
      <c r="I390"/>
    </row>
    <row r="391" spans="9:9" x14ac:dyDescent="0.35">
      <c r="I391"/>
    </row>
    <row r="392" spans="9:9" x14ac:dyDescent="0.35">
      <c r="I392"/>
    </row>
    <row r="393" spans="9:9" x14ac:dyDescent="0.35">
      <c r="I393"/>
    </row>
    <row r="394" spans="9:9" x14ac:dyDescent="0.35">
      <c r="I394"/>
    </row>
    <row r="395" spans="9:9" x14ac:dyDescent="0.35">
      <c r="I395"/>
    </row>
    <row r="396" spans="9:9" x14ac:dyDescent="0.35">
      <c r="I396"/>
    </row>
    <row r="397" spans="9:9" x14ac:dyDescent="0.35">
      <c r="I397"/>
    </row>
    <row r="398" spans="9:9" x14ac:dyDescent="0.35">
      <c r="I398"/>
    </row>
    <row r="399" spans="9:9" x14ac:dyDescent="0.35">
      <c r="I399"/>
    </row>
    <row r="400" spans="9:9" x14ac:dyDescent="0.35">
      <c r="I400"/>
    </row>
    <row r="401" spans="9:9" x14ac:dyDescent="0.35">
      <c r="I401"/>
    </row>
    <row r="402" spans="9:9" x14ac:dyDescent="0.35">
      <c r="I402"/>
    </row>
    <row r="403" spans="9:9" x14ac:dyDescent="0.35">
      <c r="I403"/>
    </row>
    <row r="404" spans="9:9" x14ac:dyDescent="0.35">
      <c r="I404"/>
    </row>
    <row r="405" spans="9:9" x14ac:dyDescent="0.35">
      <c r="I405"/>
    </row>
    <row r="406" spans="9:9" x14ac:dyDescent="0.35">
      <c r="I406"/>
    </row>
    <row r="407" spans="9:9" x14ac:dyDescent="0.35">
      <c r="I407"/>
    </row>
    <row r="408" spans="9:9" x14ac:dyDescent="0.35">
      <c r="I408"/>
    </row>
    <row r="409" spans="9:9" x14ac:dyDescent="0.35">
      <c r="I409"/>
    </row>
    <row r="410" spans="9:9" x14ac:dyDescent="0.35">
      <c r="I410"/>
    </row>
    <row r="411" spans="9:9" x14ac:dyDescent="0.35">
      <c r="I411"/>
    </row>
    <row r="412" spans="9:9" x14ac:dyDescent="0.35">
      <c r="I412"/>
    </row>
    <row r="413" spans="9:9" x14ac:dyDescent="0.35">
      <c r="I413"/>
    </row>
    <row r="414" spans="9:9" x14ac:dyDescent="0.35">
      <c r="I414"/>
    </row>
    <row r="415" spans="9:9" x14ac:dyDescent="0.35">
      <c r="I415"/>
    </row>
    <row r="416" spans="9:9" x14ac:dyDescent="0.35">
      <c r="I416"/>
    </row>
    <row r="417" spans="9:9" x14ac:dyDescent="0.35">
      <c r="I417"/>
    </row>
    <row r="418" spans="9:9" x14ac:dyDescent="0.35">
      <c r="I418"/>
    </row>
    <row r="419" spans="9:9" x14ac:dyDescent="0.35">
      <c r="I419"/>
    </row>
    <row r="420" spans="9:9" x14ac:dyDescent="0.35">
      <c r="I420"/>
    </row>
    <row r="421" spans="9:9" x14ac:dyDescent="0.35">
      <c r="I421"/>
    </row>
    <row r="422" spans="9:9" x14ac:dyDescent="0.35">
      <c r="I422"/>
    </row>
    <row r="423" spans="9:9" x14ac:dyDescent="0.35">
      <c r="I423"/>
    </row>
    <row r="424" spans="9:9" x14ac:dyDescent="0.35">
      <c r="I424"/>
    </row>
    <row r="425" spans="9:9" x14ac:dyDescent="0.35">
      <c r="I425"/>
    </row>
    <row r="426" spans="9:9" x14ac:dyDescent="0.35">
      <c r="I426"/>
    </row>
    <row r="427" spans="9:9" x14ac:dyDescent="0.35">
      <c r="I427"/>
    </row>
    <row r="428" spans="9:9" x14ac:dyDescent="0.35">
      <c r="I428"/>
    </row>
    <row r="429" spans="9:9" x14ac:dyDescent="0.35">
      <c r="I429"/>
    </row>
    <row r="430" spans="9:9" x14ac:dyDescent="0.35">
      <c r="I430"/>
    </row>
    <row r="431" spans="9:9" x14ac:dyDescent="0.35">
      <c r="I431"/>
    </row>
    <row r="432" spans="9:9" x14ac:dyDescent="0.35">
      <c r="I432"/>
    </row>
    <row r="433" spans="9:9" x14ac:dyDescent="0.35">
      <c r="I433"/>
    </row>
    <row r="434" spans="9:9" x14ac:dyDescent="0.35">
      <c r="I434"/>
    </row>
    <row r="435" spans="9:9" x14ac:dyDescent="0.35">
      <c r="I435"/>
    </row>
    <row r="436" spans="9:9" x14ac:dyDescent="0.35">
      <c r="I436"/>
    </row>
    <row r="437" spans="9:9" x14ac:dyDescent="0.35">
      <c r="I437"/>
    </row>
    <row r="438" spans="9:9" x14ac:dyDescent="0.35">
      <c r="I438"/>
    </row>
    <row r="439" spans="9:9" x14ac:dyDescent="0.35">
      <c r="I439"/>
    </row>
    <row r="440" spans="9:9" x14ac:dyDescent="0.35">
      <c r="I440"/>
    </row>
    <row r="441" spans="9:9" x14ac:dyDescent="0.35">
      <c r="I441"/>
    </row>
    <row r="442" spans="9:9" x14ac:dyDescent="0.35">
      <c r="I442"/>
    </row>
    <row r="443" spans="9:9" x14ac:dyDescent="0.35">
      <c r="I443"/>
    </row>
    <row r="444" spans="9:9" x14ac:dyDescent="0.35">
      <c r="I444"/>
    </row>
    <row r="445" spans="9:9" x14ac:dyDescent="0.35">
      <c r="I445"/>
    </row>
    <row r="446" spans="9:9" x14ac:dyDescent="0.35">
      <c r="I446"/>
    </row>
    <row r="447" spans="9:9" x14ac:dyDescent="0.35">
      <c r="I447"/>
    </row>
    <row r="448" spans="9:9" x14ac:dyDescent="0.35">
      <c r="I448"/>
    </row>
    <row r="449" spans="9:9" x14ac:dyDescent="0.35">
      <c r="I449"/>
    </row>
    <row r="450" spans="9:9" x14ac:dyDescent="0.35">
      <c r="I450"/>
    </row>
    <row r="451" spans="9:9" x14ac:dyDescent="0.35">
      <c r="I451"/>
    </row>
    <row r="452" spans="9:9" x14ac:dyDescent="0.35">
      <c r="I452"/>
    </row>
    <row r="453" spans="9:9" x14ac:dyDescent="0.35">
      <c r="I453"/>
    </row>
    <row r="454" spans="9:9" x14ac:dyDescent="0.35">
      <c r="I454"/>
    </row>
    <row r="455" spans="9:9" x14ac:dyDescent="0.35">
      <c r="I455"/>
    </row>
    <row r="456" spans="9:9" x14ac:dyDescent="0.35">
      <c r="I456"/>
    </row>
    <row r="457" spans="9:9" x14ac:dyDescent="0.35">
      <c r="I457"/>
    </row>
    <row r="458" spans="9:9" x14ac:dyDescent="0.35">
      <c r="I458"/>
    </row>
    <row r="459" spans="9:9" x14ac:dyDescent="0.35">
      <c r="I459"/>
    </row>
    <row r="460" spans="9:9" x14ac:dyDescent="0.35">
      <c r="I460"/>
    </row>
    <row r="461" spans="9:9" x14ac:dyDescent="0.35">
      <c r="I461"/>
    </row>
    <row r="462" spans="9:9" x14ac:dyDescent="0.35">
      <c r="I462"/>
    </row>
    <row r="463" spans="9:9" x14ac:dyDescent="0.35">
      <c r="I463"/>
    </row>
    <row r="464" spans="9:9" x14ac:dyDescent="0.35">
      <c r="I464"/>
    </row>
    <row r="465" spans="9:9" x14ac:dyDescent="0.35">
      <c r="I465"/>
    </row>
    <row r="466" spans="9:9" x14ac:dyDescent="0.35">
      <c r="I466"/>
    </row>
    <row r="467" spans="9:9" x14ac:dyDescent="0.35">
      <c r="I467"/>
    </row>
    <row r="468" spans="9:9" x14ac:dyDescent="0.35">
      <c r="I468"/>
    </row>
    <row r="469" spans="9:9" x14ac:dyDescent="0.35">
      <c r="I469"/>
    </row>
    <row r="470" spans="9:9" x14ac:dyDescent="0.35">
      <c r="I470"/>
    </row>
    <row r="471" spans="9:9" x14ac:dyDescent="0.35">
      <c r="I471"/>
    </row>
    <row r="472" spans="9:9" x14ac:dyDescent="0.35">
      <c r="I472"/>
    </row>
    <row r="473" spans="9:9" x14ac:dyDescent="0.35">
      <c r="I473"/>
    </row>
    <row r="474" spans="9:9" x14ac:dyDescent="0.35">
      <c r="I474"/>
    </row>
    <row r="475" spans="9:9" x14ac:dyDescent="0.35">
      <c r="I475"/>
    </row>
    <row r="476" spans="9:9" x14ac:dyDescent="0.35">
      <c r="I476"/>
    </row>
    <row r="477" spans="9:9" x14ac:dyDescent="0.35">
      <c r="I477"/>
    </row>
    <row r="478" spans="9:9" x14ac:dyDescent="0.35">
      <c r="I478"/>
    </row>
    <row r="479" spans="9:9" x14ac:dyDescent="0.35">
      <c r="I479"/>
    </row>
    <row r="480" spans="9:9" x14ac:dyDescent="0.35">
      <c r="I480"/>
    </row>
    <row r="481" spans="9:9" x14ac:dyDescent="0.35">
      <c r="I481"/>
    </row>
    <row r="482" spans="9:9" x14ac:dyDescent="0.35">
      <c r="I482"/>
    </row>
    <row r="483" spans="9:9" x14ac:dyDescent="0.35">
      <c r="I483"/>
    </row>
    <row r="484" spans="9:9" x14ac:dyDescent="0.35">
      <c r="I484"/>
    </row>
    <row r="485" spans="9:9" x14ac:dyDescent="0.35">
      <c r="I485"/>
    </row>
    <row r="486" spans="9:9" x14ac:dyDescent="0.35">
      <c r="I486"/>
    </row>
    <row r="487" spans="9:9" x14ac:dyDescent="0.35">
      <c r="I487"/>
    </row>
    <row r="488" spans="9:9" x14ac:dyDescent="0.35">
      <c r="I488"/>
    </row>
    <row r="489" spans="9:9" x14ac:dyDescent="0.35">
      <c r="I489"/>
    </row>
    <row r="490" spans="9:9" x14ac:dyDescent="0.35">
      <c r="I490"/>
    </row>
    <row r="491" spans="9:9" x14ac:dyDescent="0.35">
      <c r="I491"/>
    </row>
    <row r="492" spans="9:9" x14ac:dyDescent="0.35">
      <c r="I492"/>
    </row>
    <row r="493" spans="9:9" x14ac:dyDescent="0.35">
      <c r="I493"/>
    </row>
    <row r="494" spans="9:9" x14ac:dyDescent="0.35">
      <c r="I494"/>
    </row>
    <row r="495" spans="9:9" x14ac:dyDescent="0.35">
      <c r="I495"/>
    </row>
    <row r="496" spans="9:9" x14ac:dyDescent="0.35">
      <c r="I496"/>
    </row>
    <row r="497" spans="9:9" x14ac:dyDescent="0.35">
      <c r="I497"/>
    </row>
    <row r="498" spans="9:9" x14ac:dyDescent="0.35">
      <c r="I498"/>
    </row>
    <row r="499" spans="9:9" x14ac:dyDescent="0.35">
      <c r="I499"/>
    </row>
    <row r="500" spans="9:9" x14ac:dyDescent="0.35">
      <c r="I500"/>
    </row>
    <row r="501" spans="9:9" x14ac:dyDescent="0.35">
      <c r="I501"/>
    </row>
    <row r="502" spans="9:9" x14ac:dyDescent="0.35">
      <c r="I502"/>
    </row>
    <row r="503" spans="9:9" x14ac:dyDescent="0.35">
      <c r="I503"/>
    </row>
    <row r="504" spans="9:9" x14ac:dyDescent="0.35">
      <c r="I504"/>
    </row>
    <row r="505" spans="9:9" x14ac:dyDescent="0.35">
      <c r="I505"/>
    </row>
    <row r="506" spans="9:9" x14ac:dyDescent="0.35">
      <c r="I506"/>
    </row>
    <row r="507" spans="9:9" x14ac:dyDescent="0.35">
      <c r="I507"/>
    </row>
    <row r="508" spans="9:9" x14ac:dyDescent="0.35">
      <c r="I508"/>
    </row>
    <row r="509" spans="9:9" x14ac:dyDescent="0.35">
      <c r="I509"/>
    </row>
    <row r="510" spans="9:9" x14ac:dyDescent="0.35">
      <c r="I510"/>
    </row>
    <row r="511" spans="9:9" x14ac:dyDescent="0.35">
      <c r="I511"/>
    </row>
    <row r="512" spans="9:9" x14ac:dyDescent="0.35">
      <c r="I512"/>
    </row>
    <row r="513" spans="9:9" x14ac:dyDescent="0.35">
      <c r="I513"/>
    </row>
    <row r="514" spans="9:9" x14ac:dyDescent="0.35">
      <c r="I514"/>
    </row>
    <row r="515" spans="9:9" x14ac:dyDescent="0.35">
      <c r="I515"/>
    </row>
    <row r="516" spans="9:9" x14ac:dyDescent="0.35">
      <c r="I516"/>
    </row>
    <row r="517" spans="9:9" x14ac:dyDescent="0.35">
      <c r="I517"/>
    </row>
    <row r="518" spans="9:9" x14ac:dyDescent="0.35">
      <c r="I518"/>
    </row>
    <row r="519" spans="9:9" x14ac:dyDescent="0.35">
      <c r="I519"/>
    </row>
    <row r="520" spans="9:9" x14ac:dyDescent="0.35">
      <c r="I520"/>
    </row>
    <row r="521" spans="9:9" x14ac:dyDescent="0.35">
      <c r="I521"/>
    </row>
    <row r="522" spans="9:9" x14ac:dyDescent="0.35">
      <c r="I522"/>
    </row>
    <row r="523" spans="9:9" x14ac:dyDescent="0.35">
      <c r="I523"/>
    </row>
    <row r="524" spans="9:9" x14ac:dyDescent="0.35">
      <c r="I524"/>
    </row>
    <row r="525" spans="9:9" x14ac:dyDescent="0.35">
      <c r="I525"/>
    </row>
    <row r="526" spans="9:9" x14ac:dyDescent="0.35">
      <c r="I526"/>
    </row>
    <row r="527" spans="9:9" x14ac:dyDescent="0.35">
      <c r="I527"/>
    </row>
    <row r="528" spans="9:9" x14ac:dyDescent="0.35">
      <c r="I528"/>
    </row>
    <row r="529" spans="9:9" x14ac:dyDescent="0.35">
      <c r="I529"/>
    </row>
    <row r="530" spans="9:9" x14ac:dyDescent="0.35">
      <c r="I530"/>
    </row>
    <row r="531" spans="9:9" x14ac:dyDescent="0.35">
      <c r="I531"/>
    </row>
    <row r="532" spans="9:9" x14ac:dyDescent="0.35">
      <c r="I532"/>
    </row>
    <row r="533" spans="9:9" x14ac:dyDescent="0.35">
      <c r="I533"/>
    </row>
    <row r="534" spans="9:9" x14ac:dyDescent="0.35">
      <c r="I534"/>
    </row>
    <row r="535" spans="9:9" x14ac:dyDescent="0.35">
      <c r="I535"/>
    </row>
    <row r="536" spans="9:9" x14ac:dyDescent="0.35">
      <c r="I536"/>
    </row>
    <row r="537" spans="9:9" x14ac:dyDescent="0.35">
      <c r="I537"/>
    </row>
    <row r="538" spans="9:9" x14ac:dyDescent="0.35">
      <c r="I538"/>
    </row>
    <row r="539" spans="9:9" x14ac:dyDescent="0.35">
      <c r="I539"/>
    </row>
    <row r="540" spans="9:9" x14ac:dyDescent="0.35">
      <c r="I540"/>
    </row>
    <row r="541" spans="9:9" x14ac:dyDescent="0.35">
      <c r="I541"/>
    </row>
    <row r="542" spans="9:9" x14ac:dyDescent="0.35">
      <c r="I542"/>
    </row>
    <row r="543" spans="9:9" x14ac:dyDescent="0.35">
      <c r="I543"/>
    </row>
    <row r="544" spans="9:9" x14ac:dyDescent="0.35">
      <c r="I544"/>
    </row>
    <row r="545" spans="9:9" x14ac:dyDescent="0.35">
      <c r="I545"/>
    </row>
    <row r="546" spans="9:9" x14ac:dyDescent="0.35">
      <c r="I546"/>
    </row>
    <row r="547" spans="9:9" x14ac:dyDescent="0.35">
      <c r="I547"/>
    </row>
    <row r="548" spans="9:9" x14ac:dyDescent="0.35">
      <c r="I548"/>
    </row>
    <row r="549" spans="9:9" x14ac:dyDescent="0.35">
      <c r="I549"/>
    </row>
    <row r="550" spans="9:9" x14ac:dyDescent="0.35">
      <c r="I550"/>
    </row>
    <row r="551" spans="9:9" x14ac:dyDescent="0.35">
      <c r="I551"/>
    </row>
    <row r="552" spans="9:9" x14ac:dyDescent="0.35">
      <c r="I552"/>
    </row>
    <row r="553" spans="9:9" x14ac:dyDescent="0.35">
      <c r="I553"/>
    </row>
    <row r="554" spans="9:9" x14ac:dyDescent="0.35">
      <c r="I554"/>
    </row>
    <row r="555" spans="9:9" x14ac:dyDescent="0.35">
      <c r="I555"/>
    </row>
    <row r="556" spans="9:9" x14ac:dyDescent="0.35">
      <c r="I556"/>
    </row>
    <row r="557" spans="9:9" x14ac:dyDescent="0.35">
      <c r="I557"/>
    </row>
    <row r="558" spans="9:9" x14ac:dyDescent="0.35">
      <c r="I558"/>
    </row>
    <row r="559" spans="9:9" x14ac:dyDescent="0.35">
      <c r="I559"/>
    </row>
    <row r="560" spans="9:9" x14ac:dyDescent="0.35">
      <c r="I560"/>
    </row>
    <row r="561" spans="9:9" x14ac:dyDescent="0.35">
      <c r="I561"/>
    </row>
    <row r="562" spans="9:9" x14ac:dyDescent="0.35">
      <c r="I562"/>
    </row>
    <row r="563" spans="9:9" x14ac:dyDescent="0.35">
      <c r="I563"/>
    </row>
    <row r="564" spans="9:9" x14ac:dyDescent="0.35">
      <c r="I564"/>
    </row>
    <row r="565" spans="9:9" x14ac:dyDescent="0.35">
      <c r="I565"/>
    </row>
    <row r="566" spans="9:9" x14ac:dyDescent="0.35">
      <c r="I566"/>
    </row>
    <row r="567" spans="9:9" x14ac:dyDescent="0.35">
      <c r="I567"/>
    </row>
    <row r="568" spans="9:9" x14ac:dyDescent="0.35">
      <c r="I568"/>
    </row>
    <row r="569" spans="9:9" x14ac:dyDescent="0.35">
      <c r="I569"/>
    </row>
    <row r="570" spans="9:9" x14ac:dyDescent="0.35">
      <c r="I570"/>
    </row>
    <row r="571" spans="9:9" x14ac:dyDescent="0.35">
      <c r="I571"/>
    </row>
    <row r="572" spans="9:9" x14ac:dyDescent="0.35">
      <c r="I572"/>
    </row>
    <row r="573" spans="9:9" x14ac:dyDescent="0.35">
      <c r="I573"/>
    </row>
    <row r="574" spans="9:9" x14ac:dyDescent="0.35">
      <c r="I574"/>
    </row>
    <row r="575" spans="9:9" x14ac:dyDescent="0.35">
      <c r="I575"/>
    </row>
    <row r="576" spans="9:9" x14ac:dyDescent="0.35">
      <c r="I576"/>
    </row>
    <row r="577" spans="9:9" x14ac:dyDescent="0.35">
      <c r="I577"/>
    </row>
    <row r="578" spans="9:9" x14ac:dyDescent="0.35">
      <c r="I578"/>
    </row>
    <row r="579" spans="9:9" x14ac:dyDescent="0.35">
      <c r="I579"/>
    </row>
    <row r="580" spans="9:9" x14ac:dyDescent="0.35">
      <c r="I580"/>
    </row>
    <row r="581" spans="9:9" x14ac:dyDescent="0.35">
      <c r="I581"/>
    </row>
    <row r="582" spans="9:9" x14ac:dyDescent="0.35">
      <c r="I582"/>
    </row>
    <row r="583" spans="9:9" x14ac:dyDescent="0.35">
      <c r="I583"/>
    </row>
    <row r="584" spans="9:9" x14ac:dyDescent="0.35">
      <c r="I584"/>
    </row>
    <row r="585" spans="9:9" x14ac:dyDescent="0.35">
      <c r="I585"/>
    </row>
    <row r="586" spans="9:9" x14ac:dyDescent="0.35">
      <c r="I586"/>
    </row>
    <row r="587" spans="9:9" x14ac:dyDescent="0.35">
      <c r="I587"/>
    </row>
    <row r="588" spans="9:9" x14ac:dyDescent="0.35">
      <c r="I588"/>
    </row>
    <row r="589" spans="9:9" x14ac:dyDescent="0.35">
      <c r="I589"/>
    </row>
    <row r="590" spans="9:9" x14ac:dyDescent="0.35">
      <c r="I590"/>
    </row>
    <row r="591" spans="9:9" x14ac:dyDescent="0.35">
      <c r="I591"/>
    </row>
    <row r="592" spans="9:9" x14ac:dyDescent="0.35">
      <c r="I592"/>
    </row>
    <row r="593" spans="9:9" x14ac:dyDescent="0.35">
      <c r="I593"/>
    </row>
    <row r="594" spans="9:9" x14ac:dyDescent="0.35">
      <c r="I594"/>
    </row>
    <row r="595" spans="9:9" x14ac:dyDescent="0.35">
      <c r="I595"/>
    </row>
    <row r="596" spans="9:9" x14ac:dyDescent="0.35">
      <c r="I596"/>
    </row>
    <row r="597" spans="9:9" x14ac:dyDescent="0.35">
      <c r="I597"/>
    </row>
    <row r="598" spans="9:9" x14ac:dyDescent="0.35">
      <c r="I598"/>
    </row>
    <row r="599" spans="9:9" x14ac:dyDescent="0.35">
      <c r="I599"/>
    </row>
    <row r="600" spans="9:9" x14ac:dyDescent="0.35">
      <c r="I600"/>
    </row>
    <row r="601" spans="9:9" x14ac:dyDescent="0.35">
      <c r="I601"/>
    </row>
    <row r="602" spans="9:9" x14ac:dyDescent="0.35">
      <c r="I602"/>
    </row>
    <row r="603" spans="9:9" x14ac:dyDescent="0.35">
      <c r="I603"/>
    </row>
    <row r="604" spans="9:9" x14ac:dyDescent="0.35">
      <c r="I604"/>
    </row>
    <row r="605" spans="9:9" x14ac:dyDescent="0.35">
      <c r="I605"/>
    </row>
    <row r="606" spans="9:9" x14ac:dyDescent="0.35">
      <c r="I606"/>
    </row>
    <row r="607" spans="9:9" x14ac:dyDescent="0.35">
      <c r="I607"/>
    </row>
    <row r="608" spans="9:9" x14ac:dyDescent="0.35">
      <c r="I608"/>
    </row>
    <row r="609" spans="9:9" x14ac:dyDescent="0.35">
      <c r="I609"/>
    </row>
    <row r="610" spans="9:9" x14ac:dyDescent="0.35">
      <c r="I610"/>
    </row>
    <row r="611" spans="9:9" x14ac:dyDescent="0.35">
      <c r="I611"/>
    </row>
    <row r="612" spans="9:9" x14ac:dyDescent="0.35">
      <c r="I612"/>
    </row>
    <row r="613" spans="9:9" x14ac:dyDescent="0.35">
      <c r="I613"/>
    </row>
    <row r="614" spans="9:9" x14ac:dyDescent="0.35">
      <c r="I614"/>
    </row>
    <row r="615" spans="9:9" x14ac:dyDescent="0.35">
      <c r="I615"/>
    </row>
    <row r="616" spans="9:9" x14ac:dyDescent="0.35">
      <c r="I616"/>
    </row>
    <row r="617" spans="9:9" x14ac:dyDescent="0.35">
      <c r="I617"/>
    </row>
    <row r="618" spans="9:9" x14ac:dyDescent="0.35">
      <c r="I618"/>
    </row>
    <row r="619" spans="9:9" x14ac:dyDescent="0.35">
      <c r="I619"/>
    </row>
    <row r="620" spans="9:9" x14ac:dyDescent="0.35">
      <c r="I620"/>
    </row>
    <row r="621" spans="9:9" x14ac:dyDescent="0.35">
      <c r="I621"/>
    </row>
    <row r="622" spans="9:9" x14ac:dyDescent="0.35">
      <c r="I622"/>
    </row>
    <row r="623" spans="9:9" x14ac:dyDescent="0.35">
      <c r="I623"/>
    </row>
    <row r="624" spans="9:9" x14ac:dyDescent="0.35">
      <c r="I624"/>
    </row>
    <row r="625" spans="9:9" x14ac:dyDescent="0.35">
      <c r="I625"/>
    </row>
    <row r="626" spans="9:9" x14ac:dyDescent="0.35">
      <c r="I626"/>
    </row>
    <row r="627" spans="9:9" x14ac:dyDescent="0.35">
      <c r="I627"/>
    </row>
    <row r="628" spans="9:9" x14ac:dyDescent="0.35">
      <c r="I628"/>
    </row>
    <row r="629" spans="9:9" x14ac:dyDescent="0.35">
      <c r="I629"/>
    </row>
    <row r="630" spans="9:9" x14ac:dyDescent="0.35">
      <c r="I630"/>
    </row>
    <row r="631" spans="9:9" x14ac:dyDescent="0.35">
      <c r="I631"/>
    </row>
    <row r="632" spans="9:9" x14ac:dyDescent="0.35">
      <c r="I632"/>
    </row>
    <row r="633" spans="9:9" x14ac:dyDescent="0.35">
      <c r="I633"/>
    </row>
    <row r="634" spans="9:9" x14ac:dyDescent="0.35">
      <c r="I634"/>
    </row>
    <row r="635" spans="9:9" x14ac:dyDescent="0.35">
      <c r="I635"/>
    </row>
    <row r="636" spans="9:9" x14ac:dyDescent="0.35">
      <c r="I636"/>
    </row>
    <row r="637" spans="9:9" x14ac:dyDescent="0.35">
      <c r="I637"/>
    </row>
    <row r="638" spans="9:9" x14ac:dyDescent="0.35">
      <c r="I638"/>
    </row>
    <row r="639" spans="9:9" x14ac:dyDescent="0.35">
      <c r="I639"/>
    </row>
    <row r="640" spans="9:9" x14ac:dyDescent="0.35">
      <c r="I640"/>
    </row>
    <row r="641" spans="9:9" x14ac:dyDescent="0.35">
      <c r="I641"/>
    </row>
    <row r="642" spans="9:9" x14ac:dyDescent="0.35">
      <c r="I642"/>
    </row>
    <row r="643" spans="9:9" x14ac:dyDescent="0.35">
      <c r="I643"/>
    </row>
    <row r="644" spans="9:9" x14ac:dyDescent="0.35">
      <c r="I644"/>
    </row>
    <row r="645" spans="9:9" x14ac:dyDescent="0.35">
      <c r="I645"/>
    </row>
    <row r="646" spans="9:9" x14ac:dyDescent="0.35">
      <c r="I646"/>
    </row>
    <row r="647" spans="9:9" x14ac:dyDescent="0.35">
      <c r="I647"/>
    </row>
    <row r="648" spans="9:9" x14ac:dyDescent="0.35">
      <c r="I648"/>
    </row>
    <row r="649" spans="9:9" x14ac:dyDescent="0.35">
      <c r="I649"/>
    </row>
    <row r="650" spans="9:9" x14ac:dyDescent="0.35">
      <c r="I650"/>
    </row>
    <row r="651" spans="9:9" x14ac:dyDescent="0.35">
      <c r="I651"/>
    </row>
    <row r="652" spans="9:9" x14ac:dyDescent="0.35">
      <c r="I652"/>
    </row>
    <row r="653" spans="9:9" x14ac:dyDescent="0.35">
      <c r="I653"/>
    </row>
    <row r="654" spans="9:9" x14ac:dyDescent="0.35">
      <c r="I654"/>
    </row>
    <row r="655" spans="9:9" x14ac:dyDescent="0.35">
      <c r="I655"/>
    </row>
    <row r="656" spans="9:9" x14ac:dyDescent="0.35">
      <c r="I656"/>
    </row>
    <row r="657" spans="9:9" x14ac:dyDescent="0.35">
      <c r="I657"/>
    </row>
    <row r="658" spans="9:9" x14ac:dyDescent="0.35">
      <c r="I658"/>
    </row>
    <row r="659" spans="9:9" x14ac:dyDescent="0.35">
      <c r="I659"/>
    </row>
    <row r="660" spans="9:9" x14ac:dyDescent="0.35">
      <c r="I660"/>
    </row>
    <row r="661" spans="9:9" x14ac:dyDescent="0.35">
      <c r="I661"/>
    </row>
    <row r="662" spans="9:9" x14ac:dyDescent="0.35">
      <c r="I662"/>
    </row>
    <row r="663" spans="9:9" x14ac:dyDescent="0.35">
      <c r="I663"/>
    </row>
    <row r="664" spans="9:9" x14ac:dyDescent="0.35">
      <c r="I664"/>
    </row>
    <row r="665" spans="9:9" x14ac:dyDescent="0.35">
      <c r="I665"/>
    </row>
    <row r="666" spans="9:9" x14ac:dyDescent="0.35">
      <c r="I666"/>
    </row>
    <row r="667" spans="9:9" x14ac:dyDescent="0.35">
      <c r="I667"/>
    </row>
    <row r="668" spans="9:9" x14ac:dyDescent="0.35">
      <c r="I668"/>
    </row>
    <row r="669" spans="9:9" x14ac:dyDescent="0.35">
      <c r="I669"/>
    </row>
    <row r="670" spans="9:9" x14ac:dyDescent="0.35">
      <c r="I670"/>
    </row>
    <row r="671" spans="9:9" x14ac:dyDescent="0.35">
      <c r="I671"/>
    </row>
    <row r="672" spans="9:9" x14ac:dyDescent="0.35">
      <c r="I672"/>
    </row>
    <row r="673" spans="9:9" x14ac:dyDescent="0.35">
      <c r="I673"/>
    </row>
    <row r="674" spans="9:9" x14ac:dyDescent="0.35">
      <c r="I674"/>
    </row>
    <row r="675" spans="9:9" x14ac:dyDescent="0.35">
      <c r="I675"/>
    </row>
    <row r="676" spans="9:9" x14ac:dyDescent="0.35">
      <c r="I676"/>
    </row>
    <row r="677" spans="9:9" x14ac:dyDescent="0.35">
      <c r="I677"/>
    </row>
    <row r="678" spans="9:9" x14ac:dyDescent="0.35">
      <c r="I678"/>
    </row>
    <row r="679" spans="9:9" x14ac:dyDescent="0.35">
      <c r="I679"/>
    </row>
    <row r="680" spans="9:9" x14ac:dyDescent="0.35">
      <c r="I680"/>
    </row>
    <row r="681" spans="9:9" x14ac:dyDescent="0.35">
      <c r="I681"/>
    </row>
    <row r="682" spans="9:9" x14ac:dyDescent="0.35">
      <c r="I682"/>
    </row>
    <row r="683" spans="9:9" x14ac:dyDescent="0.35">
      <c r="I683"/>
    </row>
    <row r="684" spans="9:9" x14ac:dyDescent="0.35">
      <c r="I684"/>
    </row>
    <row r="685" spans="9:9" x14ac:dyDescent="0.35">
      <c r="I685"/>
    </row>
    <row r="686" spans="9:9" x14ac:dyDescent="0.35">
      <c r="I686"/>
    </row>
    <row r="687" spans="9:9" x14ac:dyDescent="0.35">
      <c r="I687"/>
    </row>
    <row r="688" spans="9:9" x14ac:dyDescent="0.35">
      <c r="I688"/>
    </row>
    <row r="689" spans="9:9" x14ac:dyDescent="0.35">
      <c r="I689"/>
    </row>
    <row r="690" spans="9:9" x14ac:dyDescent="0.35">
      <c r="I690"/>
    </row>
    <row r="691" spans="9:9" x14ac:dyDescent="0.35">
      <c r="I691"/>
    </row>
    <row r="692" spans="9:9" x14ac:dyDescent="0.35">
      <c r="I692"/>
    </row>
    <row r="693" spans="9:9" x14ac:dyDescent="0.35">
      <c r="I693"/>
    </row>
    <row r="694" spans="9:9" x14ac:dyDescent="0.35">
      <c r="I694"/>
    </row>
    <row r="695" spans="9:9" x14ac:dyDescent="0.35">
      <c r="I695"/>
    </row>
    <row r="696" spans="9:9" x14ac:dyDescent="0.35">
      <c r="I696"/>
    </row>
    <row r="697" spans="9:9" x14ac:dyDescent="0.35">
      <c r="I697"/>
    </row>
    <row r="698" spans="9:9" x14ac:dyDescent="0.35">
      <c r="I698"/>
    </row>
    <row r="699" spans="9:9" x14ac:dyDescent="0.35">
      <c r="I699"/>
    </row>
    <row r="700" spans="9:9" x14ac:dyDescent="0.35">
      <c r="I700"/>
    </row>
    <row r="701" spans="9:9" x14ac:dyDescent="0.35">
      <c r="I701"/>
    </row>
    <row r="702" spans="9:9" x14ac:dyDescent="0.35">
      <c r="I702"/>
    </row>
    <row r="703" spans="9:9" x14ac:dyDescent="0.35">
      <c r="I703"/>
    </row>
    <row r="704" spans="9:9" x14ac:dyDescent="0.35">
      <c r="I704"/>
    </row>
    <row r="705" spans="9:9" x14ac:dyDescent="0.35">
      <c r="I705"/>
    </row>
    <row r="706" spans="9:9" x14ac:dyDescent="0.35">
      <c r="I706"/>
    </row>
    <row r="707" spans="9:9" x14ac:dyDescent="0.35">
      <c r="I707"/>
    </row>
    <row r="708" spans="9:9" x14ac:dyDescent="0.35">
      <c r="I708"/>
    </row>
    <row r="709" spans="9:9" x14ac:dyDescent="0.35">
      <c r="I709"/>
    </row>
    <row r="710" spans="9:9" x14ac:dyDescent="0.35">
      <c r="I710"/>
    </row>
    <row r="711" spans="9:9" x14ac:dyDescent="0.35">
      <c r="I711"/>
    </row>
    <row r="712" spans="9:9" x14ac:dyDescent="0.35">
      <c r="I712"/>
    </row>
    <row r="713" spans="9:9" x14ac:dyDescent="0.35">
      <c r="I713"/>
    </row>
    <row r="714" spans="9:9" x14ac:dyDescent="0.35">
      <c r="I714"/>
    </row>
    <row r="715" spans="9:9" x14ac:dyDescent="0.35">
      <c r="I715"/>
    </row>
    <row r="716" spans="9:9" x14ac:dyDescent="0.35">
      <c r="I716"/>
    </row>
    <row r="717" spans="9:9" x14ac:dyDescent="0.35">
      <c r="I717"/>
    </row>
    <row r="718" spans="9:9" x14ac:dyDescent="0.35">
      <c r="I718"/>
    </row>
    <row r="719" spans="9:9" x14ac:dyDescent="0.35">
      <c r="I719"/>
    </row>
    <row r="720" spans="9:9" x14ac:dyDescent="0.35">
      <c r="I720"/>
    </row>
    <row r="721" spans="9:9" x14ac:dyDescent="0.35">
      <c r="I721"/>
    </row>
    <row r="722" spans="9:9" x14ac:dyDescent="0.35">
      <c r="I722"/>
    </row>
    <row r="723" spans="9:9" x14ac:dyDescent="0.35">
      <c r="I723"/>
    </row>
    <row r="724" spans="9:9" x14ac:dyDescent="0.35">
      <c r="I724"/>
    </row>
    <row r="725" spans="9:9" x14ac:dyDescent="0.35">
      <c r="I725"/>
    </row>
    <row r="726" spans="9:9" x14ac:dyDescent="0.35">
      <c r="I726"/>
    </row>
    <row r="727" spans="9:9" x14ac:dyDescent="0.35">
      <c r="I727"/>
    </row>
    <row r="728" spans="9:9" x14ac:dyDescent="0.35">
      <c r="I728"/>
    </row>
    <row r="729" spans="9:9" x14ac:dyDescent="0.35">
      <c r="I729"/>
    </row>
    <row r="730" spans="9:9" x14ac:dyDescent="0.35">
      <c r="I730"/>
    </row>
    <row r="731" spans="9:9" x14ac:dyDescent="0.35">
      <c r="I731"/>
    </row>
    <row r="732" spans="9:9" x14ac:dyDescent="0.35">
      <c r="I732"/>
    </row>
    <row r="733" spans="9:9" x14ac:dyDescent="0.35">
      <c r="I733"/>
    </row>
    <row r="734" spans="9:9" x14ac:dyDescent="0.35">
      <c r="I734"/>
    </row>
    <row r="735" spans="9:9" x14ac:dyDescent="0.35">
      <c r="I735"/>
    </row>
    <row r="736" spans="9:9" x14ac:dyDescent="0.35">
      <c r="I736"/>
    </row>
    <row r="737" spans="9:9" x14ac:dyDescent="0.35">
      <c r="I737"/>
    </row>
    <row r="738" spans="9:9" x14ac:dyDescent="0.35">
      <c r="I738"/>
    </row>
    <row r="739" spans="9:9" x14ac:dyDescent="0.35">
      <c r="I739"/>
    </row>
    <row r="740" spans="9:9" x14ac:dyDescent="0.35">
      <c r="I740"/>
    </row>
    <row r="741" spans="9:9" x14ac:dyDescent="0.35">
      <c r="I741"/>
    </row>
    <row r="742" spans="9:9" x14ac:dyDescent="0.35">
      <c r="I742"/>
    </row>
    <row r="743" spans="9:9" x14ac:dyDescent="0.35">
      <c r="I743"/>
    </row>
    <row r="744" spans="9:9" x14ac:dyDescent="0.35">
      <c r="I744"/>
    </row>
    <row r="745" spans="9:9" x14ac:dyDescent="0.35">
      <c r="I745"/>
    </row>
    <row r="746" spans="9:9" x14ac:dyDescent="0.35">
      <c r="I746"/>
    </row>
    <row r="747" spans="9:9" x14ac:dyDescent="0.35">
      <c r="I747"/>
    </row>
    <row r="748" spans="9:9" x14ac:dyDescent="0.35">
      <c r="I748"/>
    </row>
    <row r="749" spans="9:9" x14ac:dyDescent="0.35">
      <c r="I749"/>
    </row>
    <row r="750" spans="9:9" x14ac:dyDescent="0.35">
      <c r="I750"/>
    </row>
    <row r="751" spans="9:9" x14ac:dyDescent="0.35">
      <c r="I751"/>
    </row>
    <row r="752" spans="9:9" x14ac:dyDescent="0.35">
      <c r="I752"/>
    </row>
    <row r="753" spans="9:9" x14ac:dyDescent="0.35">
      <c r="I753"/>
    </row>
    <row r="754" spans="9:9" x14ac:dyDescent="0.35">
      <c r="I754"/>
    </row>
    <row r="755" spans="9:9" x14ac:dyDescent="0.35">
      <c r="I755"/>
    </row>
    <row r="756" spans="9:9" x14ac:dyDescent="0.35">
      <c r="I756"/>
    </row>
    <row r="757" spans="9:9" x14ac:dyDescent="0.35">
      <c r="I757"/>
    </row>
    <row r="758" spans="9:9" x14ac:dyDescent="0.35">
      <c r="I758"/>
    </row>
    <row r="759" spans="9:9" x14ac:dyDescent="0.35">
      <c r="I759"/>
    </row>
    <row r="760" spans="9:9" x14ac:dyDescent="0.35">
      <c r="I760"/>
    </row>
    <row r="761" spans="9:9" x14ac:dyDescent="0.35">
      <c r="I761"/>
    </row>
    <row r="762" spans="9:9" x14ac:dyDescent="0.35">
      <c r="I762"/>
    </row>
    <row r="763" spans="9:9" x14ac:dyDescent="0.35">
      <c r="I763"/>
    </row>
    <row r="764" spans="9:9" x14ac:dyDescent="0.35">
      <c r="I764"/>
    </row>
    <row r="765" spans="9:9" x14ac:dyDescent="0.35">
      <c r="I765"/>
    </row>
    <row r="766" spans="9:9" x14ac:dyDescent="0.35">
      <c r="I766"/>
    </row>
    <row r="767" spans="9:9" x14ac:dyDescent="0.35">
      <c r="I767"/>
    </row>
    <row r="768" spans="9:9" x14ac:dyDescent="0.35">
      <c r="I768"/>
    </row>
    <row r="769" spans="9:9" x14ac:dyDescent="0.35">
      <c r="I769"/>
    </row>
    <row r="770" spans="9:9" x14ac:dyDescent="0.35">
      <c r="I770"/>
    </row>
    <row r="771" spans="9:9" x14ac:dyDescent="0.35">
      <c r="I771"/>
    </row>
    <row r="772" spans="9:9" x14ac:dyDescent="0.35">
      <c r="I772"/>
    </row>
    <row r="773" spans="9:9" x14ac:dyDescent="0.35">
      <c r="I773"/>
    </row>
    <row r="774" spans="9:9" x14ac:dyDescent="0.35">
      <c r="I774"/>
    </row>
    <row r="775" spans="9:9" x14ac:dyDescent="0.35">
      <c r="I775"/>
    </row>
    <row r="776" spans="9:9" x14ac:dyDescent="0.35">
      <c r="I776"/>
    </row>
    <row r="777" spans="9:9" x14ac:dyDescent="0.35">
      <c r="I777"/>
    </row>
    <row r="778" spans="9:9" x14ac:dyDescent="0.35">
      <c r="I778"/>
    </row>
    <row r="779" spans="9:9" x14ac:dyDescent="0.35">
      <c r="I779"/>
    </row>
    <row r="780" spans="9:9" x14ac:dyDescent="0.35">
      <c r="I780"/>
    </row>
    <row r="781" spans="9:9" x14ac:dyDescent="0.35">
      <c r="I781"/>
    </row>
    <row r="782" spans="9:9" x14ac:dyDescent="0.35">
      <c r="I782"/>
    </row>
    <row r="783" spans="9:9" x14ac:dyDescent="0.35">
      <c r="I783"/>
    </row>
    <row r="784" spans="9:9" x14ac:dyDescent="0.35">
      <c r="I784"/>
    </row>
    <row r="785" spans="9:9" x14ac:dyDescent="0.35">
      <c r="I785"/>
    </row>
    <row r="786" spans="9:9" x14ac:dyDescent="0.35">
      <c r="I786"/>
    </row>
    <row r="787" spans="9:9" x14ac:dyDescent="0.35">
      <c r="I787"/>
    </row>
    <row r="788" spans="9:9" x14ac:dyDescent="0.35">
      <c r="I788"/>
    </row>
    <row r="789" spans="9:9" x14ac:dyDescent="0.35">
      <c r="I789"/>
    </row>
    <row r="790" spans="9:9" x14ac:dyDescent="0.35">
      <c r="I790"/>
    </row>
    <row r="791" spans="9:9" x14ac:dyDescent="0.35">
      <c r="I791"/>
    </row>
    <row r="792" spans="9:9" x14ac:dyDescent="0.35">
      <c r="I792"/>
    </row>
    <row r="793" spans="9:9" x14ac:dyDescent="0.35">
      <c r="I793"/>
    </row>
    <row r="794" spans="9:9" x14ac:dyDescent="0.35">
      <c r="I794"/>
    </row>
    <row r="795" spans="9:9" x14ac:dyDescent="0.35">
      <c r="I795"/>
    </row>
    <row r="796" spans="9:9" x14ac:dyDescent="0.35">
      <c r="I796"/>
    </row>
    <row r="797" spans="9:9" x14ac:dyDescent="0.35">
      <c r="I797"/>
    </row>
    <row r="798" spans="9:9" x14ac:dyDescent="0.35">
      <c r="I798"/>
    </row>
    <row r="799" spans="9:9" x14ac:dyDescent="0.35">
      <c r="I799"/>
    </row>
    <row r="800" spans="9:9" x14ac:dyDescent="0.35">
      <c r="I800"/>
    </row>
    <row r="801" spans="9:9" x14ac:dyDescent="0.35">
      <c r="I801"/>
    </row>
    <row r="802" spans="9:9" x14ac:dyDescent="0.35">
      <c r="I802"/>
    </row>
    <row r="803" spans="9:9" x14ac:dyDescent="0.35">
      <c r="I803"/>
    </row>
    <row r="804" spans="9:9" x14ac:dyDescent="0.35">
      <c r="I804"/>
    </row>
    <row r="805" spans="9:9" x14ac:dyDescent="0.35">
      <c r="I805"/>
    </row>
    <row r="806" spans="9:9" x14ac:dyDescent="0.35">
      <c r="I806"/>
    </row>
    <row r="807" spans="9:9" x14ac:dyDescent="0.35">
      <c r="I807"/>
    </row>
    <row r="808" spans="9:9" x14ac:dyDescent="0.35">
      <c r="I808"/>
    </row>
    <row r="809" spans="9:9" x14ac:dyDescent="0.35">
      <c r="I809"/>
    </row>
    <row r="810" spans="9:9" x14ac:dyDescent="0.35">
      <c r="I810"/>
    </row>
    <row r="811" spans="9:9" x14ac:dyDescent="0.35">
      <c r="I811"/>
    </row>
    <row r="812" spans="9:9" x14ac:dyDescent="0.35">
      <c r="I812"/>
    </row>
    <row r="813" spans="9:9" x14ac:dyDescent="0.35">
      <c r="I813"/>
    </row>
    <row r="814" spans="9:9" x14ac:dyDescent="0.35">
      <c r="I814"/>
    </row>
    <row r="815" spans="9:9" x14ac:dyDescent="0.35">
      <c r="I815"/>
    </row>
    <row r="816" spans="9:9" x14ac:dyDescent="0.35">
      <c r="I816"/>
    </row>
    <row r="817" spans="9:9" x14ac:dyDescent="0.35">
      <c r="I817"/>
    </row>
    <row r="818" spans="9:9" x14ac:dyDescent="0.35">
      <c r="I818"/>
    </row>
    <row r="819" spans="9:9" x14ac:dyDescent="0.35">
      <c r="I819"/>
    </row>
    <row r="820" spans="9:9" x14ac:dyDescent="0.35">
      <c r="I820"/>
    </row>
    <row r="821" spans="9:9" x14ac:dyDescent="0.35">
      <c r="I821"/>
    </row>
    <row r="822" spans="9:9" x14ac:dyDescent="0.35">
      <c r="I822"/>
    </row>
    <row r="823" spans="9:9" x14ac:dyDescent="0.35">
      <c r="I823"/>
    </row>
    <row r="824" spans="9:9" x14ac:dyDescent="0.35">
      <c r="I824"/>
    </row>
    <row r="825" spans="9:9" x14ac:dyDescent="0.35">
      <c r="I825"/>
    </row>
    <row r="826" spans="9:9" x14ac:dyDescent="0.35">
      <c r="I826"/>
    </row>
    <row r="827" spans="9:9" x14ac:dyDescent="0.35">
      <c r="I827"/>
    </row>
    <row r="828" spans="9:9" x14ac:dyDescent="0.35">
      <c r="I828"/>
    </row>
    <row r="829" spans="9:9" x14ac:dyDescent="0.35">
      <c r="I829"/>
    </row>
    <row r="830" spans="9:9" x14ac:dyDescent="0.35">
      <c r="I830"/>
    </row>
    <row r="831" spans="9:9" x14ac:dyDescent="0.35">
      <c r="I831"/>
    </row>
    <row r="832" spans="9:9" x14ac:dyDescent="0.35">
      <c r="I832"/>
    </row>
    <row r="833" spans="9:9" x14ac:dyDescent="0.35">
      <c r="I833"/>
    </row>
    <row r="834" spans="9:9" x14ac:dyDescent="0.35">
      <c r="I834"/>
    </row>
    <row r="835" spans="9:9" x14ac:dyDescent="0.35">
      <c r="I835"/>
    </row>
    <row r="836" spans="9:9" x14ac:dyDescent="0.35">
      <c r="I836"/>
    </row>
    <row r="837" spans="9:9" x14ac:dyDescent="0.35">
      <c r="I837"/>
    </row>
    <row r="838" spans="9:9" x14ac:dyDescent="0.35">
      <c r="I838"/>
    </row>
    <row r="839" spans="9:9" x14ac:dyDescent="0.35">
      <c r="I839"/>
    </row>
    <row r="840" spans="9:9" x14ac:dyDescent="0.35">
      <c r="I840"/>
    </row>
    <row r="841" spans="9:9" x14ac:dyDescent="0.35">
      <c r="I841"/>
    </row>
    <row r="842" spans="9:9" x14ac:dyDescent="0.35">
      <c r="I842"/>
    </row>
    <row r="843" spans="9:9" x14ac:dyDescent="0.35">
      <c r="I843"/>
    </row>
    <row r="844" spans="9:9" x14ac:dyDescent="0.35">
      <c r="I844"/>
    </row>
    <row r="845" spans="9:9" x14ac:dyDescent="0.35">
      <c r="I845"/>
    </row>
    <row r="846" spans="9:9" x14ac:dyDescent="0.35">
      <c r="I846"/>
    </row>
    <row r="847" spans="9:9" x14ac:dyDescent="0.35">
      <c r="I847"/>
    </row>
    <row r="848" spans="9:9" x14ac:dyDescent="0.35">
      <c r="I848"/>
    </row>
    <row r="849" spans="9:9" x14ac:dyDescent="0.35">
      <c r="I849"/>
    </row>
    <row r="850" spans="9:9" x14ac:dyDescent="0.35">
      <c r="I850"/>
    </row>
    <row r="851" spans="9:9" x14ac:dyDescent="0.35">
      <c r="I851"/>
    </row>
    <row r="852" spans="9:9" x14ac:dyDescent="0.35">
      <c r="I852"/>
    </row>
    <row r="853" spans="9:9" x14ac:dyDescent="0.35">
      <c r="I853"/>
    </row>
    <row r="854" spans="9:9" x14ac:dyDescent="0.35">
      <c r="I854"/>
    </row>
    <row r="855" spans="9:9" x14ac:dyDescent="0.35">
      <c r="I855"/>
    </row>
    <row r="856" spans="9:9" x14ac:dyDescent="0.35">
      <c r="I856"/>
    </row>
    <row r="857" spans="9:9" x14ac:dyDescent="0.35">
      <c r="I857"/>
    </row>
    <row r="858" spans="9:9" x14ac:dyDescent="0.35">
      <c r="I858"/>
    </row>
    <row r="859" spans="9:9" x14ac:dyDescent="0.35">
      <c r="I859"/>
    </row>
    <row r="860" spans="9:9" x14ac:dyDescent="0.35">
      <c r="I860"/>
    </row>
    <row r="861" spans="9:9" x14ac:dyDescent="0.35">
      <c r="I861"/>
    </row>
    <row r="862" spans="9:9" x14ac:dyDescent="0.35">
      <c r="I862"/>
    </row>
    <row r="863" spans="9:9" x14ac:dyDescent="0.35">
      <c r="I863"/>
    </row>
    <row r="864" spans="9:9" x14ac:dyDescent="0.35">
      <c r="I864"/>
    </row>
    <row r="865" spans="9:9" x14ac:dyDescent="0.35">
      <c r="I865"/>
    </row>
    <row r="866" spans="9:9" x14ac:dyDescent="0.35">
      <c r="I866"/>
    </row>
    <row r="867" spans="9:9" x14ac:dyDescent="0.35">
      <c r="I867"/>
    </row>
    <row r="868" spans="9:9" x14ac:dyDescent="0.35">
      <c r="I868"/>
    </row>
    <row r="869" spans="9:9" x14ac:dyDescent="0.35">
      <c r="I869"/>
    </row>
    <row r="870" spans="9:9" x14ac:dyDescent="0.35">
      <c r="I870"/>
    </row>
    <row r="871" spans="9:9" x14ac:dyDescent="0.35">
      <c r="I871"/>
    </row>
    <row r="872" spans="9:9" x14ac:dyDescent="0.35">
      <c r="I872"/>
    </row>
    <row r="873" spans="9:9" x14ac:dyDescent="0.35">
      <c r="I873"/>
    </row>
    <row r="874" spans="9:9" x14ac:dyDescent="0.35">
      <c r="I874"/>
    </row>
    <row r="875" spans="9:9" x14ac:dyDescent="0.35">
      <c r="I875"/>
    </row>
    <row r="876" spans="9:9" x14ac:dyDescent="0.35">
      <c r="I876"/>
    </row>
    <row r="877" spans="9:9" x14ac:dyDescent="0.35">
      <c r="I877"/>
    </row>
    <row r="878" spans="9:9" x14ac:dyDescent="0.35">
      <c r="I878"/>
    </row>
    <row r="879" spans="9:9" x14ac:dyDescent="0.35">
      <c r="I879"/>
    </row>
    <row r="880" spans="9:9" x14ac:dyDescent="0.35">
      <c r="I880"/>
    </row>
    <row r="881" spans="9:9" x14ac:dyDescent="0.35">
      <c r="I881"/>
    </row>
    <row r="882" spans="9:9" x14ac:dyDescent="0.35">
      <c r="I882"/>
    </row>
    <row r="883" spans="9:9" x14ac:dyDescent="0.35">
      <c r="I883"/>
    </row>
    <row r="884" spans="9:9" x14ac:dyDescent="0.35">
      <c r="I884"/>
    </row>
    <row r="885" spans="9:9" x14ac:dyDescent="0.35">
      <c r="I885"/>
    </row>
    <row r="886" spans="9:9" x14ac:dyDescent="0.35">
      <c r="I886"/>
    </row>
    <row r="887" spans="9:9" x14ac:dyDescent="0.35">
      <c r="I887"/>
    </row>
    <row r="888" spans="9:9" x14ac:dyDescent="0.35">
      <c r="I888"/>
    </row>
    <row r="889" spans="9:9" x14ac:dyDescent="0.35">
      <c r="I889"/>
    </row>
    <row r="890" spans="9:9" x14ac:dyDescent="0.35">
      <c r="I890"/>
    </row>
    <row r="891" spans="9:9" x14ac:dyDescent="0.35">
      <c r="I891"/>
    </row>
    <row r="892" spans="9:9" x14ac:dyDescent="0.35">
      <c r="I892"/>
    </row>
    <row r="893" spans="9:9" x14ac:dyDescent="0.35">
      <c r="I893"/>
    </row>
    <row r="894" spans="9:9" x14ac:dyDescent="0.35">
      <c r="I894"/>
    </row>
    <row r="895" spans="9:9" x14ac:dyDescent="0.35">
      <c r="I895"/>
    </row>
    <row r="896" spans="9:9" x14ac:dyDescent="0.35">
      <c r="I896"/>
    </row>
    <row r="897" spans="9:9" x14ac:dyDescent="0.35">
      <c r="I897"/>
    </row>
    <row r="898" spans="9:9" x14ac:dyDescent="0.35">
      <c r="I898"/>
    </row>
    <row r="899" spans="9:9" x14ac:dyDescent="0.35">
      <c r="I899"/>
    </row>
    <row r="900" spans="9:9" x14ac:dyDescent="0.35">
      <c r="I900"/>
    </row>
    <row r="901" spans="9:9" x14ac:dyDescent="0.35">
      <c r="I901"/>
    </row>
    <row r="902" spans="9:9" x14ac:dyDescent="0.35">
      <c r="I90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D431-823E-4182-BCF7-5C93D8E54EA6}">
  <dimension ref="A1:K5455"/>
  <sheetViews>
    <sheetView workbookViewId="0">
      <selection activeCell="H5065" sqref="H5065"/>
    </sheetView>
  </sheetViews>
  <sheetFormatPr defaultRowHeight="14.5" x14ac:dyDescent="0.35"/>
  <cols>
    <col min="1" max="1" width="21.54296875" bestFit="1" customWidth="1"/>
    <col min="2" max="2" width="13.81640625" bestFit="1" customWidth="1"/>
    <col min="3" max="3" width="11.1796875" style="77" bestFit="1" customWidth="1"/>
    <col min="4" max="4" width="10.453125" bestFit="1" customWidth="1"/>
    <col min="5" max="5" width="55.453125" style="77" bestFit="1" customWidth="1"/>
    <col min="6" max="6" width="14.1796875" style="77" bestFit="1" customWidth="1"/>
    <col min="7" max="7" width="12.54296875" style="77" bestFit="1" customWidth="1"/>
    <col min="8" max="8" width="33.54296875" style="77" bestFit="1" customWidth="1"/>
    <col min="9" max="9" width="8.7265625" style="77"/>
    <col min="10" max="10" width="13" style="4" bestFit="1" customWidth="1"/>
  </cols>
  <sheetData>
    <row r="1" spans="1:10" x14ac:dyDescent="0.35">
      <c r="A1" s="396" t="s">
        <v>114</v>
      </c>
      <c r="B1" s="396" t="s">
        <v>54</v>
      </c>
      <c r="C1" s="396" t="s">
        <v>78</v>
      </c>
      <c r="D1" s="396" t="s">
        <v>79</v>
      </c>
      <c r="E1" s="396" t="s">
        <v>64</v>
      </c>
      <c r="F1" s="396" t="s">
        <v>65</v>
      </c>
      <c r="G1" s="396" t="s">
        <v>66</v>
      </c>
      <c r="H1" s="396" t="s">
        <v>67</v>
      </c>
      <c r="I1" s="396" t="s">
        <v>68</v>
      </c>
      <c r="J1" s="397" t="s">
        <v>69</v>
      </c>
    </row>
    <row r="2" spans="1:10" x14ac:dyDescent="0.35">
      <c r="A2" s="385" t="s">
        <v>13</v>
      </c>
      <c r="B2" s="385" t="s">
        <v>33</v>
      </c>
      <c r="C2" s="474" t="s">
        <v>73</v>
      </c>
      <c r="D2" s="385" t="s">
        <v>81</v>
      </c>
      <c r="E2" s="474" t="s">
        <v>115</v>
      </c>
      <c r="F2" s="474" t="s">
        <v>73</v>
      </c>
      <c r="G2" s="474" t="s">
        <v>74</v>
      </c>
      <c r="H2" s="474" t="s">
        <v>102</v>
      </c>
      <c r="I2" s="474" t="s">
        <v>84</v>
      </c>
      <c r="J2" s="475" cm="1">
        <f t="array" ref="J2:J3">'SUT_EU27 total'!$J$19:$J$20</f>
        <v>11.828571428571427</v>
      </c>
    </row>
    <row r="3" spans="1:10" x14ac:dyDescent="0.35">
      <c r="A3" t="s">
        <v>13</v>
      </c>
      <c r="B3" t="s">
        <v>33</v>
      </c>
      <c r="C3" s="77" t="s">
        <v>73</v>
      </c>
      <c r="D3" t="s">
        <v>81</v>
      </c>
      <c r="E3" s="77" t="s">
        <v>116</v>
      </c>
      <c r="F3" s="77" t="s">
        <v>73</v>
      </c>
      <c r="G3" s="77" t="s">
        <v>74</v>
      </c>
      <c r="H3" s="77" t="s">
        <v>102</v>
      </c>
      <c r="I3" s="77" t="s">
        <v>84</v>
      </c>
      <c r="J3" s="76">
        <v>3.3421988920214002E-2</v>
      </c>
    </row>
    <row r="4" spans="1:10" x14ac:dyDescent="0.35">
      <c r="A4" t="s">
        <v>13</v>
      </c>
      <c r="B4" t="s">
        <v>33</v>
      </c>
      <c r="C4" s="77" t="s">
        <v>73</v>
      </c>
      <c r="D4" t="s">
        <v>81</v>
      </c>
      <c r="E4" s="77" t="s">
        <v>117</v>
      </c>
      <c r="F4" s="77" t="s">
        <v>73</v>
      </c>
      <c r="G4" s="77" t="s">
        <v>74</v>
      </c>
      <c r="H4" s="77" t="s">
        <v>102</v>
      </c>
      <c r="I4" s="77" t="s">
        <v>84</v>
      </c>
      <c r="J4" s="76">
        <f>'SUT_EU27 total'!$J$27</f>
        <v>20.996100000000002</v>
      </c>
    </row>
    <row r="5" spans="1:10" x14ac:dyDescent="0.35">
      <c r="A5" t="s">
        <v>13</v>
      </c>
      <c r="B5" t="s">
        <v>33</v>
      </c>
      <c r="C5" s="77" t="s">
        <v>73</v>
      </c>
      <c r="D5" t="s">
        <v>81</v>
      </c>
      <c r="E5" s="77" t="s">
        <v>101</v>
      </c>
      <c r="F5" s="77" t="s">
        <v>73</v>
      </c>
      <c r="G5" s="77" t="s">
        <v>74</v>
      </c>
      <c r="H5" s="77" t="s">
        <v>102</v>
      </c>
      <c r="I5" s="77" t="s">
        <v>84</v>
      </c>
      <c r="J5" s="76" cm="1">
        <f t="array" ref="J5:J7">'SUT_EU27 total'!$J$32:$J$34</f>
        <v>0.13437998483817604</v>
      </c>
    </row>
    <row r="6" spans="1:10" x14ac:dyDescent="0.35">
      <c r="A6" t="s">
        <v>13</v>
      </c>
      <c r="B6" t="s">
        <v>33</v>
      </c>
      <c r="C6" s="77" t="s">
        <v>73</v>
      </c>
      <c r="D6" t="s">
        <v>81</v>
      </c>
      <c r="E6" s="77" t="s">
        <v>104</v>
      </c>
      <c r="F6" s="77" t="s">
        <v>73</v>
      </c>
      <c r="G6" s="77" t="s">
        <v>74</v>
      </c>
      <c r="H6" s="77" t="s">
        <v>102</v>
      </c>
      <c r="I6" s="77" t="s">
        <v>84</v>
      </c>
      <c r="J6" s="76">
        <v>0.25443647306582401</v>
      </c>
    </row>
    <row r="7" spans="1:10" x14ac:dyDescent="0.35">
      <c r="A7" t="s">
        <v>13</v>
      </c>
      <c r="B7" t="s">
        <v>33</v>
      </c>
      <c r="C7" s="77" t="s">
        <v>73</v>
      </c>
      <c r="D7" t="s">
        <v>81</v>
      </c>
      <c r="E7" s="77" t="s">
        <v>106</v>
      </c>
      <c r="F7" s="77" t="s">
        <v>73</v>
      </c>
      <c r="G7" s="77" t="s">
        <v>74</v>
      </c>
      <c r="H7" s="77" t="s">
        <v>102</v>
      </c>
      <c r="I7" s="77" t="s">
        <v>84</v>
      </c>
      <c r="J7" s="76">
        <v>0.86543018049599985</v>
      </c>
    </row>
    <row r="8" spans="1:10" x14ac:dyDescent="0.35">
      <c r="A8" t="s">
        <v>13</v>
      </c>
      <c r="B8" t="s">
        <v>33</v>
      </c>
      <c r="C8" s="77" t="s">
        <v>88</v>
      </c>
      <c r="D8" t="s">
        <v>81</v>
      </c>
      <c r="E8" s="77" t="s">
        <v>115</v>
      </c>
      <c r="F8" s="77" t="s">
        <v>73</v>
      </c>
      <c r="G8" s="77" t="s">
        <v>74</v>
      </c>
      <c r="H8" s="77" t="s">
        <v>102</v>
      </c>
      <c r="I8" s="77" t="s">
        <v>84</v>
      </c>
      <c r="J8" s="76" cm="1">
        <f t="array" ref="J8:J9">'SUT_EU27 total'!$J$36:$J$37</f>
        <v>78.857142857142847</v>
      </c>
    </row>
    <row r="9" spans="1:10" x14ac:dyDescent="0.35">
      <c r="A9" t="s">
        <v>13</v>
      </c>
      <c r="B9" t="s">
        <v>33</v>
      </c>
      <c r="C9" s="77" t="s">
        <v>88</v>
      </c>
      <c r="D9" t="s">
        <v>81</v>
      </c>
      <c r="E9" s="77" t="s">
        <v>116</v>
      </c>
      <c r="F9" s="77" t="s">
        <v>73</v>
      </c>
      <c r="G9" s="77" t="s">
        <v>74</v>
      </c>
      <c r="H9" s="77" t="s">
        <v>102</v>
      </c>
      <c r="I9" s="77" t="s">
        <v>84</v>
      </c>
      <c r="J9" s="76">
        <v>0.7862213561563367</v>
      </c>
    </row>
    <row r="10" spans="1:10" x14ac:dyDescent="0.35">
      <c r="A10" t="s">
        <v>13</v>
      </c>
      <c r="B10" t="s">
        <v>33</v>
      </c>
      <c r="C10" s="77" t="s">
        <v>88</v>
      </c>
      <c r="D10" t="s">
        <v>81</v>
      </c>
      <c r="E10" s="77" t="s">
        <v>117</v>
      </c>
      <c r="F10" s="77" t="s">
        <v>73</v>
      </c>
      <c r="G10" s="77" t="s">
        <v>74</v>
      </c>
      <c r="H10" s="77" t="s">
        <v>102</v>
      </c>
      <c r="I10" s="77" t="s">
        <v>84</v>
      </c>
      <c r="J10" s="76">
        <f>'SUT_EU27 total'!$J$44</f>
        <v>286.26390000000004</v>
      </c>
    </row>
    <row r="11" spans="1:10" x14ac:dyDescent="0.35">
      <c r="A11" t="s">
        <v>13</v>
      </c>
      <c r="B11" t="s">
        <v>33</v>
      </c>
      <c r="C11" s="77" t="s">
        <v>88</v>
      </c>
      <c r="D11" t="s">
        <v>81</v>
      </c>
      <c r="E11" s="77" t="s">
        <v>101</v>
      </c>
      <c r="F11" s="77" t="s">
        <v>73</v>
      </c>
      <c r="G11" s="77" t="s">
        <v>74</v>
      </c>
      <c r="H11" s="77" t="s">
        <v>102</v>
      </c>
      <c r="I11" s="77" t="s">
        <v>84</v>
      </c>
      <c r="J11" s="76" cm="1">
        <f t="array" ref="J11:J13">'SUT_EU27 total'!$J$49:$J$51</f>
        <v>0</v>
      </c>
    </row>
    <row r="12" spans="1:10" x14ac:dyDescent="0.35">
      <c r="A12" t="s">
        <v>13</v>
      </c>
      <c r="B12" t="s">
        <v>33</v>
      </c>
      <c r="C12" s="77" t="s">
        <v>88</v>
      </c>
      <c r="D12" t="s">
        <v>81</v>
      </c>
      <c r="E12" s="77" t="s">
        <v>104</v>
      </c>
      <c r="F12" s="77" t="s">
        <v>73</v>
      </c>
      <c r="G12" s="77" t="s">
        <v>74</v>
      </c>
      <c r="H12" s="77" t="s">
        <v>102</v>
      </c>
      <c r="I12" s="77" t="s">
        <v>84</v>
      </c>
      <c r="J12" s="76">
        <v>0</v>
      </c>
    </row>
    <row r="13" spans="1:10" x14ac:dyDescent="0.35">
      <c r="A13" t="s">
        <v>13</v>
      </c>
      <c r="B13" t="s">
        <v>33</v>
      </c>
      <c r="C13" s="77" t="s">
        <v>88</v>
      </c>
      <c r="D13" t="s">
        <v>81</v>
      </c>
      <c r="E13" s="77" t="s">
        <v>106</v>
      </c>
      <c r="F13" s="77" t="s">
        <v>73</v>
      </c>
      <c r="G13" s="77" t="s">
        <v>74</v>
      </c>
      <c r="H13" s="77" t="s">
        <v>102</v>
      </c>
      <c r="I13" s="77" t="s">
        <v>84</v>
      </c>
      <c r="J13" s="76">
        <v>0</v>
      </c>
    </row>
    <row r="14" spans="1:10" x14ac:dyDescent="0.35">
      <c r="A14" t="s">
        <v>13</v>
      </c>
      <c r="B14" t="s">
        <v>33</v>
      </c>
      <c r="C14" s="77" t="s">
        <v>90</v>
      </c>
      <c r="D14" t="s">
        <v>81</v>
      </c>
      <c r="E14" s="77" t="s">
        <v>115</v>
      </c>
      <c r="F14" s="77" t="s">
        <v>73</v>
      </c>
      <c r="G14" s="77" t="s">
        <v>74</v>
      </c>
      <c r="H14" s="77" t="s">
        <v>102</v>
      </c>
      <c r="I14" s="77" t="s">
        <v>84</v>
      </c>
      <c r="J14" s="76" cm="1">
        <f t="array" ref="J14:J15">'SUT_EU27 total'!$J$53:$J$54</f>
        <v>7.7904761904761894</v>
      </c>
    </row>
    <row r="15" spans="1:10" x14ac:dyDescent="0.35">
      <c r="A15" t="s">
        <v>13</v>
      </c>
      <c r="B15" t="s">
        <v>33</v>
      </c>
      <c r="C15" s="77" t="s">
        <v>90</v>
      </c>
      <c r="D15" t="s">
        <v>81</v>
      </c>
      <c r="E15" s="77" t="s">
        <v>116</v>
      </c>
      <c r="F15" s="77" t="s">
        <v>73</v>
      </c>
      <c r="G15" s="77" t="s">
        <v>74</v>
      </c>
      <c r="H15" s="77" t="s">
        <v>102</v>
      </c>
      <c r="I15" s="77" t="s">
        <v>84</v>
      </c>
      <c r="J15" s="76">
        <v>1.5473889063756709E-2</v>
      </c>
    </row>
    <row r="16" spans="1:10" x14ac:dyDescent="0.35">
      <c r="A16" t="s">
        <v>13</v>
      </c>
      <c r="B16" t="s">
        <v>33</v>
      </c>
      <c r="C16" s="77" t="s">
        <v>90</v>
      </c>
      <c r="D16" t="s">
        <v>81</v>
      </c>
      <c r="E16" s="77" t="s">
        <v>117</v>
      </c>
      <c r="F16" s="77" t="s">
        <v>73</v>
      </c>
      <c r="G16" s="77" t="s">
        <v>74</v>
      </c>
      <c r="H16" s="77" t="s">
        <v>102</v>
      </c>
      <c r="I16" s="77" t="s">
        <v>84</v>
      </c>
      <c r="J16" s="76">
        <f>'SUT_EU27 total'!$J$61</f>
        <v>11.2662</v>
      </c>
    </row>
    <row r="17" spans="1:10" x14ac:dyDescent="0.35">
      <c r="A17" t="s">
        <v>13</v>
      </c>
      <c r="B17" t="s">
        <v>33</v>
      </c>
      <c r="C17" s="77" t="s">
        <v>90</v>
      </c>
      <c r="D17" t="s">
        <v>81</v>
      </c>
      <c r="E17" s="77" t="s">
        <v>101</v>
      </c>
      <c r="F17" s="77" t="s">
        <v>73</v>
      </c>
      <c r="G17" s="77" t="s">
        <v>74</v>
      </c>
      <c r="H17" s="77" t="s">
        <v>102</v>
      </c>
      <c r="I17" s="77" t="s">
        <v>84</v>
      </c>
      <c r="J17" s="76" cm="1">
        <f t="array" ref="J17:J19">'SUT_EU27 total'!$J$66:$J$68</f>
        <v>0</v>
      </c>
    </row>
    <row r="18" spans="1:10" x14ac:dyDescent="0.35">
      <c r="A18" t="s">
        <v>13</v>
      </c>
      <c r="B18" t="s">
        <v>33</v>
      </c>
      <c r="C18" s="77" t="s">
        <v>90</v>
      </c>
      <c r="D18" t="s">
        <v>81</v>
      </c>
      <c r="E18" s="77" t="s">
        <v>104</v>
      </c>
      <c r="F18" s="77" t="s">
        <v>73</v>
      </c>
      <c r="G18" s="77" t="s">
        <v>74</v>
      </c>
      <c r="H18" s="77" t="s">
        <v>102</v>
      </c>
      <c r="I18" s="77" t="s">
        <v>84</v>
      </c>
      <c r="J18" s="76">
        <v>0</v>
      </c>
    </row>
    <row r="19" spans="1:10" x14ac:dyDescent="0.35">
      <c r="A19" t="s">
        <v>13</v>
      </c>
      <c r="B19" t="s">
        <v>33</v>
      </c>
      <c r="C19" s="77" t="s">
        <v>90</v>
      </c>
      <c r="D19" t="s">
        <v>81</v>
      </c>
      <c r="E19" s="77" t="s">
        <v>106</v>
      </c>
      <c r="F19" s="77" t="s">
        <v>73</v>
      </c>
      <c r="G19" s="77" t="s">
        <v>74</v>
      </c>
      <c r="H19" s="77" t="s">
        <v>102</v>
      </c>
      <c r="I19" s="77" t="s">
        <v>84</v>
      </c>
      <c r="J19" s="76">
        <v>0</v>
      </c>
    </row>
    <row r="20" spans="1:10" x14ac:dyDescent="0.35">
      <c r="A20" t="s">
        <v>13</v>
      </c>
      <c r="B20" t="s">
        <v>33</v>
      </c>
      <c r="C20" s="77" t="s">
        <v>91</v>
      </c>
      <c r="D20" t="s">
        <v>81</v>
      </c>
      <c r="E20" s="77" t="s">
        <v>115</v>
      </c>
      <c r="F20" s="77" t="s">
        <v>73</v>
      </c>
      <c r="G20" s="77" t="s">
        <v>74</v>
      </c>
      <c r="H20" s="77" t="s">
        <v>102</v>
      </c>
      <c r="I20" s="77" t="s">
        <v>84</v>
      </c>
      <c r="J20" s="76" cm="1">
        <f t="array" ref="J20:J21">'SUT_EU27 total'!$J$70:$J$71</f>
        <v>15.771428571428569</v>
      </c>
    </row>
    <row r="21" spans="1:10" x14ac:dyDescent="0.35">
      <c r="A21" t="s">
        <v>13</v>
      </c>
      <c r="B21" t="s">
        <v>33</v>
      </c>
      <c r="C21" s="77" t="s">
        <v>91</v>
      </c>
      <c r="D21" t="s">
        <v>81</v>
      </c>
      <c r="E21" s="77" t="s">
        <v>116</v>
      </c>
      <c r="F21" s="77" t="s">
        <v>73</v>
      </c>
      <c r="G21" s="77" t="s">
        <v>74</v>
      </c>
      <c r="H21" s="77" t="s">
        <v>102</v>
      </c>
      <c r="I21" s="77" t="s">
        <v>84</v>
      </c>
      <c r="J21" s="76">
        <v>8.7507175559917313E-2</v>
      </c>
    </row>
    <row r="22" spans="1:10" x14ac:dyDescent="0.35">
      <c r="A22" t="s">
        <v>13</v>
      </c>
      <c r="B22" t="s">
        <v>33</v>
      </c>
      <c r="C22" s="77" t="s">
        <v>91</v>
      </c>
      <c r="D22" t="s">
        <v>81</v>
      </c>
      <c r="E22" s="77" t="s">
        <v>117</v>
      </c>
      <c r="F22" s="77" t="s">
        <v>73</v>
      </c>
      <c r="G22" s="77" t="s">
        <v>74</v>
      </c>
      <c r="H22" s="77" t="s">
        <v>102</v>
      </c>
      <c r="I22" s="77" t="s">
        <v>84</v>
      </c>
      <c r="J22" s="76">
        <f>'SUT_EU27 total'!$J$78</f>
        <v>41.4801</v>
      </c>
    </row>
    <row r="23" spans="1:10" x14ac:dyDescent="0.35">
      <c r="A23" t="s">
        <v>13</v>
      </c>
      <c r="B23" t="s">
        <v>33</v>
      </c>
      <c r="C23" s="77" t="s">
        <v>91</v>
      </c>
      <c r="D23" t="s">
        <v>81</v>
      </c>
      <c r="E23" s="77" t="s">
        <v>101</v>
      </c>
      <c r="F23" s="77" t="s">
        <v>73</v>
      </c>
      <c r="G23" s="77" t="s">
        <v>74</v>
      </c>
      <c r="H23" s="77" t="s">
        <v>102</v>
      </c>
      <c r="I23" s="77" t="s">
        <v>84</v>
      </c>
      <c r="J23" s="76" cm="1">
        <f t="array" ref="J23:J25">'SUT_EU27 total'!$J$83:$J$85</f>
        <v>0</v>
      </c>
    </row>
    <row r="24" spans="1:10" x14ac:dyDescent="0.35">
      <c r="A24" t="s">
        <v>13</v>
      </c>
      <c r="B24" t="s">
        <v>33</v>
      </c>
      <c r="C24" s="77" t="s">
        <v>91</v>
      </c>
      <c r="D24" t="s">
        <v>81</v>
      </c>
      <c r="E24" s="77" t="s">
        <v>104</v>
      </c>
      <c r="F24" s="77" t="s">
        <v>73</v>
      </c>
      <c r="G24" s="77" t="s">
        <v>74</v>
      </c>
      <c r="H24" s="77" t="s">
        <v>102</v>
      </c>
      <c r="I24" s="77" t="s">
        <v>84</v>
      </c>
      <c r="J24" s="76">
        <v>0</v>
      </c>
    </row>
    <row r="25" spans="1:10" x14ac:dyDescent="0.35">
      <c r="A25" t="s">
        <v>13</v>
      </c>
      <c r="B25" t="s">
        <v>33</v>
      </c>
      <c r="C25" s="77" t="s">
        <v>91</v>
      </c>
      <c r="D25" t="s">
        <v>81</v>
      </c>
      <c r="E25" s="77" t="s">
        <v>106</v>
      </c>
      <c r="F25" s="77" t="s">
        <v>73</v>
      </c>
      <c r="G25" s="77" t="s">
        <v>74</v>
      </c>
      <c r="H25" s="77" t="s">
        <v>102</v>
      </c>
      <c r="I25" s="77" t="s">
        <v>84</v>
      </c>
      <c r="J25" s="76">
        <v>0</v>
      </c>
    </row>
    <row r="26" spans="1:10" x14ac:dyDescent="0.35">
      <c r="A26" t="s">
        <v>13</v>
      </c>
      <c r="B26" t="s">
        <v>33</v>
      </c>
      <c r="C26" s="77" t="s">
        <v>92</v>
      </c>
      <c r="D26" t="s">
        <v>81</v>
      </c>
      <c r="E26" s="77" t="s">
        <v>115</v>
      </c>
      <c r="F26" s="77" t="s">
        <v>73</v>
      </c>
      <c r="G26" s="77" t="s">
        <v>74</v>
      </c>
      <c r="H26" s="77" t="s">
        <v>102</v>
      </c>
      <c r="I26" s="77" t="s">
        <v>84</v>
      </c>
      <c r="J26" s="76" cm="1">
        <f t="array" ref="J26:J27">'SUT_EU27 total'!$J$87:$J$88</f>
        <v>6.6239999999999997</v>
      </c>
    </row>
    <row r="27" spans="1:10" x14ac:dyDescent="0.35">
      <c r="A27" t="s">
        <v>13</v>
      </c>
      <c r="B27" t="s">
        <v>33</v>
      </c>
      <c r="C27" s="77" t="s">
        <v>92</v>
      </c>
      <c r="D27" t="s">
        <v>81</v>
      </c>
      <c r="E27" s="77" t="s">
        <v>116</v>
      </c>
      <c r="F27" s="77" t="s">
        <v>73</v>
      </c>
      <c r="G27" s="77" t="s">
        <v>74</v>
      </c>
      <c r="H27" s="77" t="s">
        <v>102</v>
      </c>
      <c r="I27" s="77" t="s">
        <v>84</v>
      </c>
      <c r="J27" s="76">
        <v>6.0040746268656714E-2</v>
      </c>
    </row>
    <row r="28" spans="1:10" x14ac:dyDescent="0.35">
      <c r="A28" t="s">
        <v>13</v>
      </c>
      <c r="B28" t="s">
        <v>33</v>
      </c>
      <c r="C28" s="77" t="s">
        <v>92</v>
      </c>
      <c r="D28" t="s">
        <v>81</v>
      </c>
      <c r="E28" s="77" t="s">
        <v>117</v>
      </c>
      <c r="F28" s="77" t="s">
        <v>73</v>
      </c>
      <c r="G28" s="77" t="s">
        <v>74</v>
      </c>
      <c r="H28" s="77" t="s">
        <v>102</v>
      </c>
      <c r="I28" s="77" t="s">
        <v>84</v>
      </c>
      <c r="J28" s="76">
        <f>'SUT_EU27 total'!$J$95</f>
        <v>13.3146</v>
      </c>
    </row>
    <row r="29" spans="1:10" x14ac:dyDescent="0.35">
      <c r="A29" t="s">
        <v>13</v>
      </c>
      <c r="B29" t="s">
        <v>33</v>
      </c>
      <c r="C29" s="77" t="s">
        <v>92</v>
      </c>
      <c r="D29" t="s">
        <v>81</v>
      </c>
      <c r="E29" s="77" t="s">
        <v>101</v>
      </c>
      <c r="F29" s="77" t="s">
        <v>73</v>
      </c>
      <c r="G29" s="77" t="s">
        <v>74</v>
      </c>
      <c r="H29" s="77" t="s">
        <v>102</v>
      </c>
      <c r="I29" s="77" t="s">
        <v>84</v>
      </c>
      <c r="J29" s="76" cm="1">
        <f t="array" ref="J29:J31">'SUT_EU27 total'!$J$100:$J$102</f>
        <v>0</v>
      </c>
    </row>
    <row r="30" spans="1:10" x14ac:dyDescent="0.35">
      <c r="A30" t="s">
        <v>13</v>
      </c>
      <c r="B30" t="s">
        <v>33</v>
      </c>
      <c r="C30" s="77" t="s">
        <v>92</v>
      </c>
      <c r="D30" t="s">
        <v>81</v>
      </c>
      <c r="E30" s="77" t="s">
        <v>104</v>
      </c>
      <c r="F30" s="77" t="s">
        <v>73</v>
      </c>
      <c r="G30" s="77" t="s">
        <v>74</v>
      </c>
      <c r="H30" s="77" t="s">
        <v>102</v>
      </c>
      <c r="I30" s="77" t="s">
        <v>84</v>
      </c>
      <c r="J30" s="76">
        <v>0</v>
      </c>
    </row>
    <row r="31" spans="1:10" x14ac:dyDescent="0.35">
      <c r="A31" t="s">
        <v>13</v>
      </c>
      <c r="B31" t="s">
        <v>33</v>
      </c>
      <c r="C31" s="77" t="s">
        <v>92</v>
      </c>
      <c r="D31" t="s">
        <v>81</v>
      </c>
      <c r="E31" s="77" t="s">
        <v>106</v>
      </c>
      <c r="F31" s="77" t="s">
        <v>73</v>
      </c>
      <c r="G31" s="77" t="s">
        <v>74</v>
      </c>
      <c r="H31" s="77" t="s">
        <v>102</v>
      </c>
      <c r="I31" s="77" t="s">
        <v>84</v>
      </c>
      <c r="J31" s="76">
        <v>0</v>
      </c>
    </row>
    <row r="32" spans="1:10" x14ac:dyDescent="0.35">
      <c r="A32" t="s">
        <v>13</v>
      </c>
      <c r="B32" t="s">
        <v>33</v>
      </c>
      <c r="C32" s="77" t="s">
        <v>93</v>
      </c>
      <c r="D32" t="s">
        <v>81</v>
      </c>
      <c r="E32" s="77" t="s">
        <v>115</v>
      </c>
      <c r="F32" s="77" t="s">
        <v>73</v>
      </c>
      <c r="G32" s="77" t="s">
        <v>74</v>
      </c>
      <c r="H32" s="77" t="s">
        <v>102</v>
      </c>
      <c r="I32" s="77" t="s">
        <v>84</v>
      </c>
      <c r="J32" s="76" cm="1">
        <f t="array" ref="J32:J33">'SUT_EU27 total'!$J$104:$J$105</f>
        <v>44.633142857142865</v>
      </c>
    </row>
    <row r="33" spans="1:10" x14ac:dyDescent="0.35">
      <c r="A33" t="s">
        <v>13</v>
      </c>
      <c r="B33" t="s">
        <v>33</v>
      </c>
      <c r="C33" s="77" t="s">
        <v>93</v>
      </c>
      <c r="D33" t="s">
        <v>81</v>
      </c>
      <c r="E33" s="77" t="s">
        <v>116</v>
      </c>
      <c r="F33" s="77" t="s">
        <v>73</v>
      </c>
      <c r="G33" s="77" t="s">
        <v>74</v>
      </c>
      <c r="H33" s="77" t="s">
        <v>102</v>
      </c>
      <c r="I33" s="77" t="s">
        <v>84</v>
      </c>
      <c r="J33" s="76">
        <v>0.3673348440311186</v>
      </c>
    </row>
    <row r="34" spans="1:10" x14ac:dyDescent="0.35">
      <c r="A34" t="s">
        <v>13</v>
      </c>
      <c r="B34" t="s">
        <v>33</v>
      </c>
      <c r="C34" s="77" t="s">
        <v>93</v>
      </c>
      <c r="D34" t="s">
        <v>81</v>
      </c>
      <c r="E34" s="77" t="s">
        <v>117</v>
      </c>
      <c r="F34" s="77" t="s">
        <v>73</v>
      </c>
      <c r="G34" s="77" t="s">
        <v>74</v>
      </c>
      <c r="H34" s="77" t="s">
        <v>102</v>
      </c>
      <c r="I34" s="77" t="s">
        <v>84</v>
      </c>
      <c r="J34" s="76">
        <f>'SUT_EU27 total'!$J$112</f>
        <v>138.77909999999997</v>
      </c>
    </row>
    <row r="35" spans="1:10" x14ac:dyDescent="0.35">
      <c r="A35" t="s">
        <v>13</v>
      </c>
      <c r="B35" t="s">
        <v>33</v>
      </c>
      <c r="C35" s="77" t="s">
        <v>93</v>
      </c>
      <c r="D35" t="s">
        <v>81</v>
      </c>
      <c r="E35" s="77" t="s">
        <v>101</v>
      </c>
      <c r="F35" s="77" t="s">
        <v>73</v>
      </c>
      <c r="G35" s="77" t="s">
        <v>74</v>
      </c>
      <c r="H35" s="77" t="s">
        <v>102</v>
      </c>
      <c r="I35" s="77" t="s">
        <v>84</v>
      </c>
      <c r="J35" s="76" cm="1">
        <f t="array" ref="J35:J37">'SUT_EU27 total'!$J$117:$J$119</f>
        <v>0</v>
      </c>
    </row>
    <row r="36" spans="1:10" x14ac:dyDescent="0.35">
      <c r="A36" t="s">
        <v>13</v>
      </c>
      <c r="B36" t="s">
        <v>33</v>
      </c>
      <c r="C36" s="77" t="s">
        <v>93</v>
      </c>
      <c r="D36" t="s">
        <v>81</v>
      </c>
      <c r="E36" s="77" t="s">
        <v>104</v>
      </c>
      <c r="F36" s="77" t="s">
        <v>73</v>
      </c>
      <c r="G36" s="77" t="s">
        <v>74</v>
      </c>
      <c r="H36" s="77" t="s">
        <v>102</v>
      </c>
      <c r="I36" s="77" t="s">
        <v>84</v>
      </c>
      <c r="J36" s="76">
        <v>0</v>
      </c>
    </row>
    <row r="37" spans="1:10" x14ac:dyDescent="0.35">
      <c r="A37" t="s">
        <v>13</v>
      </c>
      <c r="B37" t="s">
        <v>33</v>
      </c>
      <c r="C37" s="77" t="s">
        <v>93</v>
      </c>
      <c r="D37" t="s">
        <v>81</v>
      </c>
      <c r="E37" s="77" t="s">
        <v>106</v>
      </c>
      <c r="F37" s="77" t="s">
        <v>73</v>
      </c>
      <c r="G37" s="77" t="s">
        <v>74</v>
      </c>
      <c r="H37" s="77" t="s">
        <v>102</v>
      </c>
      <c r="I37" s="77" t="s">
        <v>84</v>
      </c>
      <c r="J37" s="76">
        <v>0</v>
      </c>
    </row>
    <row r="38" spans="1:10" x14ac:dyDescent="0.35">
      <c r="A38" t="s">
        <v>13</v>
      </c>
      <c r="B38" t="s">
        <v>33</v>
      </c>
      <c r="C38" s="77" t="s">
        <v>73</v>
      </c>
      <c r="D38" t="s">
        <v>81</v>
      </c>
      <c r="E38" s="77" t="s">
        <v>118</v>
      </c>
      <c r="F38" s="77" t="s">
        <v>73</v>
      </c>
      <c r="G38" s="77" t="s">
        <v>74</v>
      </c>
      <c r="H38" s="77" t="s">
        <v>108</v>
      </c>
      <c r="I38" s="77" t="s">
        <v>84</v>
      </c>
      <c r="J38" s="76" cm="1">
        <f t="array" ref="J38:J40">'SUT_EU27 total'!$K$21:$K$23</f>
        <v>1.4582562144772118E-3</v>
      </c>
    </row>
    <row r="39" spans="1:10" x14ac:dyDescent="0.35">
      <c r="A39" t="s">
        <v>13</v>
      </c>
      <c r="B39" t="s">
        <v>33</v>
      </c>
      <c r="C39" s="77" t="s">
        <v>73</v>
      </c>
      <c r="D39" t="s">
        <v>81</v>
      </c>
      <c r="E39" s="77" t="s">
        <v>119</v>
      </c>
      <c r="F39" s="77" t="s">
        <v>73</v>
      </c>
      <c r="G39" s="77" t="s">
        <v>74</v>
      </c>
      <c r="H39" s="77" t="s">
        <v>108</v>
      </c>
      <c r="I39" s="77" t="s">
        <v>84</v>
      </c>
      <c r="J39" s="76">
        <v>8.4634636521458274E-4</v>
      </c>
    </row>
    <row r="40" spans="1:10" x14ac:dyDescent="0.35">
      <c r="A40" t="s">
        <v>13</v>
      </c>
      <c r="B40" t="s">
        <v>33</v>
      </c>
      <c r="C40" s="77" t="s">
        <v>73</v>
      </c>
      <c r="D40" t="s">
        <v>81</v>
      </c>
      <c r="E40" s="77" t="s">
        <v>120</v>
      </c>
      <c r="F40" s="77" t="s">
        <v>73</v>
      </c>
      <c r="G40" s="77" t="s">
        <v>74</v>
      </c>
      <c r="H40" s="77" t="s">
        <v>108</v>
      </c>
      <c r="I40" s="77" t="s">
        <v>84</v>
      </c>
      <c r="J40" s="76">
        <v>1.2517329093179335E-4</v>
      </c>
    </row>
    <row r="41" spans="1:10" x14ac:dyDescent="0.35">
      <c r="A41" t="s">
        <v>13</v>
      </c>
      <c r="B41" t="s">
        <v>33</v>
      </c>
      <c r="C41" s="77" t="s">
        <v>73</v>
      </c>
      <c r="D41" t="s">
        <v>81</v>
      </c>
      <c r="E41" s="77" t="s">
        <v>121</v>
      </c>
      <c r="F41" s="77" t="s">
        <v>73</v>
      </c>
      <c r="G41" s="77" t="s">
        <v>74</v>
      </c>
      <c r="H41" s="77" t="s">
        <v>108</v>
      </c>
      <c r="I41" s="77" t="s">
        <v>84</v>
      </c>
      <c r="J41" s="76">
        <f>'SUT_EU27 total'!$K$25</f>
        <v>6.9749679999999994E-2</v>
      </c>
    </row>
    <row r="42" spans="1:10" x14ac:dyDescent="0.35">
      <c r="A42" t="s">
        <v>13</v>
      </c>
      <c r="B42" t="s">
        <v>33</v>
      </c>
      <c r="C42" s="77" t="s">
        <v>73</v>
      </c>
      <c r="D42" t="s">
        <v>81</v>
      </c>
      <c r="E42" s="77" t="s">
        <v>117</v>
      </c>
      <c r="F42" s="77" t="s">
        <v>73</v>
      </c>
      <c r="G42" s="77" t="s">
        <v>74</v>
      </c>
      <c r="H42" s="77" t="s">
        <v>108</v>
      </c>
      <c r="I42" s="77" t="s">
        <v>84</v>
      </c>
      <c r="J42" s="76">
        <f>'SUT_EU27 total'!$K$27</f>
        <v>1.1932942595726979E-3</v>
      </c>
    </row>
    <row r="43" spans="1:10" x14ac:dyDescent="0.35">
      <c r="A43" t="s">
        <v>13</v>
      </c>
      <c r="B43" t="s">
        <v>33</v>
      </c>
      <c r="C43" s="77" t="s">
        <v>73</v>
      </c>
      <c r="D43" t="s">
        <v>81</v>
      </c>
      <c r="E43" s="77" t="s">
        <v>122</v>
      </c>
      <c r="F43" s="77" t="s">
        <v>73</v>
      </c>
      <c r="G43" s="77" t="s">
        <v>74</v>
      </c>
      <c r="H43" s="77" t="s">
        <v>108</v>
      </c>
      <c r="I43" s="77" t="s">
        <v>84</v>
      </c>
      <c r="J43" s="76">
        <f>'SUT_EU27 total'!$K$30</f>
        <v>1.5965533412604042E-3</v>
      </c>
    </row>
    <row r="44" spans="1:10" x14ac:dyDescent="0.35">
      <c r="A44" t="s">
        <v>13</v>
      </c>
      <c r="B44" t="s">
        <v>33</v>
      </c>
      <c r="C44" s="77" t="s">
        <v>73</v>
      </c>
      <c r="D44" t="s">
        <v>81</v>
      </c>
      <c r="E44" s="77" t="s">
        <v>101</v>
      </c>
      <c r="F44" s="77" t="s">
        <v>73</v>
      </c>
      <c r="G44" s="77" t="s">
        <v>74</v>
      </c>
      <c r="H44" s="77" t="s">
        <v>108</v>
      </c>
      <c r="I44" s="77" t="s">
        <v>84</v>
      </c>
      <c r="J44" s="76" cm="1">
        <f t="array" ref="J44:J46">'SUT_EU27 total'!$K$32:$K$34</f>
        <v>2.4335351040000001E-4</v>
      </c>
    </row>
    <row r="45" spans="1:10" x14ac:dyDescent="0.35">
      <c r="A45" t="s">
        <v>13</v>
      </c>
      <c r="B45" t="s">
        <v>33</v>
      </c>
      <c r="C45" s="77" t="s">
        <v>73</v>
      </c>
      <c r="D45" t="s">
        <v>81</v>
      </c>
      <c r="E45" s="77" t="s">
        <v>104</v>
      </c>
      <c r="F45" s="77" t="s">
        <v>73</v>
      </c>
      <c r="G45" s="77" t="s">
        <v>74</v>
      </c>
      <c r="H45" s="77" t="s">
        <v>108</v>
      </c>
      <c r="I45" s="77" t="s">
        <v>84</v>
      </c>
      <c r="J45" s="76">
        <v>4.6076808959999996E-4</v>
      </c>
    </row>
    <row r="46" spans="1:10" x14ac:dyDescent="0.35">
      <c r="A46" t="s">
        <v>13</v>
      </c>
      <c r="B46" t="s">
        <v>33</v>
      </c>
      <c r="C46" s="77" t="s">
        <v>73</v>
      </c>
      <c r="D46" t="s">
        <v>81</v>
      </c>
      <c r="E46" s="77" t="s">
        <v>106</v>
      </c>
      <c r="F46" s="77" t="s">
        <v>73</v>
      </c>
      <c r="G46" s="77" t="s">
        <v>74</v>
      </c>
      <c r="H46" s="77" t="s">
        <v>108</v>
      </c>
      <c r="I46" s="77" t="s">
        <v>84</v>
      </c>
      <c r="J46" s="76">
        <v>1.5672383999999996E-3</v>
      </c>
    </row>
    <row r="47" spans="1:10" x14ac:dyDescent="0.35">
      <c r="A47" t="s">
        <v>13</v>
      </c>
      <c r="B47" t="s">
        <v>33</v>
      </c>
      <c r="C47" s="77" t="s">
        <v>88</v>
      </c>
      <c r="D47" t="s">
        <v>81</v>
      </c>
      <c r="E47" s="77" t="s">
        <v>118</v>
      </c>
      <c r="F47" s="77" t="s">
        <v>73</v>
      </c>
      <c r="G47" s="77" t="s">
        <v>74</v>
      </c>
      <c r="H47" s="77" t="s">
        <v>108</v>
      </c>
      <c r="I47" s="77" t="s">
        <v>84</v>
      </c>
      <c r="J47" s="76" cm="1">
        <f t="array" ref="J47:J49">'SUT_EU27 total'!$K$38:$K$40</f>
        <v>3.3029309855227888E-2</v>
      </c>
    </row>
    <row r="48" spans="1:10" x14ac:dyDescent="0.35">
      <c r="A48" t="s">
        <v>13</v>
      </c>
      <c r="B48" t="s">
        <v>33</v>
      </c>
      <c r="C48" s="77" t="s">
        <v>88</v>
      </c>
      <c r="D48" t="s">
        <v>81</v>
      </c>
      <c r="E48" s="77" t="s">
        <v>119</v>
      </c>
      <c r="F48" s="77" t="s">
        <v>73</v>
      </c>
      <c r="G48" s="77" t="s">
        <v>74</v>
      </c>
      <c r="H48" s="77" t="s">
        <v>108</v>
      </c>
      <c r="I48" s="77" t="s">
        <v>84</v>
      </c>
      <c r="J48" s="76">
        <v>6.9915569300335089E-3</v>
      </c>
    </row>
    <row r="49" spans="1:10" x14ac:dyDescent="0.35">
      <c r="A49" t="s">
        <v>13</v>
      </c>
      <c r="B49" t="s">
        <v>33</v>
      </c>
      <c r="C49" s="77" t="s">
        <v>88</v>
      </c>
      <c r="D49" t="s">
        <v>81</v>
      </c>
      <c r="E49" s="77" t="s">
        <v>120</v>
      </c>
      <c r="F49" s="77" t="s">
        <v>73</v>
      </c>
      <c r="G49" s="77" t="s">
        <v>74</v>
      </c>
      <c r="H49" s="77" t="s">
        <v>108</v>
      </c>
      <c r="I49" s="77" t="s">
        <v>84</v>
      </c>
      <c r="J49" s="76">
        <v>1.5283979779928203E-3</v>
      </c>
    </row>
    <row r="50" spans="1:10" x14ac:dyDescent="0.35">
      <c r="A50" t="s">
        <v>13</v>
      </c>
      <c r="B50" t="s">
        <v>33</v>
      </c>
      <c r="C50" s="77" t="s">
        <v>88</v>
      </c>
      <c r="D50" t="s">
        <v>81</v>
      </c>
      <c r="E50" s="77" t="s">
        <v>121</v>
      </c>
      <c r="F50" s="77" t="s">
        <v>73</v>
      </c>
      <c r="G50" s="77" t="s">
        <v>74</v>
      </c>
      <c r="H50" s="77" t="s">
        <v>108</v>
      </c>
      <c r="I50" s="77" t="s">
        <v>84</v>
      </c>
      <c r="J50" s="76">
        <f>'SUT_EU27 total'!$K$42</f>
        <v>0</v>
      </c>
    </row>
    <row r="51" spans="1:10" x14ac:dyDescent="0.35">
      <c r="A51" t="s">
        <v>13</v>
      </c>
      <c r="B51" t="s">
        <v>33</v>
      </c>
      <c r="C51" s="77" t="s">
        <v>88</v>
      </c>
      <c r="D51" t="s">
        <v>81</v>
      </c>
      <c r="E51" s="77" t="s">
        <v>117</v>
      </c>
      <c r="F51" s="77" t="s">
        <v>73</v>
      </c>
      <c r="G51" s="77" t="s">
        <v>74</v>
      </c>
      <c r="H51" s="77" t="s">
        <v>108</v>
      </c>
      <c r="I51" s="77" t="s">
        <v>84</v>
      </c>
      <c r="J51" s="76">
        <f>'SUT_EU27 total'!$K$44</f>
        <v>9.9090099874062521E-4</v>
      </c>
    </row>
    <row r="52" spans="1:10" x14ac:dyDescent="0.35">
      <c r="A52" t="s">
        <v>13</v>
      </c>
      <c r="B52" t="s">
        <v>33</v>
      </c>
      <c r="C52" s="77" t="s">
        <v>88</v>
      </c>
      <c r="D52" t="s">
        <v>81</v>
      </c>
      <c r="E52" s="77" t="s">
        <v>122</v>
      </c>
      <c r="F52" s="77" t="s">
        <v>73</v>
      </c>
      <c r="G52" s="77" t="s">
        <v>74</v>
      </c>
      <c r="H52" s="77" t="s">
        <v>108</v>
      </c>
      <c r="I52" s="77" t="s">
        <v>84</v>
      </c>
      <c r="J52" s="76">
        <f>'SUT_EU27 total'!$K$47</f>
        <v>0</v>
      </c>
    </row>
    <row r="53" spans="1:10" x14ac:dyDescent="0.35">
      <c r="A53" t="s">
        <v>13</v>
      </c>
      <c r="B53" t="s">
        <v>33</v>
      </c>
      <c r="C53" s="77" t="s">
        <v>88</v>
      </c>
      <c r="D53" t="s">
        <v>81</v>
      </c>
      <c r="E53" s="77" t="s">
        <v>101</v>
      </c>
      <c r="F53" s="77" t="s">
        <v>73</v>
      </c>
      <c r="G53" s="77" t="s">
        <v>74</v>
      </c>
      <c r="H53" s="77" t="s">
        <v>108</v>
      </c>
      <c r="I53" s="77" t="s">
        <v>84</v>
      </c>
      <c r="J53" s="76" cm="1">
        <f t="array" ref="J53:J55">'SUT_EU27 total'!$K$49:$K$51</f>
        <v>0</v>
      </c>
    </row>
    <row r="54" spans="1:10" x14ac:dyDescent="0.35">
      <c r="A54" t="s">
        <v>13</v>
      </c>
      <c r="B54" t="s">
        <v>33</v>
      </c>
      <c r="C54" s="77" t="s">
        <v>88</v>
      </c>
      <c r="D54" t="s">
        <v>81</v>
      </c>
      <c r="E54" s="77" t="s">
        <v>104</v>
      </c>
      <c r="F54" s="77" t="s">
        <v>73</v>
      </c>
      <c r="G54" s="77" t="s">
        <v>74</v>
      </c>
      <c r="H54" s="77" t="s">
        <v>108</v>
      </c>
      <c r="I54" s="77" t="s">
        <v>84</v>
      </c>
      <c r="J54" s="76">
        <v>0</v>
      </c>
    </row>
    <row r="55" spans="1:10" x14ac:dyDescent="0.35">
      <c r="A55" t="s">
        <v>13</v>
      </c>
      <c r="B55" t="s">
        <v>33</v>
      </c>
      <c r="C55" s="77" t="s">
        <v>88</v>
      </c>
      <c r="D55" t="s">
        <v>81</v>
      </c>
      <c r="E55" s="77" t="s">
        <v>106</v>
      </c>
      <c r="F55" s="77" t="s">
        <v>73</v>
      </c>
      <c r="G55" s="77" t="s">
        <v>74</v>
      </c>
      <c r="H55" s="77" t="s">
        <v>108</v>
      </c>
      <c r="I55" s="77" t="s">
        <v>84</v>
      </c>
      <c r="J55" s="76">
        <v>0</v>
      </c>
    </row>
    <row r="56" spans="1:10" x14ac:dyDescent="0.35">
      <c r="A56" t="s">
        <v>13</v>
      </c>
      <c r="B56" t="s">
        <v>33</v>
      </c>
      <c r="C56" s="77" t="s">
        <v>90</v>
      </c>
      <c r="D56" t="s">
        <v>81</v>
      </c>
      <c r="E56" s="77" t="s">
        <v>118</v>
      </c>
      <c r="F56" s="77" t="s">
        <v>73</v>
      </c>
      <c r="G56" s="77" t="s">
        <v>74</v>
      </c>
      <c r="H56" s="77" t="s">
        <v>108</v>
      </c>
      <c r="I56" s="77" t="s">
        <v>84</v>
      </c>
      <c r="J56" s="76" cm="1">
        <f t="array" ref="J56:J58">'SUT_EU27 total'!$K$55:$K$57</f>
        <v>4.323194595174263E-3</v>
      </c>
    </row>
    <row r="57" spans="1:10" x14ac:dyDescent="0.35">
      <c r="A57" t="s">
        <v>13</v>
      </c>
      <c r="B57" t="s">
        <v>33</v>
      </c>
      <c r="C57" s="77" t="s">
        <v>90</v>
      </c>
      <c r="D57" t="s">
        <v>81</v>
      </c>
      <c r="E57" s="77" t="s">
        <v>119</v>
      </c>
      <c r="F57" s="77" t="s">
        <v>73</v>
      </c>
      <c r="G57" s="77" t="s">
        <v>74</v>
      </c>
      <c r="H57" s="77" t="s">
        <v>108</v>
      </c>
      <c r="I57" s="77" t="s">
        <v>84</v>
      </c>
      <c r="J57" s="76">
        <v>1.2800331672655335E-3</v>
      </c>
    </row>
    <row r="58" spans="1:10" x14ac:dyDescent="0.35">
      <c r="A58" t="s">
        <v>13</v>
      </c>
      <c r="B58" t="s">
        <v>33</v>
      </c>
      <c r="C58" s="77" t="s">
        <v>90</v>
      </c>
      <c r="D58" t="s">
        <v>81</v>
      </c>
      <c r="E58" s="77" t="s">
        <v>120</v>
      </c>
      <c r="F58" s="77" t="s">
        <v>73</v>
      </c>
      <c r="G58" s="77" t="s">
        <v>74</v>
      </c>
      <c r="H58" s="77" t="s">
        <v>108</v>
      </c>
      <c r="I58" s="77" t="s">
        <v>84</v>
      </c>
      <c r="J58" s="76">
        <v>5.6700291220540041E-3</v>
      </c>
    </row>
    <row r="59" spans="1:10" x14ac:dyDescent="0.35">
      <c r="A59" t="s">
        <v>13</v>
      </c>
      <c r="B59" t="s">
        <v>33</v>
      </c>
      <c r="C59" s="77" t="s">
        <v>90</v>
      </c>
      <c r="D59" t="s">
        <v>81</v>
      </c>
      <c r="E59" s="77" t="s">
        <v>121</v>
      </c>
      <c r="F59" s="77" t="s">
        <v>73</v>
      </c>
      <c r="G59" s="77" t="s">
        <v>74</v>
      </c>
      <c r="H59" s="77" t="s">
        <v>108</v>
      </c>
      <c r="I59" s="77" t="s">
        <v>84</v>
      </c>
      <c r="J59" s="76">
        <f>'SUT_EU27 total'!$K$59</f>
        <v>0</v>
      </c>
    </row>
    <row r="60" spans="1:10" x14ac:dyDescent="0.35">
      <c r="A60" t="s">
        <v>13</v>
      </c>
      <c r="B60" t="s">
        <v>33</v>
      </c>
      <c r="C60" s="77" t="s">
        <v>90</v>
      </c>
      <c r="D60" t="s">
        <v>81</v>
      </c>
      <c r="E60" s="77" t="s">
        <v>117</v>
      </c>
      <c r="F60" s="77" t="s">
        <v>73</v>
      </c>
      <c r="G60" s="77" t="s">
        <v>74</v>
      </c>
      <c r="H60" s="77" t="s">
        <v>108</v>
      </c>
      <c r="I60" s="77" t="s">
        <v>84</v>
      </c>
      <c r="J60" s="76">
        <f>'SUT_EU27 total'!$K$61</f>
        <v>1.1930979242119881E-3</v>
      </c>
    </row>
    <row r="61" spans="1:10" x14ac:dyDescent="0.35">
      <c r="A61" t="s">
        <v>13</v>
      </c>
      <c r="B61" t="s">
        <v>33</v>
      </c>
      <c r="C61" s="77" t="s">
        <v>90</v>
      </c>
      <c r="D61" t="s">
        <v>81</v>
      </c>
      <c r="E61" s="77" t="s">
        <v>122</v>
      </c>
      <c r="F61" s="77" t="s">
        <v>73</v>
      </c>
      <c r="G61" s="77" t="s">
        <v>74</v>
      </c>
      <c r="H61" s="77" t="s">
        <v>108</v>
      </c>
      <c r="I61" s="77" t="s">
        <v>84</v>
      </c>
      <c r="J61" s="76">
        <f>'SUT_EU27 total'!$K$64</f>
        <v>2.5776238002378116E-3</v>
      </c>
    </row>
    <row r="62" spans="1:10" x14ac:dyDescent="0.35">
      <c r="A62" t="s">
        <v>13</v>
      </c>
      <c r="B62" t="s">
        <v>33</v>
      </c>
      <c r="C62" s="77" t="s">
        <v>90</v>
      </c>
      <c r="D62" t="s">
        <v>81</v>
      </c>
      <c r="E62" s="77" t="s">
        <v>101</v>
      </c>
      <c r="F62" s="77" t="s">
        <v>73</v>
      </c>
      <c r="G62" s="77" t="s">
        <v>74</v>
      </c>
      <c r="H62" s="77" t="s">
        <v>108</v>
      </c>
      <c r="I62" s="77" t="s">
        <v>84</v>
      </c>
      <c r="J62" s="76" cm="1">
        <f t="array" ref="J62:J64">'SUT_EU27 total'!$K$66:$K$68</f>
        <v>0</v>
      </c>
    </row>
    <row r="63" spans="1:10" x14ac:dyDescent="0.35">
      <c r="A63" t="s">
        <v>13</v>
      </c>
      <c r="B63" t="s">
        <v>33</v>
      </c>
      <c r="C63" s="77" t="s">
        <v>90</v>
      </c>
      <c r="D63" t="s">
        <v>81</v>
      </c>
      <c r="E63" s="77" t="s">
        <v>104</v>
      </c>
      <c r="F63" s="77" t="s">
        <v>73</v>
      </c>
      <c r="G63" s="77" t="s">
        <v>74</v>
      </c>
      <c r="H63" s="77" t="s">
        <v>108</v>
      </c>
      <c r="I63" s="77" t="s">
        <v>84</v>
      </c>
      <c r="J63" s="76">
        <v>0</v>
      </c>
    </row>
    <row r="64" spans="1:10" x14ac:dyDescent="0.35">
      <c r="A64" t="s">
        <v>13</v>
      </c>
      <c r="B64" t="s">
        <v>33</v>
      </c>
      <c r="C64" s="77" t="s">
        <v>90</v>
      </c>
      <c r="D64" t="s">
        <v>81</v>
      </c>
      <c r="E64" s="77" t="s">
        <v>106</v>
      </c>
      <c r="F64" s="77" t="s">
        <v>73</v>
      </c>
      <c r="G64" s="77" t="s">
        <v>74</v>
      </c>
      <c r="H64" s="77" t="s">
        <v>108</v>
      </c>
      <c r="I64" s="77" t="s">
        <v>84</v>
      </c>
      <c r="J64" s="76">
        <v>0</v>
      </c>
    </row>
    <row r="65" spans="1:10" x14ac:dyDescent="0.35">
      <c r="A65" t="s">
        <v>13</v>
      </c>
      <c r="B65" t="s">
        <v>33</v>
      </c>
      <c r="C65" s="77" t="s">
        <v>91</v>
      </c>
      <c r="D65" t="s">
        <v>81</v>
      </c>
      <c r="E65" s="77" t="s">
        <v>118</v>
      </c>
      <c r="F65" s="77" t="s">
        <v>73</v>
      </c>
      <c r="G65" s="77" t="s">
        <v>74</v>
      </c>
      <c r="H65" s="77" t="s">
        <v>108</v>
      </c>
      <c r="I65" s="77" t="s">
        <v>84</v>
      </c>
      <c r="J65" s="76" cm="1">
        <f t="array" ref="J65:J67">'SUT_EU27 total'!$K$72:$K$74</f>
        <v>5.3791732332439677E-3</v>
      </c>
    </row>
    <row r="66" spans="1:10" x14ac:dyDescent="0.35">
      <c r="A66" t="s">
        <v>13</v>
      </c>
      <c r="B66" t="s">
        <v>33</v>
      </c>
      <c r="C66" s="77" t="s">
        <v>91</v>
      </c>
      <c r="D66" t="s">
        <v>81</v>
      </c>
      <c r="E66" s="77" t="s">
        <v>119</v>
      </c>
      <c r="F66" s="77" t="s">
        <v>73</v>
      </c>
      <c r="G66" s="77" t="s">
        <v>74</v>
      </c>
      <c r="H66" s="77" t="s">
        <v>108</v>
      </c>
      <c r="I66" s="77" t="s">
        <v>84</v>
      </c>
      <c r="J66" s="76">
        <v>6.5526133182607291E-3</v>
      </c>
    </row>
    <row r="67" spans="1:10" x14ac:dyDescent="0.35">
      <c r="A67" t="s">
        <v>13</v>
      </c>
      <c r="B67" t="s">
        <v>33</v>
      </c>
      <c r="C67" s="77" t="s">
        <v>91</v>
      </c>
      <c r="D67" t="s">
        <v>81</v>
      </c>
      <c r="E67" s="77" t="s">
        <v>120</v>
      </c>
      <c r="F67" s="77" t="s">
        <v>73</v>
      </c>
      <c r="G67" s="77" t="s">
        <v>74</v>
      </c>
      <c r="H67" s="77" t="s">
        <v>108</v>
      </c>
      <c r="I67" s="77" t="s">
        <v>84</v>
      </c>
      <c r="J67" s="76">
        <v>2.464950959887623E-4</v>
      </c>
    </row>
    <row r="68" spans="1:10" x14ac:dyDescent="0.35">
      <c r="A68" t="s">
        <v>13</v>
      </c>
      <c r="B68" t="s">
        <v>33</v>
      </c>
      <c r="C68" s="77" t="s">
        <v>91</v>
      </c>
      <c r="D68" t="s">
        <v>81</v>
      </c>
      <c r="E68" s="77" t="s">
        <v>121</v>
      </c>
      <c r="F68" s="77" t="s">
        <v>73</v>
      </c>
      <c r="G68" s="77" t="s">
        <v>74</v>
      </c>
      <c r="H68" s="77" t="s">
        <v>108</v>
      </c>
      <c r="I68" s="77" t="s">
        <v>84</v>
      </c>
      <c r="J68" s="76">
        <f>'SUT_EU27 total'!$K$76</f>
        <v>0</v>
      </c>
    </row>
    <row r="69" spans="1:10" x14ac:dyDescent="0.35">
      <c r="A69" t="s">
        <v>13</v>
      </c>
      <c r="B69" t="s">
        <v>33</v>
      </c>
      <c r="C69" s="77" t="s">
        <v>91</v>
      </c>
      <c r="D69" t="s">
        <v>81</v>
      </c>
      <c r="E69" s="77" t="s">
        <v>117</v>
      </c>
      <c r="F69" s="77" t="s">
        <v>73</v>
      </c>
      <c r="G69" s="77" t="s">
        <v>74</v>
      </c>
      <c r="H69" s="77" t="s">
        <v>108</v>
      </c>
      <c r="I69" s="77" t="s">
        <v>84</v>
      </c>
      <c r="J69" s="76">
        <f>'SUT_EU27 total'!$K$78</f>
        <v>1.1485683451306521E-3</v>
      </c>
    </row>
    <row r="70" spans="1:10" x14ac:dyDescent="0.35">
      <c r="A70" t="s">
        <v>13</v>
      </c>
      <c r="B70" t="s">
        <v>33</v>
      </c>
      <c r="C70" s="77" t="s">
        <v>91</v>
      </c>
      <c r="D70" t="s">
        <v>81</v>
      </c>
      <c r="E70" s="77" t="s">
        <v>122</v>
      </c>
      <c r="F70" s="77" t="s">
        <v>73</v>
      </c>
      <c r="G70" s="77" t="s">
        <v>74</v>
      </c>
      <c r="H70" s="77" t="s">
        <v>108</v>
      </c>
      <c r="I70" s="77" t="s">
        <v>84</v>
      </c>
      <c r="J70" s="76">
        <f>'SUT_EU27 total'!$K$81</f>
        <v>0</v>
      </c>
    </row>
    <row r="71" spans="1:10" x14ac:dyDescent="0.35">
      <c r="A71" t="s">
        <v>13</v>
      </c>
      <c r="B71" t="s">
        <v>33</v>
      </c>
      <c r="C71" s="77" t="s">
        <v>91</v>
      </c>
      <c r="D71" t="s">
        <v>81</v>
      </c>
      <c r="E71" s="77" t="s">
        <v>101</v>
      </c>
      <c r="F71" s="77" t="s">
        <v>73</v>
      </c>
      <c r="G71" s="77" t="s">
        <v>74</v>
      </c>
      <c r="H71" s="77" t="s">
        <v>108</v>
      </c>
      <c r="I71" s="77" t="s">
        <v>84</v>
      </c>
      <c r="J71" s="76" cm="1">
        <f t="array" ref="J71:J73">'SUT_EU27 total'!$K$83:$K$85</f>
        <v>0</v>
      </c>
    </row>
    <row r="72" spans="1:10" x14ac:dyDescent="0.35">
      <c r="A72" t="s">
        <v>13</v>
      </c>
      <c r="B72" t="s">
        <v>33</v>
      </c>
      <c r="C72" s="77" t="s">
        <v>91</v>
      </c>
      <c r="D72" t="s">
        <v>81</v>
      </c>
      <c r="E72" s="77" t="s">
        <v>104</v>
      </c>
      <c r="F72" s="77" t="s">
        <v>73</v>
      </c>
      <c r="G72" s="77" t="s">
        <v>74</v>
      </c>
      <c r="H72" s="77" t="s">
        <v>108</v>
      </c>
      <c r="I72" s="77" t="s">
        <v>84</v>
      </c>
      <c r="J72" s="76">
        <v>0</v>
      </c>
    </row>
    <row r="73" spans="1:10" x14ac:dyDescent="0.35">
      <c r="A73" t="s">
        <v>13</v>
      </c>
      <c r="B73" t="s">
        <v>33</v>
      </c>
      <c r="C73" s="77" t="s">
        <v>91</v>
      </c>
      <c r="D73" t="s">
        <v>81</v>
      </c>
      <c r="E73" s="77" t="s">
        <v>106</v>
      </c>
      <c r="F73" s="77" t="s">
        <v>73</v>
      </c>
      <c r="G73" s="77" t="s">
        <v>74</v>
      </c>
      <c r="H73" s="77" t="s">
        <v>108</v>
      </c>
      <c r="I73" s="77" t="s">
        <v>84</v>
      </c>
      <c r="J73" s="76">
        <v>0</v>
      </c>
    </row>
    <row r="74" spans="1:10" x14ac:dyDescent="0.35">
      <c r="A74" t="s">
        <v>13</v>
      </c>
      <c r="B74" t="s">
        <v>33</v>
      </c>
      <c r="C74" s="77" t="s">
        <v>92</v>
      </c>
      <c r="D74" t="s">
        <v>81</v>
      </c>
      <c r="E74" s="77" t="s">
        <v>118</v>
      </c>
      <c r="F74" s="77" t="s">
        <v>73</v>
      </c>
      <c r="G74" s="77" t="s">
        <v>74</v>
      </c>
      <c r="H74" s="77" t="s">
        <v>108</v>
      </c>
      <c r="I74" s="77" t="s">
        <v>84</v>
      </c>
      <c r="J74" s="76" cm="1">
        <f t="array" ref="J74:J76">'SUT_EU27 total'!$K$89:$K$91</f>
        <v>3.3497344343163542E-3</v>
      </c>
    </row>
    <row r="75" spans="1:10" x14ac:dyDescent="0.35">
      <c r="A75" t="s">
        <v>13</v>
      </c>
      <c r="B75" t="s">
        <v>33</v>
      </c>
      <c r="C75" s="77" t="s">
        <v>92</v>
      </c>
      <c r="D75" t="s">
        <v>81</v>
      </c>
      <c r="E75" s="77" t="s">
        <v>119</v>
      </c>
      <c r="F75" s="77" t="s">
        <v>73</v>
      </c>
      <c r="G75" s="77" t="s">
        <v>74</v>
      </c>
      <c r="H75" s="77" t="s">
        <v>108</v>
      </c>
      <c r="I75" s="77" t="s">
        <v>84</v>
      </c>
      <c r="J75" s="76">
        <v>6.0269323460777589E-3</v>
      </c>
    </row>
    <row r="76" spans="1:10" x14ac:dyDescent="0.35">
      <c r="A76" t="s">
        <v>13</v>
      </c>
      <c r="B76" t="s">
        <v>33</v>
      </c>
      <c r="C76" s="77" t="s">
        <v>92</v>
      </c>
      <c r="D76" t="s">
        <v>81</v>
      </c>
      <c r="E76" s="77" t="s">
        <v>120</v>
      </c>
      <c r="F76" s="77" t="s">
        <v>73</v>
      </c>
      <c r="G76" s="77" t="s">
        <v>74</v>
      </c>
      <c r="H76" s="77" t="s">
        <v>108</v>
      </c>
      <c r="I76" s="77" t="s">
        <v>84</v>
      </c>
      <c r="J76" s="76">
        <v>4.0947713992508196E-3</v>
      </c>
    </row>
    <row r="77" spans="1:10" x14ac:dyDescent="0.35">
      <c r="A77" t="s">
        <v>13</v>
      </c>
      <c r="B77" t="s">
        <v>33</v>
      </c>
      <c r="C77" s="77" t="s">
        <v>92</v>
      </c>
      <c r="D77" t="s">
        <v>81</v>
      </c>
      <c r="E77" s="77" t="s">
        <v>121</v>
      </c>
      <c r="F77" s="77" t="s">
        <v>73</v>
      </c>
      <c r="G77" s="77" t="s">
        <v>74</v>
      </c>
      <c r="H77" s="77" t="s">
        <v>108</v>
      </c>
      <c r="I77" s="77" t="s">
        <v>84</v>
      </c>
      <c r="J77" s="76">
        <f>'SUT_EU27 total'!$K$93</f>
        <v>0</v>
      </c>
    </row>
    <row r="78" spans="1:10" x14ac:dyDescent="0.35">
      <c r="A78" t="s">
        <v>13</v>
      </c>
      <c r="B78" t="s">
        <v>33</v>
      </c>
      <c r="C78" s="77" t="s">
        <v>92</v>
      </c>
      <c r="D78" t="s">
        <v>81</v>
      </c>
      <c r="E78" s="77" t="s">
        <v>117</v>
      </c>
      <c r="F78" s="77" t="s">
        <v>73</v>
      </c>
      <c r="G78" s="77" t="s">
        <v>74</v>
      </c>
      <c r="H78" s="77" t="s">
        <v>108</v>
      </c>
      <c r="I78" s="77" t="s">
        <v>84</v>
      </c>
      <c r="J78" s="76">
        <f>'SUT_EU27 total'!$K$95</f>
        <v>0</v>
      </c>
    </row>
    <row r="79" spans="1:10" x14ac:dyDescent="0.35">
      <c r="A79" t="s">
        <v>13</v>
      </c>
      <c r="B79" t="s">
        <v>33</v>
      </c>
      <c r="C79" s="77" t="s">
        <v>92</v>
      </c>
      <c r="D79" t="s">
        <v>81</v>
      </c>
      <c r="E79" s="77" t="s">
        <v>122</v>
      </c>
      <c r="F79" s="77" t="s">
        <v>73</v>
      </c>
      <c r="G79" s="77" t="s">
        <v>74</v>
      </c>
      <c r="H79" s="77" t="s">
        <v>108</v>
      </c>
      <c r="I79" s="77" t="s">
        <v>84</v>
      </c>
      <c r="J79" s="76">
        <f>'SUT_EU27 total'!$K$98</f>
        <v>0</v>
      </c>
    </row>
    <row r="80" spans="1:10" x14ac:dyDescent="0.35">
      <c r="A80" t="s">
        <v>13</v>
      </c>
      <c r="B80" t="s">
        <v>33</v>
      </c>
      <c r="C80" s="77" t="s">
        <v>92</v>
      </c>
      <c r="D80" t="s">
        <v>81</v>
      </c>
      <c r="E80" s="77" t="s">
        <v>101</v>
      </c>
      <c r="F80" s="77" t="s">
        <v>73</v>
      </c>
      <c r="G80" s="77" t="s">
        <v>74</v>
      </c>
      <c r="H80" s="77" t="s">
        <v>108</v>
      </c>
      <c r="I80" s="77" t="s">
        <v>84</v>
      </c>
      <c r="J80" s="76" cm="1">
        <f t="array" ref="J80:J82">'SUT_EU27 total'!$K$100:$K$102</f>
        <v>0</v>
      </c>
    </row>
    <row r="81" spans="1:10" x14ac:dyDescent="0.35">
      <c r="A81" t="s">
        <v>13</v>
      </c>
      <c r="B81" t="s">
        <v>33</v>
      </c>
      <c r="C81" s="77" t="s">
        <v>92</v>
      </c>
      <c r="D81" t="s">
        <v>81</v>
      </c>
      <c r="E81" s="77" t="s">
        <v>104</v>
      </c>
      <c r="F81" s="77" t="s">
        <v>73</v>
      </c>
      <c r="G81" s="77" t="s">
        <v>74</v>
      </c>
      <c r="H81" s="77" t="s">
        <v>108</v>
      </c>
      <c r="I81" s="77" t="s">
        <v>84</v>
      </c>
      <c r="J81" s="76">
        <v>0</v>
      </c>
    </row>
    <row r="82" spans="1:10" x14ac:dyDescent="0.35">
      <c r="A82" t="s">
        <v>13</v>
      </c>
      <c r="B82" t="s">
        <v>33</v>
      </c>
      <c r="C82" s="77" t="s">
        <v>92</v>
      </c>
      <c r="D82" t="s">
        <v>81</v>
      </c>
      <c r="E82" s="77" t="s">
        <v>106</v>
      </c>
      <c r="F82" s="77" t="s">
        <v>73</v>
      </c>
      <c r="G82" s="77" t="s">
        <v>74</v>
      </c>
      <c r="H82" s="77" t="s">
        <v>108</v>
      </c>
      <c r="I82" s="77" t="s">
        <v>84</v>
      </c>
      <c r="J82" s="76">
        <v>0</v>
      </c>
    </row>
    <row r="83" spans="1:10" x14ac:dyDescent="0.35">
      <c r="A83" t="s">
        <v>13</v>
      </c>
      <c r="B83" t="s">
        <v>33</v>
      </c>
      <c r="C83" s="77" t="s">
        <v>93</v>
      </c>
      <c r="D83" t="s">
        <v>81</v>
      </c>
      <c r="E83" s="77" t="s">
        <v>118</v>
      </c>
      <c r="F83" s="77" t="s">
        <v>73</v>
      </c>
      <c r="G83" s="77" t="s">
        <v>74</v>
      </c>
      <c r="H83" s="77" t="s">
        <v>108</v>
      </c>
      <c r="I83" s="77" t="s">
        <v>84</v>
      </c>
      <c r="J83" s="76" cm="1">
        <f t="array" ref="J83:J85">'SUT_EU27 total'!$K$106:$K$108</f>
        <v>1.4980971667560324E-2</v>
      </c>
    </row>
    <row r="84" spans="1:10" x14ac:dyDescent="0.35">
      <c r="A84" t="s">
        <v>13</v>
      </c>
      <c r="B84" t="s">
        <v>33</v>
      </c>
      <c r="C84" s="77" t="s">
        <v>93</v>
      </c>
      <c r="D84" t="s">
        <v>81</v>
      </c>
      <c r="E84" s="77" t="s">
        <v>119</v>
      </c>
      <c r="F84" s="77" t="s">
        <v>73</v>
      </c>
      <c r="G84" s="77" t="s">
        <v>74</v>
      </c>
      <c r="H84" s="77" t="s">
        <v>108</v>
      </c>
      <c r="I84" s="77" t="s">
        <v>84</v>
      </c>
      <c r="J84" s="76">
        <v>4.3405477873147885E-2</v>
      </c>
    </row>
    <row r="85" spans="1:10" x14ac:dyDescent="0.35">
      <c r="A85" t="s">
        <v>13</v>
      </c>
      <c r="B85" t="s">
        <v>33</v>
      </c>
      <c r="C85" s="77" t="s">
        <v>93</v>
      </c>
      <c r="D85" t="s">
        <v>81</v>
      </c>
      <c r="E85" s="77" t="s">
        <v>120</v>
      </c>
      <c r="F85" s="77" t="s">
        <v>73</v>
      </c>
      <c r="G85" s="77" t="s">
        <v>74</v>
      </c>
      <c r="H85" s="77" t="s">
        <v>108</v>
      </c>
      <c r="I85" s="77" t="s">
        <v>84</v>
      </c>
      <c r="J85" s="76">
        <v>2.1237093113781802E-2</v>
      </c>
    </row>
    <row r="86" spans="1:10" x14ac:dyDescent="0.35">
      <c r="A86" t="s">
        <v>13</v>
      </c>
      <c r="B86" t="s">
        <v>33</v>
      </c>
      <c r="C86" s="77" t="s">
        <v>93</v>
      </c>
      <c r="D86" t="s">
        <v>81</v>
      </c>
      <c r="E86" s="77" t="s">
        <v>121</v>
      </c>
      <c r="F86" s="77" t="s">
        <v>73</v>
      </c>
      <c r="G86" s="77" t="s">
        <v>74</v>
      </c>
      <c r="H86" s="77" t="s">
        <v>108</v>
      </c>
      <c r="I86" s="77" t="s">
        <v>84</v>
      </c>
      <c r="J86" s="76">
        <f>'SUT_EU27 total'!$K$110</f>
        <v>0</v>
      </c>
    </row>
    <row r="87" spans="1:10" x14ac:dyDescent="0.35">
      <c r="A87" t="s">
        <v>13</v>
      </c>
      <c r="B87" t="s">
        <v>33</v>
      </c>
      <c r="C87" s="77" t="s">
        <v>93</v>
      </c>
      <c r="D87" t="s">
        <v>81</v>
      </c>
      <c r="E87" s="77" t="s">
        <v>117</v>
      </c>
      <c r="F87" s="77" t="s">
        <v>73</v>
      </c>
      <c r="G87" s="77" t="s">
        <v>74</v>
      </c>
      <c r="H87" s="77" t="s">
        <v>108</v>
      </c>
      <c r="I87" s="77" t="s">
        <v>84</v>
      </c>
      <c r="J87" s="76">
        <f>'SUT_EU27 total'!$K$112</f>
        <v>1.1930984723440377E-3</v>
      </c>
    </row>
    <row r="88" spans="1:10" x14ac:dyDescent="0.35">
      <c r="A88" t="s">
        <v>13</v>
      </c>
      <c r="B88" t="s">
        <v>33</v>
      </c>
      <c r="C88" s="77" t="s">
        <v>93</v>
      </c>
      <c r="D88" t="s">
        <v>81</v>
      </c>
      <c r="E88" s="77" t="s">
        <v>122</v>
      </c>
      <c r="F88" s="77" t="s">
        <v>73</v>
      </c>
      <c r="G88" s="77" t="s">
        <v>74</v>
      </c>
      <c r="H88" s="77" t="s">
        <v>108</v>
      </c>
      <c r="I88" s="77" t="s">
        <v>84</v>
      </c>
      <c r="J88" s="76">
        <f>'SUT_EU27 total'!$K$115</f>
        <v>8.7987828585017833E-3</v>
      </c>
    </row>
    <row r="89" spans="1:10" x14ac:dyDescent="0.35">
      <c r="A89" t="s">
        <v>13</v>
      </c>
      <c r="B89" t="s">
        <v>33</v>
      </c>
      <c r="C89" s="77" t="s">
        <v>93</v>
      </c>
      <c r="D89" t="s">
        <v>81</v>
      </c>
      <c r="E89" s="77" t="s">
        <v>101</v>
      </c>
      <c r="F89" s="77" t="s">
        <v>73</v>
      </c>
      <c r="G89" s="77" t="s">
        <v>74</v>
      </c>
      <c r="H89" s="77" t="s">
        <v>108</v>
      </c>
      <c r="I89" s="77" t="s">
        <v>84</v>
      </c>
      <c r="J89" s="76" cm="1">
        <f t="array" ref="J89:J91">'SUT_EU27 total'!$K$117:$K$119</f>
        <v>0</v>
      </c>
    </row>
    <row r="90" spans="1:10" x14ac:dyDescent="0.35">
      <c r="A90" t="s">
        <v>13</v>
      </c>
      <c r="B90" t="s">
        <v>33</v>
      </c>
      <c r="C90" s="77" t="s">
        <v>93</v>
      </c>
      <c r="D90" t="s">
        <v>81</v>
      </c>
      <c r="E90" s="77" t="s">
        <v>104</v>
      </c>
      <c r="F90" s="77" t="s">
        <v>73</v>
      </c>
      <c r="G90" s="77" t="s">
        <v>74</v>
      </c>
      <c r="H90" s="77" t="s">
        <v>108</v>
      </c>
      <c r="I90" s="77" t="s">
        <v>84</v>
      </c>
      <c r="J90" s="76">
        <v>0</v>
      </c>
    </row>
    <row r="91" spans="1:10" x14ac:dyDescent="0.35">
      <c r="A91" t="s">
        <v>13</v>
      </c>
      <c r="B91" t="s">
        <v>33</v>
      </c>
      <c r="C91" s="77" t="s">
        <v>93</v>
      </c>
      <c r="D91" t="s">
        <v>81</v>
      </c>
      <c r="E91" s="77" t="s">
        <v>106</v>
      </c>
      <c r="F91" s="77" t="s">
        <v>73</v>
      </c>
      <c r="G91" s="77" t="s">
        <v>74</v>
      </c>
      <c r="H91" s="77" t="s">
        <v>108</v>
      </c>
      <c r="I91" s="77" t="s">
        <v>84</v>
      </c>
      <c r="J91" s="76">
        <v>0</v>
      </c>
    </row>
    <row r="92" spans="1:10" x14ac:dyDescent="0.35">
      <c r="A92" t="s">
        <v>13</v>
      </c>
      <c r="B92" t="s">
        <v>33</v>
      </c>
      <c r="C92" s="77" t="s">
        <v>73</v>
      </c>
      <c r="D92" t="s">
        <v>81</v>
      </c>
      <c r="E92" s="77" t="s">
        <v>119</v>
      </c>
      <c r="F92" s="77" t="s">
        <v>73</v>
      </c>
      <c r="G92" s="77" t="s">
        <v>74</v>
      </c>
      <c r="H92" s="77" t="s">
        <v>123</v>
      </c>
      <c r="I92" s="77" t="s">
        <v>84</v>
      </c>
      <c r="J92" s="76">
        <f>'SUT_EU27 total'!$L$22</f>
        <v>1.9500181678711294E-2</v>
      </c>
    </row>
    <row r="93" spans="1:10" x14ac:dyDescent="0.35">
      <c r="A93" t="s">
        <v>13</v>
      </c>
      <c r="B93" t="s">
        <v>33</v>
      </c>
      <c r="C93" s="77" t="s">
        <v>73</v>
      </c>
      <c r="D93" t="s">
        <v>81</v>
      </c>
      <c r="E93" s="77" t="s">
        <v>124</v>
      </c>
      <c r="F93" s="77" t="s">
        <v>73</v>
      </c>
      <c r="G93" s="77" t="s">
        <v>74</v>
      </c>
      <c r="H93" s="77" t="s">
        <v>123</v>
      </c>
      <c r="I93" s="77" t="s">
        <v>84</v>
      </c>
      <c r="J93" s="76" cm="1">
        <f t="array" ref="J93:J101">'SUT_EU27 total'!$L$26:$L$34</f>
        <v>1.9404661061278542E-3</v>
      </c>
    </row>
    <row r="94" spans="1:10" x14ac:dyDescent="0.35">
      <c r="A94" t="s">
        <v>13</v>
      </c>
      <c r="B94" t="s">
        <v>33</v>
      </c>
      <c r="C94" s="77" t="s">
        <v>73</v>
      </c>
      <c r="D94" t="s">
        <v>81</v>
      </c>
      <c r="E94" s="77" t="s">
        <v>117</v>
      </c>
      <c r="F94" s="77" t="s">
        <v>73</v>
      </c>
      <c r="G94" s="77" t="s">
        <v>74</v>
      </c>
      <c r="H94" s="77" t="s">
        <v>123</v>
      </c>
      <c r="I94" s="77" t="s">
        <v>84</v>
      </c>
      <c r="J94" s="76">
        <v>5.8423628191201782E-3</v>
      </c>
    </row>
    <row r="95" spans="1:10" x14ac:dyDescent="0.35">
      <c r="A95" t="s">
        <v>13</v>
      </c>
      <c r="B95" t="s">
        <v>33</v>
      </c>
      <c r="C95" s="77" t="s">
        <v>73</v>
      </c>
      <c r="D95" t="s">
        <v>81</v>
      </c>
      <c r="E95" s="77" t="s">
        <v>82</v>
      </c>
      <c r="F95" s="77" t="s">
        <v>73</v>
      </c>
      <c r="G95" s="77" t="s">
        <v>74</v>
      </c>
      <c r="H95" s="77" t="s">
        <v>123</v>
      </c>
      <c r="I95" s="77" t="s">
        <v>84</v>
      </c>
      <c r="J95" s="76">
        <v>4.8981233243967828E-4</v>
      </c>
    </row>
    <row r="96" spans="1:10" x14ac:dyDescent="0.35">
      <c r="A96" t="s">
        <v>13</v>
      </c>
      <c r="B96" t="s">
        <v>33</v>
      </c>
      <c r="C96" s="77" t="s">
        <v>73</v>
      </c>
      <c r="D96" t="s">
        <v>81</v>
      </c>
      <c r="E96" s="77" t="s">
        <v>125</v>
      </c>
      <c r="F96" s="77" t="s">
        <v>73</v>
      </c>
      <c r="G96" s="77" t="s">
        <v>74</v>
      </c>
      <c r="H96" s="77" t="s">
        <v>123</v>
      </c>
      <c r="I96" s="77" t="s">
        <v>84</v>
      </c>
      <c r="J96" s="76">
        <v>2.4658201215687387E-3</v>
      </c>
    </row>
    <row r="97" spans="1:10" x14ac:dyDescent="0.35">
      <c r="A97" t="s">
        <v>13</v>
      </c>
      <c r="B97" t="s">
        <v>33</v>
      </c>
      <c r="C97" s="77" t="s">
        <v>73</v>
      </c>
      <c r="D97" t="s">
        <v>81</v>
      </c>
      <c r="E97" s="77" t="s">
        <v>122</v>
      </c>
      <c r="F97" s="77" t="s">
        <v>73</v>
      </c>
      <c r="G97" s="77" t="s">
        <v>74</v>
      </c>
      <c r="H97" s="77" t="s">
        <v>123</v>
      </c>
      <c r="I97" s="77" t="s">
        <v>84</v>
      </c>
      <c r="J97" s="76">
        <v>4.922711058263972E-4</v>
      </c>
    </row>
    <row r="98" spans="1:10" x14ac:dyDescent="0.35">
      <c r="A98" t="s">
        <v>13</v>
      </c>
      <c r="B98" t="s">
        <v>33</v>
      </c>
      <c r="C98" s="77" t="s">
        <v>73</v>
      </c>
      <c r="D98" t="s">
        <v>81</v>
      </c>
      <c r="E98" s="77" t="s">
        <v>126</v>
      </c>
      <c r="F98" s="77" t="s">
        <v>73</v>
      </c>
      <c r="G98" s="77" t="s">
        <v>74</v>
      </c>
      <c r="H98" s="77" t="s">
        <v>123</v>
      </c>
      <c r="I98" s="77" t="s">
        <v>84</v>
      </c>
      <c r="J98" s="76">
        <v>0</v>
      </c>
    </row>
    <row r="99" spans="1:10" x14ac:dyDescent="0.35">
      <c r="A99" t="s">
        <v>13</v>
      </c>
      <c r="B99" t="s">
        <v>33</v>
      </c>
      <c r="C99" s="77" t="s">
        <v>73</v>
      </c>
      <c r="D99" t="s">
        <v>81</v>
      </c>
      <c r="E99" s="77" t="s">
        <v>101</v>
      </c>
      <c r="F99" s="77" t="s">
        <v>73</v>
      </c>
      <c r="G99" s="77" t="s">
        <v>74</v>
      </c>
      <c r="H99" s="77" t="s">
        <v>123</v>
      </c>
      <c r="I99" s="77" t="s">
        <v>84</v>
      </c>
      <c r="J99" s="76">
        <v>3.7860913795851507E-4</v>
      </c>
    </row>
    <row r="100" spans="1:10" x14ac:dyDescent="0.35">
      <c r="A100" t="s">
        <v>13</v>
      </c>
      <c r="B100" t="s">
        <v>33</v>
      </c>
      <c r="C100" s="77" t="s">
        <v>73</v>
      </c>
      <c r="D100" t="s">
        <v>81</v>
      </c>
      <c r="E100" s="77" t="s">
        <v>104</v>
      </c>
      <c r="F100" s="77" t="s">
        <v>73</v>
      </c>
      <c r="G100" s="77" t="s">
        <v>74</v>
      </c>
      <c r="H100" s="77" t="s">
        <v>123</v>
      </c>
      <c r="I100" s="77" t="s">
        <v>84</v>
      </c>
      <c r="J100" s="76">
        <v>7.1686251377883477E-4</v>
      </c>
    </row>
    <row r="101" spans="1:10" x14ac:dyDescent="0.35">
      <c r="A101" t="s">
        <v>13</v>
      </c>
      <c r="B101" t="s">
        <v>33</v>
      </c>
      <c r="C101" s="77" t="s">
        <v>73</v>
      </c>
      <c r="D101" t="s">
        <v>81</v>
      </c>
      <c r="E101" s="77" t="s">
        <v>106</v>
      </c>
      <c r="F101" s="77" t="s">
        <v>73</v>
      </c>
      <c r="G101" s="77" t="s">
        <v>74</v>
      </c>
      <c r="H101" s="77" t="s">
        <v>123</v>
      </c>
      <c r="I101" s="77" t="s">
        <v>84</v>
      </c>
      <c r="J101" s="76">
        <v>2.438307869996036E-3</v>
      </c>
    </row>
    <row r="102" spans="1:10" x14ac:dyDescent="0.35">
      <c r="A102" t="s">
        <v>13</v>
      </c>
      <c r="B102" t="s">
        <v>33</v>
      </c>
      <c r="C102" s="77" t="s">
        <v>88</v>
      </c>
      <c r="D102" t="s">
        <v>81</v>
      </c>
      <c r="E102" s="77" t="s">
        <v>119</v>
      </c>
      <c r="F102" s="77" t="s">
        <v>73</v>
      </c>
      <c r="G102" s="77" t="s">
        <v>74</v>
      </c>
      <c r="H102" s="77" t="s">
        <v>123</v>
      </c>
      <c r="I102" s="77" t="s">
        <v>84</v>
      </c>
      <c r="J102" s="76">
        <f>'SUT_EU27 total'!$L$39</f>
        <v>0.16108845734587587</v>
      </c>
    </row>
    <row r="103" spans="1:10" x14ac:dyDescent="0.35">
      <c r="A103" t="s">
        <v>13</v>
      </c>
      <c r="B103" t="s">
        <v>33</v>
      </c>
      <c r="C103" s="77" t="s">
        <v>88</v>
      </c>
      <c r="D103" t="s">
        <v>81</v>
      </c>
      <c r="E103" s="77" t="s">
        <v>124</v>
      </c>
      <c r="F103" s="77" t="s">
        <v>73</v>
      </c>
      <c r="G103" s="77" t="s">
        <v>74</v>
      </c>
      <c r="H103" s="77" t="s">
        <v>123</v>
      </c>
      <c r="I103" s="77" t="s">
        <v>84</v>
      </c>
      <c r="J103" s="76" cm="1">
        <f t="array" ref="J103:J111">'SUT_EU27 total'!$M$43:$M$51</f>
        <v>5.0558836222750793E-4</v>
      </c>
    </row>
    <row r="104" spans="1:10" x14ac:dyDescent="0.35">
      <c r="A104" t="s">
        <v>13</v>
      </c>
      <c r="B104" t="s">
        <v>33</v>
      </c>
      <c r="C104" s="77" t="s">
        <v>88</v>
      </c>
      <c r="D104" t="s">
        <v>81</v>
      </c>
      <c r="E104" s="77" t="s">
        <v>117</v>
      </c>
      <c r="F104" s="77" t="s">
        <v>73</v>
      </c>
      <c r="G104" s="77" t="s">
        <v>74</v>
      </c>
      <c r="H104" s="77" t="s">
        <v>123</v>
      </c>
      <c r="I104" s="77" t="s">
        <v>84</v>
      </c>
      <c r="J104" s="76">
        <v>4.8514464106651379E-3</v>
      </c>
    </row>
    <row r="105" spans="1:10" x14ac:dyDescent="0.35">
      <c r="A105" t="s">
        <v>13</v>
      </c>
      <c r="B105" t="s">
        <v>33</v>
      </c>
      <c r="C105" s="77" t="s">
        <v>88</v>
      </c>
      <c r="D105" t="s">
        <v>81</v>
      </c>
      <c r="E105" s="77" t="s">
        <v>82</v>
      </c>
      <c r="F105" s="77" t="s">
        <v>73</v>
      </c>
      <c r="G105" s="77" t="s">
        <v>74</v>
      </c>
      <c r="H105" s="77" t="s">
        <v>123</v>
      </c>
      <c r="I105" s="77" t="s">
        <v>84</v>
      </c>
      <c r="J105" s="76">
        <v>1.109418436791091E-2</v>
      </c>
    </row>
    <row r="106" spans="1:10" x14ac:dyDescent="0.35">
      <c r="A106" t="s">
        <v>13</v>
      </c>
      <c r="B106" t="s">
        <v>33</v>
      </c>
      <c r="C106" s="77" t="s">
        <v>88</v>
      </c>
      <c r="D106" t="s">
        <v>81</v>
      </c>
      <c r="E106" s="77" t="s">
        <v>125</v>
      </c>
      <c r="F106" s="77" t="s">
        <v>73</v>
      </c>
      <c r="G106" s="77" t="s">
        <v>74</v>
      </c>
      <c r="H106" s="77" t="s">
        <v>123</v>
      </c>
      <c r="I106" s="77" t="s">
        <v>84</v>
      </c>
      <c r="J106" s="76">
        <v>2.890870278990243E-5</v>
      </c>
    </row>
    <row r="107" spans="1:10" x14ac:dyDescent="0.35">
      <c r="A107" t="s">
        <v>13</v>
      </c>
      <c r="B107" t="s">
        <v>33</v>
      </c>
      <c r="C107" s="77" t="s">
        <v>88</v>
      </c>
      <c r="D107" t="s">
        <v>81</v>
      </c>
      <c r="E107" s="77" t="s">
        <v>122</v>
      </c>
      <c r="F107" s="77" t="s">
        <v>73</v>
      </c>
      <c r="G107" s="77" t="s">
        <v>74</v>
      </c>
      <c r="H107" s="77" t="s">
        <v>123</v>
      </c>
      <c r="I107" s="77" t="s">
        <v>84</v>
      </c>
      <c r="J107" s="76">
        <v>0</v>
      </c>
    </row>
    <row r="108" spans="1:10" x14ac:dyDescent="0.35">
      <c r="A108" t="s">
        <v>13</v>
      </c>
      <c r="B108" t="s">
        <v>33</v>
      </c>
      <c r="C108" s="77" t="s">
        <v>88</v>
      </c>
      <c r="D108" t="s">
        <v>81</v>
      </c>
      <c r="E108" s="77" t="s">
        <v>126</v>
      </c>
      <c r="F108" s="77" t="s">
        <v>73</v>
      </c>
      <c r="G108" s="77" t="s">
        <v>74</v>
      </c>
      <c r="H108" s="77" t="s">
        <v>123</v>
      </c>
      <c r="I108" s="77" t="s">
        <v>84</v>
      </c>
      <c r="J108" s="76">
        <v>2.8514320987501449E-3</v>
      </c>
    </row>
    <row r="109" spans="1:10" x14ac:dyDescent="0.35">
      <c r="A109" t="s">
        <v>13</v>
      </c>
      <c r="B109" t="s">
        <v>33</v>
      </c>
      <c r="C109" s="77" t="s">
        <v>88</v>
      </c>
      <c r="D109" t="s">
        <v>81</v>
      </c>
      <c r="E109" s="77" t="s">
        <v>101</v>
      </c>
      <c r="F109" s="77" t="s">
        <v>73</v>
      </c>
      <c r="G109" s="77" t="s">
        <v>74</v>
      </c>
      <c r="H109" s="77" t="s">
        <v>123</v>
      </c>
      <c r="I109" s="77" t="s">
        <v>84</v>
      </c>
      <c r="J109" s="76">
        <v>0</v>
      </c>
    </row>
    <row r="110" spans="1:10" x14ac:dyDescent="0.35">
      <c r="A110" t="s">
        <v>13</v>
      </c>
      <c r="B110" t="s">
        <v>33</v>
      </c>
      <c r="C110" s="77" t="s">
        <v>88</v>
      </c>
      <c r="D110" t="s">
        <v>81</v>
      </c>
      <c r="E110" s="77" t="s">
        <v>104</v>
      </c>
      <c r="F110" s="77" t="s">
        <v>73</v>
      </c>
      <c r="G110" s="77" t="s">
        <v>74</v>
      </c>
      <c r="H110" s="77" t="s">
        <v>123</v>
      </c>
      <c r="I110" s="77" t="s">
        <v>84</v>
      </c>
      <c r="J110" s="76">
        <v>0</v>
      </c>
    </row>
    <row r="111" spans="1:10" x14ac:dyDescent="0.35">
      <c r="A111" t="s">
        <v>13</v>
      </c>
      <c r="B111" t="s">
        <v>33</v>
      </c>
      <c r="C111" s="77" t="s">
        <v>88</v>
      </c>
      <c r="D111" t="s">
        <v>81</v>
      </c>
      <c r="E111" s="77" t="s">
        <v>106</v>
      </c>
      <c r="F111" s="77" t="s">
        <v>73</v>
      </c>
      <c r="G111" s="77" t="s">
        <v>74</v>
      </c>
      <c r="H111" s="77" t="s">
        <v>123</v>
      </c>
      <c r="I111" s="77" t="s">
        <v>84</v>
      </c>
      <c r="J111" s="76">
        <v>0</v>
      </c>
    </row>
    <row r="112" spans="1:10" x14ac:dyDescent="0.35">
      <c r="A112" t="s">
        <v>13</v>
      </c>
      <c r="B112" t="s">
        <v>33</v>
      </c>
      <c r="C112" s="77" t="s">
        <v>90</v>
      </c>
      <c r="D112" t="s">
        <v>81</v>
      </c>
      <c r="E112" s="77" t="s">
        <v>119</v>
      </c>
      <c r="F112" s="77" t="s">
        <v>73</v>
      </c>
      <c r="G112" s="77" t="s">
        <v>74</v>
      </c>
      <c r="H112" s="77" t="s">
        <v>123</v>
      </c>
      <c r="I112" s="77" t="s">
        <v>84</v>
      </c>
      <c r="J112" s="76">
        <f>'SUT_EU27 total'!$M$56</f>
        <v>2.949251079979006E-2</v>
      </c>
    </row>
    <row r="113" spans="1:10" x14ac:dyDescent="0.35">
      <c r="A113" t="s">
        <v>13</v>
      </c>
      <c r="B113" t="s">
        <v>33</v>
      </c>
      <c r="C113" s="77" t="s">
        <v>90</v>
      </c>
      <c r="D113" t="s">
        <v>81</v>
      </c>
      <c r="E113" s="77" t="s">
        <v>124</v>
      </c>
      <c r="F113" s="77" t="s">
        <v>73</v>
      </c>
      <c r="G113" s="77" t="s">
        <v>74</v>
      </c>
      <c r="H113" s="77" t="s">
        <v>123</v>
      </c>
      <c r="I113" s="77" t="s">
        <v>84</v>
      </c>
      <c r="J113" s="76" cm="1">
        <f t="array" ref="J113:J121">'SUT_EU27 total'!$L$60:$L$68</f>
        <v>2.1047443073980527E-5</v>
      </c>
    </row>
    <row r="114" spans="1:10" x14ac:dyDescent="0.35">
      <c r="A114" t="s">
        <v>13</v>
      </c>
      <c r="B114" t="s">
        <v>33</v>
      </c>
      <c r="C114" s="77" t="s">
        <v>90</v>
      </c>
      <c r="D114" t="s">
        <v>81</v>
      </c>
      <c r="E114" s="77" t="s">
        <v>117</v>
      </c>
      <c r="F114" s="77" t="s">
        <v>73</v>
      </c>
      <c r="G114" s="77" t="s">
        <v>74</v>
      </c>
      <c r="H114" s="77" t="s">
        <v>123</v>
      </c>
      <c r="I114" s="77" t="s">
        <v>84</v>
      </c>
      <c r="J114" s="76">
        <v>5.8414015621608938E-3</v>
      </c>
    </row>
    <row r="115" spans="1:10" x14ac:dyDescent="0.35">
      <c r="A115" t="s">
        <v>13</v>
      </c>
      <c r="B115" t="s">
        <v>33</v>
      </c>
      <c r="C115" s="77" t="s">
        <v>90</v>
      </c>
      <c r="D115" t="s">
        <v>81</v>
      </c>
      <c r="E115" s="77" t="s">
        <v>82</v>
      </c>
      <c r="F115" s="77" t="s">
        <v>73</v>
      </c>
      <c r="G115" s="77" t="s">
        <v>74</v>
      </c>
      <c r="H115" s="77" t="s">
        <v>123</v>
      </c>
      <c r="I115" s="77" t="s">
        <v>84</v>
      </c>
      <c r="J115" s="76">
        <v>1.4521138379047227E-3</v>
      </c>
    </row>
    <row r="116" spans="1:10" x14ac:dyDescent="0.35">
      <c r="A116" t="s">
        <v>13</v>
      </c>
      <c r="B116" t="s">
        <v>33</v>
      </c>
      <c r="C116" s="77" t="s">
        <v>90</v>
      </c>
      <c r="D116" t="s">
        <v>81</v>
      </c>
      <c r="E116" s="77" t="s">
        <v>125</v>
      </c>
      <c r="F116" s="77" t="s">
        <v>73</v>
      </c>
      <c r="G116" s="77" t="s">
        <v>74</v>
      </c>
      <c r="H116" s="77" t="s">
        <v>123</v>
      </c>
      <c r="I116" s="77" t="s">
        <v>84</v>
      </c>
      <c r="J116" s="76">
        <v>6.5130870114372285E-5</v>
      </c>
    </row>
    <row r="117" spans="1:10" x14ac:dyDescent="0.35">
      <c r="A117" t="s">
        <v>13</v>
      </c>
      <c r="B117" t="s">
        <v>33</v>
      </c>
      <c r="C117" s="77" t="s">
        <v>90</v>
      </c>
      <c r="D117" t="s">
        <v>81</v>
      </c>
      <c r="E117" s="77" t="s">
        <v>122</v>
      </c>
      <c r="F117" s="77" t="s">
        <v>73</v>
      </c>
      <c r="G117" s="77" t="s">
        <v>74</v>
      </c>
      <c r="H117" s="77" t="s">
        <v>123</v>
      </c>
      <c r="I117" s="77" t="s">
        <v>84</v>
      </c>
      <c r="J117" s="76">
        <v>7.9476813317479189E-4</v>
      </c>
    </row>
    <row r="118" spans="1:10" x14ac:dyDescent="0.35">
      <c r="A118" t="s">
        <v>13</v>
      </c>
      <c r="B118" t="s">
        <v>33</v>
      </c>
      <c r="C118" s="77" t="s">
        <v>90</v>
      </c>
      <c r="D118" t="s">
        <v>81</v>
      </c>
      <c r="E118" s="77" t="s">
        <v>126</v>
      </c>
      <c r="F118" s="77" t="s">
        <v>73</v>
      </c>
      <c r="G118" s="77" t="s">
        <v>74</v>
      </c>
      <c r="H118" s="77" t="s">
        <v>123</v>
      </c>
      <c r="I118" s="77" t="s">
        <v>84</v>
      </c>
      <c r="J118" s="76">
        <v>8.4821183458843076E-3</v>
      </c>
    </row>
    <row r="119" spans="1:10" x14ac:dyDescent="0.35">
      <c r="A119" t="s">
        <v>13</v>
      </c>
      <c r="B119" t="s">
        <v>33</v>
      </c>
      <c r="C119" s="77" t="s">
        <v>90</v>
      </c>
      <c r="D119" t="s">
        <v>81</v>
      </c>
      <c r="E119" s="77" t="s">
        <v>101</v>
      </c>
      <c r="F119" s="77" t="s">
        <v>73</v>
      </c>
      <c r="G119" s="77" t="s">
        <v>74</v>
      </c>
      <c r="H119" s="77" t="s">
        <v>123</v>
      </c>
      <c r="I119" s="77" t="s">
        <v>84</v>
      </c>
      <c r="J119" s="76">
        <v>0</v>
      </c>
    </row>
    <row r="120" spans="1:10" x14ac:dyDescent="0.35">
      <c r="A120" t="s">
        <v>13</v>
      </c>
      <c r="B120" t="s">
        <v>33</v>
      </c>
      <c r="C120" s="77" t="s">
        <v>90</v>
      </c>
      <c r="D120" t="s">
        <v>81</v>
      </c>
      <c r="E120" s="77" t="s">
        <v>104</v>
      </c>
      <c r="F120" s="77" t="s">
        <v>73</v>
      </c>
      <c r="G120" s="77" t="s">
        <v>74</v>
      </c>
      <c r="H120" s="77" t="s">
        <v>123</v>
      </c>
      <c r="I120" s="77" t="s">
        <v>84</v>
      </c>
      <c r="J120" s="76">
        <v>0</v>
      </c>
    </row>
    <row r="121" spans="1:10" x14ac:dyDescent="0.35">
      <c r="A121" t="s">
        <v>13</v>
      </c>
      <c r="B121" t="s">
        <v>33</v>
      </c>
      <c r="C121" s="77" t="s">
        <v>90</v>
      </c>
      <c r="D121" t="s">
        <v>81</v>
      </c>
      <c r="E121" s="77" t="s">
        <v>106</v>
      </c>
      <c r="F121" s="77" t="s">
        <v>73</v>
      </c>
      <c r="G121" s="77" t="s">
        <v>74</v>
      </c>
      <c r="H121" s="77" t="s">
        <v>123</v>
      </c>
      <c r="I121" s="77" t="s">
        <v>84</v>
      </c>
      <c r="J121" s="76">
        <v>0</v>
      </c>
    </row>
    <row r="122" spans="1:10" x14ac:dyDescent="0.35">
      <c r="A122" t="s">
        <v>13</v>
      </c>
      <c r="B122" t="s">
        <v>33</v>
      </c>
      <c r="C122" s="77" t="s">
        <v>91</v>
      </c>
      <c r="D122" t="s">
        <v>81</v>
      </c>
      <c r="E122" s="77" t="s">
        <v>119</v>
      </c>
      <c r="F122" s="77" t="s">
        <v>73</v>
      </c>
      <c r="G122" s="77" t="s">
        <v>74</v>
      </c>
      <c r="H122" s="77" t="s">
        <v>123</v>
      </c>
      <c r="I122" s="77" t="s">
        <v>84</v>
      </c>
      <c r="J122" s="76">
        <f>'SUT_EU27 total'!$L$73</f>
        <v>0.15097500908393557</v>
      </c>
    </row>
    <row r="123" spans="1:10" x14ac:dyDescent="0.35">
      <c r="A123" t="s">
        <v>13</v>
      </c>
      <c r="B123" t="s">
        <v>33</v>
      </c>
      <c r="C123" s="77" t="s">
        <v>91</v>
      </c>
      <c r="D123" t="s">
        <v>81</v>
      </c>
      <c r="E123" s="77" t="s">
        <v>124</v>
      </c>
      <c r="F123" s="77" t="s">
        <v>73</v>
      </c>
      <c r="G123" s="77" t="s">
        <v>74</v>
      </c>
      <c r="H123" s="77" t="s">
        <v>123</v>
      </c>
      <c r="I123" s="77" t="s">
        <v>84</v>
      </c>
      <c r="J123" s="76" cm="1">
        <f t="array" ref="J123:J131">'SUT_EU27 total'!$L$77:$L$85</f>
        <v>6.7728942399646885E-5</v>
      </c>
    </row>
    <row r="124" spans="1:10" x14ac:dyDescent="0.35">
      <c r="A124" t="s">
        <v>13</v>
      </c>
      <c r="B124" t="s">
        <v>33</v>
      </c>
      <c r="C124" s="77" t="s">
        <v>91</v>
      </c>
      <c r="D124" t="s">
        <v>81</v>
      </c>
      <c r="E124" s="77" t="s">
        <v>117</v>
      </c>
      <c r="F124" s="77" t="s">
        <v>73</v>
      </c>
      <c r="G124" s="77" t="s">
        <v>74</v>
      </c>
      <c r="H124" s="77" t="s">
        <v>123</v>
      </c>
      <c r="I124" s="77" t="s">
        <v>84</v>
      </c>
      <c r="J124" s="76">
        <v>5.6233849622410815E-3</v>
      </c>
    </row>
    <row r="125" spans="1:10" x14ac:dyDescent="0.35">
      <c r="A125" t="s">
        <v>13</v>
      </c>
      <c r="B125" t="s">
        <v>33</v>
      </c>
      <c r="C125" s="77" t="s">
        <v>91</v>
      </c>
      <c r="D125" t="s">
        <v>81</v>
      </c>
      <c r="E125" s="77" t="s">
        <v>82</v>
      </c>
      <c r="F125" s="77" t="s">
        <v>73</v>
      </c>
      <c r="G125" s="77" t="s">
        <v>74</v>
      </c>
      <c r="H125" s="77" t="s">
        <v>123</v>
      </c>
      <c r="I125" s="77" t="s">
        <v>84</v>
      </c>
      <c r="J125" s="76">
        <v>1.8068055269127655E-3</v>
      </c>
    </row>
    <row r="126" spans="1:10" x14ac:dyDescent="0.35">
      <c r="A126" t="s">
        <v>13</v>
      </c>
      <c r="B126" t="s">
        <v>33</v>
      </c>
      <c r="C126" s="77" t="s">
        <v>91</v>
      </c>
      <c r="D126" t="s">
        <v>81</v>
      </c>
      <c r="E126" s="77" t="s">
        <v>125</v>
      </c>
      <c r="F126" s="77" t="s">
        <v>73</v>
      </c>
      <c r="G126" s="77" t="s">
        <v>74</v>
      </c>
      <c r="H126" s="77" t="s">
        <v>123</v>
      </c>
      <c r="I126" s="77" t="s">
        <v>84</v>
      </c>
      <c r="J126" s="76">
        <v>5.6492118062760293E-6</v>
      </c>
    </row>
    <row r="127" spans="1:10" x14ac:dyDescent="0.35">
      <c r="A127" t="s">
        <v>13</v>
      </c>
      <c r="B127" t="s">
        <v>33</v>
      </c>
      <c r="C127" s="77" t="s">
        <v>91</v>
      </c>
      <c r="D127" t="s">
        <v>81</v>
      </c>
      <c r="E127" s="77" t="s">
        <v>122</v>
      </c>
      <c r="F127" s="77" t="s">
        <v>73</v>
      </c>
      <c r="G127" s="77" t="s">
        <v>74</v>
      </c>
      <c r="H127" s="77" t="s">
        <v>123</v>
      </c>
      <c r="I127" s="77" t="s">
        <v>84</v>
      </c>
      <c r="J127" s="76">
        <v>0</v>
      </c>
    </row>
    <row r="128" spans="1:10" x14ac:dyDescent="0.35">
      <c r="A128" t="s">
        <v>13</v>
      </c>
      <c r="B128" t="s">
        <v>33</v>
      </c>
      <c r="C128" s="77" t="s">
        <v>91</v>
      </c>
      <c r="D128" t="s">
        <v>81</v>
      </c>
      <c r="E128" s="77" t="s">
        <v>126</v>
      </c>
      <c r="F128" s="77" t="s">
        <v>73</v>
      </c>
      <c r="G128" s="77" t="s">
        <v>74</v>
      </c>
      <c r="H128" s="77" t="s">
        <v>123</v>
      </c>
      <c r="I128" s="77" t="s">
        <v>84</v>
      </c>
      <c r="J128" s="76">
        <v>8.1093795177776388E-4</v>
      </c>
    </row>
    <row r="129" spans="1:10" x14ac:dyDescent="0.35">
      <c r="A129" t="s">
        <v>13</v>
      </c>
      <c r="B129" t="s">
        <v>33</v>
      </c>
      <c r="C129" s="77" t="s">
        <v>91</v>
      </c>
      <c r="D129" t="s">
        <v>81</v>
      </c>
      <c r="E129" s="77" t="s">
        <v>101</v>
      </c>
      <c r="F129" s="77" t="s">
        <v>73</v>
      </c>
      <c r="G129" s="77" t="s">
        <v>74</v>
      </c>
      <c r="H129" s="77" t="s">
        <v>123</v>
      </c>
      <c r="I129" s="77" t="s">
        <v>84</v>
      </c>
      <c r="J129" s="76">
        <v>0</v>
      </c>
    </row>
    <row r="130" spans="1:10" x14ac:dyDescent="0.35">
      <c r="A130" t="s">
        <v>13</v>
      </c>
      <c r="B130" t="s">
        <v>33</v>
      </c>
      <c r="C130" s="77" t="s">
        <v>91</v>
      </c>
      <c r="D130" t="s">
        <v>81</v>
      </c>
      <c r="E130" s="77" t="s">
        <v>104</v>
      </c>
      <c r="F130" s="77" t="s">
        <v>73</v>
      </c>
      <c r="G130" s="77" t="s">
        <v>74</v>
      </c>
      <c r="H130" s="77" t="s">
        <v>123</v>
      </c>
      <c r="I130" s="77" t="s">
        <v>84</v>
      </c>
      <c r="J130" s="76">
        <v>0</v>
      </c>
    </row>
    <row r="131" spans="1:10" x14ac:dyDescent="0.35">
      <c r="A131" t="s">
        <v>13</v>
      </c>
      <c r="B131" t="s">
        <v>33</v>
      </c>
      <c r="C131" s="77" t="s">
        <v>91</v>
      </c>
      <c r="D131" t="s">
        <v>81</v>
      </c>
      <c r="E131" s="77" t="s">
        <v>106</v>
      </c>
      <c r="F131" s="77" t="s">
        <v>73</v>
      </c>
      <c r="G131" s="77" t="s">
        <v>74</v>
      </c>
      <c r="H131" s="77" t="s">
        <v>123</v>
      </c>
      <c r="I131" s="77" t="s">
        <v>84</v>
      </c>
      <c r="J131" s="76">
        <v>0</v>
      </c>
    </row>
    <row r="132" spans="1:10" x14ac:dyDescent="0.35">
      <c r="A132" t="s">
        <v>13</v>
      </c>
      <c r="B132" t="s">
        <v>33</v>
      </c>
      <c r="C132" s="77" t="s">
        <v>92</v>
      </c>
      <c r="D132" t="s">
        <v>81</v>
      </c>
      <c r="E132" s="77" t="s">
        <v>119</v>
      </c>
      <c r="F132" s="77" t="s">
        <v>73</v>
      </c>
      <c r="G132" s="77" t="s">
        <v>74</v>
      </c>
      <c r="H132" s="77" t="s">
        <v>123</v>
      </c>
      <c r="I132" s="77" t="s">
        <v>84</v>
      </c>
      <c r="J132" s="76">
        <f>'SUT_EU27 total'!$L$90</f>
        <v>0.13886309499777949</v>
      </c>
    </row>
    <row r="133" spans="1:10" x14ac:dyDescent="0.35">
      <c r="A133" t="s">
        <v>13</v>
      </c>
      <c r="B133" t="s">
        <v>33</v>
      </c>
      <c r="C133" s="77" t="s">
        <v>92</v>
      </c>
      <c r="D133" t="s">
        <v>81</v>
      </c>
      <c r="E133" s="77" t="s">
        <v>124</v>
      </c>
      <c r="F133" s="77" t="s">
        <v>73</v>
      </c>
      <c r="G133" s="77" t="s">
        <v>74</v>
      </c>
      <c r="H133" s="77" t="s">
        <v>123</v>
      </c>
      <c r="I133" s="77" t="s">
        <v>84</v>
      </c>
      <c r="J133" s="76" cm="1">
        <f t="array" ref="J133:J141">'SUT_EU27 total'!$L$94:$L$102</f>
        <v>9.2968907089085616E-5</v>
      </c>
    </row>
    <row r="134" spans="1:10" x14ac:dyDescent="0.35">
      <c r="A134" t="s">
        <v>13</v>
      </c>
      <c r="B134" t="s">
        <v>33</v>
      </c>
      <c r="C134" s="77" t="s">
        <v>92</v>
      </c>
      <c r="D134" t="s">
        <v>81</v>
      </c>
      <c r="E134" s="77" t="s">
        <v>117</v>
      </c>
      <c r="F134" s="77" t="s">
        <v>73</v>
      </c>
      <c r="G134" s="77" t="s">
        <v>74</v>
      </c>
      <c r="H134" s="77" t="s">
        <v>123</v>
      </c>
      <c r="I134" s="77" t="s">
        <v>84</v>
      </c>
      <c r="J134" s="76">
        <v>0</v>
      </c>
    </row>
    <row r="135" spans="1:10" x14ac:dyDescent="0.35">
      <c r="A135" t="s">
        <v>13</v>
      </c>
      <c r="B135" t="s">
        <v>33</v>
      </c>
      <c r="C135" s="77" t="s">
        <v>92</v>
      </c>
      <c r="D135" t="s">
        <v>81</v>
      </c>
      <c r="E135" s="77" t="s">
        <v>82</v>
      </c>
      <c r="F135" s="77" t="s">
        <v>73</v>
      </c>
      <c r="G135" s="77" t="s">
        <v>74</v>
      </c>
      <c r="H135" s="77" t="s">
        <v>123</v>
      </c>
      <c r="I135" s="77" t="s">
        <v>84</v>
      </c>
      <c r="J135" s="76">
        <v>1.1251392039595793E-3</v>
      </c>
    </row>
    <row r="136" spans="1:10" x14ac:dyDescent="0.35">
      <c r="A136" t="s">
        <v>13</v>
      </c>
      <c r="B136" t="s">
        <v>33</v>
      </c>
      <c r="C136" s="77" t="s">
        <v>92</v>
      </c>
      <c r="D136" t="s">
        <v>81</v>
      </c>
      <c r="E136" s="77" t="s">
        <v>125</v>
      </c>
      <c r="F136" s="77" t="s">
        <v>73</v>
      </c>
      <c r="G136" s="77" t="s">
        <v>74</v>
      </c>
      <c r="H136" s="77" t="s">
        <v>123</v>
      </c>
      <c r="I136" s="77" t="s">
        <v>84</v>
      </c>
      <c r="J136" s="76">
        <v>5.0048817841215026E-7</v>
      </c>
    </row>
    <row r="137" spans="1:10" x14ac:dyDescent="0.35">
      <c r="A137" t="s">
        <v>13</v>
      </c>
      <c r="B137" t="s">
        <v>33</v>
      </c>
      <c r="C137" s="77" t="s">
        <v>92</v>
      </c>
      <c r="D137" t="s">
        <v>81</v>
      </c>
      <c r="E137" s="77" t="s">
        <v>122</v>
      </c>
      <c r="F137" s="77" t="s">
        <v>73</v>
      </c>
      <c r="G137" s="77" t="s">
        <v>74</v>
      </c>
      <c r="H137" s="77" t="s">
        <v>123</v>
      </c>
      <c r="I137" s="77" t="s">
        <v>84</v>
      </c>
      <c r="J137" s="76">
        <v>0</v>
      </c>
    </row>
    <row r="138" spans="1:10" x14ac:dyDescent="0.35">
      <c r="A138" t="s">
        <v>13</v>
      </c>
      <c r="B138" t="s">
        <v>33</v>
      </c>
      <c r="C138" s="77" t="s">
        <v>92</v>
      </c>
      <c r="D138" t="s">
        <v>81</v>
      </c>
      <c r="E138" s="77" t="s">
        <v>126</v>
      </c>
      <c r="F138" s="77" t="s">
        <v>73</v>
      </c>
      <c r="G138" s="77" t="s">
        <v>74</v>
      </c>
      <c r="H138" s="77" t="s">
        <v>123</v>
      </c>
      <c r="I138" s="77" t="s">
        <v>84</v>
      </c>
      <c r="J138" s="76">
        <v>0</v>
      </c>
    </row>
    <row r="139" spans="1:10" x14ac:dyDescent="0.35">
      <c r="A139" t="s">
        <v>13</v>
      </c>
      <c r="B139" t="s">
        <v>33</v>
      </c>
      <c r="C139" s="77" t="s">
        <v>92</v>
      </c>
      <c r="D139" t="s">
        <v>81</v>
      </c>
      <c r="E139" s="77" t="s">
        <v>101</v>
      </c>
      <c r="F139" s="77" t="s">
        <v>73</v>
      </c>
      <c r="G139" s="77" t="s">
        <v>74</v>
      </c>
      <c r="H139" s="77" t="s">
        <v>123</v>
      </c>
      <c r="I139" s="77" t="s">
        <v>84</v>
      </c>
      <c r="J139" s="76">
        <v>0</v>
      </c>
    </row>
    <row r="140" spans="1:10" x14ac:dyDescent="0.35">
      <c r="A140" t="s">
        <v>13</v>
      </c>
      <c r="B140" t="s">
        <v>33</v>
      </c>
      <c r="C140" s="77" t="s">
        <v>92</v>
      </c>
      <c r="D140" t="s">
        <v>81</v>
      </c>
      <c r="E140" s="77" t="s">
        <v>104</v>
      </c>
      <c r="F140" s="77" t="s">
        <v>73</v>
      </c>
      <c r="G140" s="77" t="s">
        <v>74</v>
      </c>
      <c r="H140" s="77" t="s">
        <v>123</v>
      </c>
      <c r="I140" s="77" t="s">
        <v>84</v>
      </c>
      <c r="J140" s="76">
        <v>0</v>
      </c>
    </row>
    <row r="141" spans="1:10" x14ac:dyDescent="0.35">
      <c r="A141" t="s">
        <v>13</v>
      </c>
      <c r="B141" t="s">
        <v>33</v>
      </c>
      <c r="C141" s="77" t="s">
        <v>92</v>
      </c>
      <c r="D141" t="s">
        <v>81</v>
      </c>
      <c r="E141" s="77" t="s">
        <v>106</v>
      </c>
      <c r="F141" s="77" t="s">
        <v>73</v>
      </c>
      <c r="G141" s="77" t="s">
        <v>74</v>
      </c>
      <c r="H141" s="77" t="s">
        <v>123</v>
      </c>
      <c r="I141" s="77" t="s">
        <v>84</v>
      </c>
      <c r="J141" s="76">
        <v>0</v>
      </c>
    </row>
    <row r="142" spans="1:10" x14ac:dyDescent="0.35">
      <c r="A142" t="s">
        <v>13</v>
      </c>
      <c r="B142" t="s">
        <v>33</v>
      </c>
      <c r="C142" s="77" t="s">
        <v>93</v>
      </c>
      <c r="D142" t="s">
        <v>81</v>
      </c>
      <c r="E142" s="77" t="s">
        <v>119</v>
      </c>
      <c r="F142" s="77" t="s">
        <v>73</v>
      </c>
      <c r="G142" s="77" t="s">
        <v>74</v>
      </c>
      <c r="H142" s="77" t="s">
        <v>123</v>
      </c>
      <c r="I142" s="77" t="s">
        <v>84</v>
      </c>
      <c r="J142" s="76">
        <f>'SUT_EU27 total'!$L$107</f>
        <v>1.0000807460939076</v>
      </c>
    </row>
    <row r="143" spans="1:10" x14ac:dyDescent="0.35">
      <c r="A143" t="s">
        <v>13</v>
      </c>
      <c r="B143" t="s">
        <v>33</v>
      </c>
      <c r="C143" s="77" t="s">
        <v>93</v>
      </c>
      <c r="D143" t="s">
        <v>81</v>
      </c>
      <c r="E143" s="77" t="s">
        <v>124</v>
      </c>
      <c r="F143" s="77" t="s">
        <v>73</v>
      </c>
      <c r="G143" s="77" t="s">
        <v>74</v>
      </c>
      <c r="H143" s="77" t="s">
        <v>123</v>
      </c>
      <c r="I143" s="77" t="s">
        <v>84</v>
      </c>
      <c r="J143" s="76" cm="1">
        <f t="array" ref="J143:J151">'SUT_EU27 total'!$L$111:$L$119</f>
        <v>3.7052409430862396E-4</v>
      </c>
    </row>
    <row r="144" spans="1:10" x14ac:dyDescent="0.35">
      <c r="A144" t="s">
        <v>13</v>
      </c>
      <c r="B144" t="s">
        <v>33</v>
      </c>
      <c r="C144" s="77" t="s">
        <v>93</v>
      </c>
      <c r="D144" t="s">
        <v>81</v>
      </c>
      <c r="E144" s="77" t="s">
        <v>117</v>
      </c>
      <c r="F144" s="77" t="s">
        <v>73</v>
      </c>
      <c r="G144" s="77" t="s">
        <v>74</v>
      </c>
      <c r="H144" s="77" t="s">
        <v>123</v>
      </c>
      <c r="I144" s="77" t="s">
        <v>84</v>
      </c>
      <c r="J144" s="76">
        <v>5.8414042458127093E-3</v>
      </c>
    </row>
    <row r="145" spans="1:10" x14ac:dyDescent="0.35">
      <c r="A145" t="s">
        <v>13</v>
      </c>
      <c r="B145" t="s">
        <v>33</v>
      </c>
      <c r="C145" s="77" t="s">
        <v>93</v>
      </c>
      <c r="D145" t="s">
        <v>81</v>
      </c>
      <c r="E145" s="77" t="s">
        <v>82</v>
      </c>
      <c r="F145" s="77" t="s">
        <v>73</v>
      </c>
      <c r="G145" s="77" t="s">
        <v>74</v>
      </c>
      <c r="H145" s="77" t="s">
        <v>123</v>
      </c>
      <c r="I145" s="77" t="s">
        <v>84</v>
      </c>
      <c r="J145" s="76">
        <v>5.0319447308723453E-3</v>
      </c>
    </row>
    <row r="146" spans="1:10" x14ac:dyDescent="0.35">
      <c r="A146" t="s">
        <v>13</v>
      </c>
      <c r="B146" t="s">
        <v>33</v>
      </c>
      <c r="C146" s="77" t="s">
        <v>93</v>
      </c>
      <c r="D146" t="s">
        <v>81</v>
      </c>
      <c r="E146" s="77" t="s">
        <v>125</v>
      </c>
      <c r="F146" s="77" t="s">
        <v>73</v>
      </c>
      <c r="G146" s="77" t="s">
        <v>74</v>
      </c>
      <c r="H146" s="77" t="s">
        <v>123</v>
      </c>
      <c r="I146" s="77" t="s">
        <v>84</v>
      </c>
      <c r="J146" s="76">
        <v>4.336096678710085E-4</v>
      </c>
    </row>
    <row r="147" spans="1:10" x14ac:dyDescent="0.35">
      <c r="A147" t="s">
        <v>13</v>
      </c>
      <c r="B147" t="s">
        <v>33</v>
      </c>
      <c r="C147" s="77" t="s">
        <v>93</v>
      </c>
      <c r="D147" t="s">
        <v>81</v>
      </c>
      <c r="E147" s="77" t="s">
        <v>122</v>
      </c>
      <c r="F147" s="77" t="s">
        <v>73</v>
      </c>
      <c r="G147" s="77" t="s">
        <v>74</v>
      </c>
      <c r="H147" s="77" t="s">
        <v>123</v>
      </c>
      <c r="I147" s="77" t="s">
        <v>84</v>
      </c>
      <c r="J147" s="76">
        <v>2.7129607609988112E-3</v>
      </c>
    </row>
    <row r="148" spans="1:10" x14ac:dyDescent="0.35">
      <c r="A148" t="s">
        <v>13</v>
      </c>
      <c r="B148" t="s">
        <v>33</v>
      </c>
      <c r="C148" s="77" t="s">
        <v>93</v>
      </c>
      <c r="D148" t="s">
        <v>81</v>
      </c>
      <c r="E148" s="77" t="s">
        <v>126</v>
      </c>
      <c r="F148" s="77" t="s">
        <v>73</v>
      </c>
      <c r="G148" s="77" t="s">
        <v>74</v>
      </c>
      <c r="H148" s="77" t="s">
        <v>123</v>
      </c>
      <c r="I148" s="77" t="s">
        <v>84</v>
      </c>
      <c r="J148" s="76">
        <v>4.3855511603587784E-2</v>
      </c>
    </row>
    <row r="149" spans="1:10" x14ac:dyDescent="0.35">
      <c r="A149" t="s">
        <v>13</v>
      </c>
      <c r="B149" t="s">
        <v>33</v>
      </c>
      <c r="C149" s="77" t="s">
        <v>93</v>
      </c>
      <c r="D149" t="s">
        <v>81</v>
      </c>
      <c r="E149" s="77" t="s">
        <v>101</v>
      </c>
      <c r="F149" s="77" t="s">
        <v>73</v>
      </c>
      <c r="G149" s="77" t="s">
        <v>74</v>
      </c>
      <c r="H149" s="77" t="s">
        <v>123</v>
      </c>
      <c r="I149" s="77" t="s">
        <v>84</v>
      </c>
      <c r="J149" s="76">
        <v>0</v>
      </c>
    </row>
    <row r="150" spans="1:10" x14ac:dyDescent="0.35">
      <c r="A150" t="s">
        <v>13</v>
      </c>
      <c r="B150" t="s">
        <v>33</v>
      </c>
      <c r="C150" s="77" t="s">
        <v>93</v>
      </c>
      <c r="D150" t="s">
        <v>81</v>
      </c>
      <c r="E150" s="77" t="s">
        <v>104</v>
      </c>
      <c r="F150" s="77" t="s">
        <v>73</v>
      </c>
      <c r="G150" s="77" t="s">
        <v>74</v>
      </c>
      <c r="H150" s="77" t="s">
        <v>123</v>
      </c>
      <c r="I150" s="77" t="s">
        <v>84</v>
      </c>
      <c r="J150" s="76">
        <v>0</v>
      </c>
    </row>
    <row r="151" spans="1:10" x14ac:dyDescent="0.35">
      <c r="A151" t="s">
        <v>13</v>
      </c>
      <c r="B151" t="s">
        <v>33</v>
      </c>
      <c r="C151" s="77" t="s">
        <v>93</v>
      </c>
      <c r="D151" t="s">
        <v>81</v>
      </c>
      <c r="E151" s="77" t="s">
        <v>106</v>
      </c>
      <c r="F151" s="77" t="s">
        <v>73</v>
      </c>
      <c r="G151" s="77" t="s">
        <v>74</v>
      </c>
      <c r="H151" s="77" t="s">
        <v>123</v>
      </c>
      <c r="I151" s="77" t="s">
        <v>84</v>
      </c>
      <c r="J151" s="76">
        <v>0</v>
      </c>
    </row>
    <row r="152" spans="1:10" x14ac:dyDescent="0.35">
      <c r="A152" t="s">
        <v>13</v>
      </c>
      <c r="B152" t="s">
        <v>33</v>
      </c>
      <c r="C152" s="77" t="s">
        <v>73</v>
      </c>
      <c r="D152" t="s">
        <v>81</v>
      </c>
      <c r="E152" s="77" t="s">
        <v>119</v>
      </c>
      <c r="F152" s="77" t="s">
        <v>73</v>
      </c>
      <c r="G152" s="77" t="s">
        <v>74</v>
      </c>
      <c r="H152" s="77" t="s">
        <v>127</v>
      </c>
      <c r="I152" s="77" t="s">
        <v>84</v>
      </c>
      <c r="J152" s="76">
        <f>'SUT_EU27 total'!$M$22</f>
        <v>1.9500181678711294E-2</v>
      </c>
    </row>
    <row r="153" spans="1:10" x14ac:dyDescent="0.35">
      <c r="A153" t="s">
        <v>13</v>
      </c>
      <c r="B153" t="s">
        <v>33</v>
      </c>
      <c r="C153" s="77" t="s">
        <v>73</v>
      </c>
      <c r="D153" t="s">
        <v>81</v>
      </c>
      <c r="E153" s="77" t="s">
        <v>124</v>
      </c>
      <c r="F153" s="77" t="s">
        <v>73</v>
      </c>
      <c r="G153" s="77" t="s">
        <v>74</v>
      </c>
      <c r="H153" s="77" t="s">
        <v>127</v>
      </c>
      <c r="I153" s="77" t="s">
        <v>84</v>
      </c>
      <c r="J153" s="76" cm="1">
        <f t="array" ref="J153:J161">'SUT_EU27 total'!$M$26:$M$34</f>
        <v>1.9404661061278542E-3</v>
      </c>
    </row>
    <row r="154" spans="1:10" x14ac:dyDescent="0.35">
      <c r="A154" t="s">
        <v>13</v>
      </c>
      <c r="B154" t="s">
        <v>33</v>
      </c>
      <c r="C154" s="77" t="s">
        <v>73</v>
      </c>
      <c r="D154" t="s">
        <v>81</v>
      </c>
      <c r="E154" s="77" t="s">
        <v>117</v>
      </c>
      <c r="F154" s="77" t="s">
        <v>73</v>
      </c>
      <c r="G154" s="77" t="s">
        <v>74</v>
      </c>
      <c r="H154" s="77" t="s">
        <v>127</v>
      </c>
      <c r="I154" s="77" t="s">
        <v>84</v>
      </c>
      <c r="J154" s="76">
        <v>5.8423628191201782E-3</v>
      </c>
    </row>
    <row r="155" spans="1:10" x14ac:dyDescent="0.35">
      <c r="A155" t="s">
        <v>13</v>
      </c>
      <c r="B155" t="s">
        <v>33</v>
      </c>
      <c r="C155" s="77" t="s">
        <v>73</v>
      </c>
      <c r="D155" t="s">
        <v>81</v>
      </c>
      <c r="E155" s="77" t="s">
        <v>82</v>
      </c>
      <c r="F155" s="77" t="s">
        <v>73</v>
      </c>
      <c r="G155" s="77" t="s">
        <v>74</v>
      </c>
      <c r="H155" s="77" t="s">
        <v>127</v>
      </c>
      <c r="I155" s="77" t="s">
        <v>84</v>
      </c>
      <c r="J155" s="76">
        <v>4.8981233243967828E-4</v>
      </c>
    </row>
    <row r="156" spans="1:10" x14ac:dyDescent="0.35">
      <c r="A156" t="s">
        <v>13</v>
      </c>
      <c r="B156" t="s">
        <v>33</v>
      </c>
      <c r="C156" s="77" t="s">
        <v>73</v>
      </c>
      <c r="D156" t="s">
        <v>81</v>
      </c>
      <c r="E156" s="77" t="s">
        <v>125</v>
      </c>
      <c r="F156" s="77" t="s">
        <v>73</v>
      </c>
      <c r="G156" s="77" t="s">
        <v>74</v>
      </c>
      <c r="H156" s="77" t="s">
        <v>127</v>
      </c>
      <c r="I156" s="77" t="s">
        <v>84</v>
      </c>
      <c r="J156" s="76">
        <v>2.4658201215687387E-3</v>
      </c>
    </row>
    <row r="157" spans="1:10" x14ac:dyDescent="0.35">
      <c r="A157" t="s">
        <v>13</v>
      </c>
      <c r="B157" t="s">
        <v>33</v>
      </c>
      <c r="C157" s="77" t="s">
        <v>73</v>
      </c>
      <c r="D157" t="s">
        <v>81</v>
      </c>
      <c r="E157" s="77" t="s">
        <v>122</v>
      </c>
      <c r="F157" s="77" t="s">
        <v>73</v>
      </c>
      <c r="G157" s="77" t="s">
        <v>74</v>
      </c>
      <c r="H157" s="77" t="s">
        <v>127</v>
      </c>
      <c r="I157" s="77" t="s">
        <v>84</v>
      </c>
      <c r="J157" s="76">
        <v>4.922711058263972E-4</v>
      </c>
    </row>
    <row r="158" spans="1:10" x14ac:dyDescent="0.35">
      <c r="A158" t="s">
        <v>13</v>
      </c>
      <c r="B158" t="s">
        <v>33</v>
      </c>
      <c r="C158" s="77" t="s">
        <v>73</v>
      </c>
      <c r="D158" t="s">
        <v>81</v>
      </c>
      <c r="E158" s="77" t="s">
        <v>126</v>
      </c>
      <c r="F158" s="77" t="s">
        <v>73</v>
      </c>
      <c r="G158" s="77" t="s">
        <v>74</v>
      </c>
      <c r="H158" s="77" t="s">
        <v>127</v>
      </c>
      <c r="I158" s="77" t="s">
        <v>84</v>
      </c>
      <c r="J158" s="76">
        <v>0</v>
      </c>
    </row>
    <row r="159" spans="1:10" x14ac:dyDescent="0.35">
      <c r="A159" t="s">
        <v>13</v>
      </c>
      <c r="B159" t="s">
        <v>33</v>
      </c>
      <c r="C159" s="77" t="s">
        <v>73</v>
      </c>
      <c r="D159" t="s">
        <v>81</v>
      </c>
      <c r="E159" s="77" t="s">
        <v>101</v>
      </c>
      <c r="F159" s="77" t="s">
        <v>73</v>
      </c>
      <c r="G159" s="77" t="s">
        <v>74</v>
      </c>
      <c r="H159" s="77" t="s">
        <v>127</v>
      </c>
      <c r="I159" s="77" t="s">
        <v>84</v>
      </c>
      <c r="J159" s="76">
        <v>3.6586167200000007E-4</v>
      </c>
    </row>
    <row r="160" spans="1:10" x14ac:dyDescent="0.35">
      <c r="A160" t="s">
        <v>13</v>
      </c>
      <c r="B160" t="s">
        <v>33</v>
      </c>
      <c r="C160" s="77" t="s">
        <v>73</v>
      </c>
      <c r="D160" t="s">
        <v>81</v>
      </c>
      <c r="E160" s="77" t="s">
        <v>104</v>
      </c>
      <c r="F160" s="77" t="s">
        <v>73</v>
      </c>
      <c r="G160" s="77" t="s">
        <v>74</v>
      </c>
      <c r="H160" s="77" t="s">
        <v>127</v>
      </c>
      <c r="I160" s="77" t="s">
        <v>84</v>
      </c>
      <c r="J160" s="76">
        <v>6.9272632800000005E-4</v>
      </c>
    </row>
    <row r="161" spans="1:10" x14ac:dyDescent="0.35">
      <c r="A161" t="s">
        <v>13</v>
      </c>
      <c r="B161" t="s">
        <v>33</v>
      </c>
      <c r="C161" s="77" t="s">
        <v>73</v>
      </c>
      <c r="D161" t="s">
        <v>81</v>
      </c>
      <c r="E161" s="77" t="s">
        <v>106</v>
      </c>
      <c r="F161" s="77" t="s">
        <v>73</v>
      </c>
      <c r="G161" s="77" t="s">
        <v>74</v>
      </c>
      <c r="H161" s="77" t="s">
        <v>127</v>
      </c>
      <c r="I161" s="77" t="s">
        <v>84</v>
      </c>
      <c r="J161" s="76">
        <v>2.3562119999999999E-3</v>
      </c>
    </row>
    <row r="162" spans="1:10" x14ac:dyDescent="0.35">
      <c r="A162" t="s">
        <v>13</v>
      </c>
      <c r="B162" t="s">
        <v>33</v>
      </c>
      <c r="C162" s="77" t="s">
        <v>88</v>
      </c>
      <c r="D162" t="s">
        <v>81</v>
      </c>
      <c r="E162" s="77" t="s">
        <v>119</v>
      </c>
      <c r="F162" s="77" t="s">
        <v>73</v>
      </c>
      <c r="G162" s="77" t="s">
        <v>74</v>
      </c>
      <c r="H162" s="77" t="s">
        <v>127</v>
      </c>
      <c r="I162" s="77" t="s">
        <v>84</v>
      </c>
      <c r="J162" s="76">
        <f>'SUT_EU27 total'!$M$39</f>
        <v>0.16108845734587587</v>
      </c>
    </row>
    <row r="163" spans="1:10" x14ac:dyDescent="0.35">
      <c r="A163" t="s">
        <v>13</v>
      </c>
      <c r="B163" t="s">
        <v>33</v>
      </c>
      <c r="C163" s="77" t="s">
        <v>88</v>
      </c>
      <c r="D163" t="s">
        <v>81</v>
      </c>
      <c r="E163" s="77" t="s">
        <v>124</v>
      </c>
      <c r="F163" s="77" t="s">
        <v>73</v>
      </c>
      <c r="G163" s="77" t="s">
        <v>74</v>
      </c>
      <c r="H163" s="77" t="s">
        <v>127</v>
      </c>
      <c r="I163" s="77" t="s">
        <v>84</v>
      </c>
      <c r="J163" s="76" cm="1">
        <f t="array" ref="J163:J171">'SUT_EU27 total'!$L$43:$L$51</f>
        <v>5.0558836222750793E-4</v>
      </c>
    </row>
    <row r="164" spans="1:10" x14ac:dyDescent="0.35">
      <c r="A164" t="s">
        <v>13</v>
      </c>
      <c r="B164" t="s">
        <v>33</v>
      </c>
      <c r="C164" s="77" t="s">
        <v>88</v>
      </c>
      <c r="D164" t="s">
        <v>81</v>
      </c>
      <c r="E164" s="77" t="s">
        <v>117</v>
      </c>
      <c r="F164" s="77" t="s">
        <v>73</v>
      </c>
      <c r="G164" s="77" t="s">
        <v>74</v>
      </c>
      <c r="H164" s="77" t="s">
        <v>127</v>
      </c>
      <c r="I164" s="77" t="s">
        <v>84</v>
      </c>
      <c r="J164" s="76">
        <v>4.8514464106651379E-3</v>
      </c>
    </row>
    <row r="165" spans="1:10" x14ac:dyDescent="0.35">
      <c r="A165" t="s">
        <v>13</v>
      </c>
      <c r="B165" t="s">
        <v>33</v>
      </c>
      <c r="C165" s="77" t="s">
        <v>88</v>
      </c>
      <c r="D165" t="s">
        <v>81</v>
      </c>
      <c r="E165" s="77" t="s">
        <v>82</v>
      </c>
      <c r="F165" s="77" t="s">
        <v>73</v>
      </c>
      <c r="G165" s="77" t="s">
        <v>74</v>
      </c>
      <c r="H165" s="77" t="s">
        <v>127</v>
      </c>
      <c r="I165" s="77" t="s">
        <v>84</v>
      </c>
      <c r="J165" s="76">
        <v>1.109418436791091E-2</v>
      </c>
    </row>
    <row r="166" spans="1:10" x14ac:dyDescent="0.35">
      <c r="A166" t="s">
        <v>13</v>
      </c>
      <c r="B166" t="s">
        <v>33</v>
      </c>
      <c r="C166" s="77" t="s">
        <v>88</v>
      </c>
      <c r="D166" t="s">
        <v>81</v>
      </c>
      <c r="E166" s="77" t="s">
        <v>125</v>
      </c>
      <c r="F166" s="77" t="s">
        <v>73</v>
      </c>
      <c r="G166" s="77" t="s">
        <v>74</v>
      </c>
      <c r="H166" s="77" t="s">
        <v>127</v>
      </c>
      <c r="I166" s="77" t="s">
        <v>84</v>
      </c>
      <c r="J166" s="76">
        <v>2.890870278990243E-5</v>
      </c>
    </row>
    <row r="167" spans="1:10" x14ac:dyDescent="0.35">
      <c r="A167" t="s">
        <v>13</v>
      </c>
      <c r="B167" t="s">
        <v>33</v>
      </c>
      <c r="C167" s="77" t="s">
        <v>88</v>
      </c>
      <c r="D167" t="s">
        <v>81</v>
      </c>
      <c r="E167" s="77" t="s">
        <v>122</v>
      </c>
      <c r="F167" s="77" t="s">
        <v>73</v>
      </c>
      <c r="G167" s="77" t="s">
        <v>74</v>
      </c>
      <c r="H167" s="77" t="s">
        <v>127</v>
      </c>
      <c r="I167" s="77" t="s">
        <v>84</v>
      </c>
      <c r="J167" s="76">
        <v>0</v>
      </c>
    </row>
    <row r="168" spans="1:10" x14ac:dyDescent="0.35">
      <c r="A168" t="s">
        <v>13</v>
      </c>
      <c r="B168" t="s">
        <v>33</v>
      </c>
      <c r="C168" s="77" t="s">
        <v>88</v>
      </c>
      <c r="D168" t="s">
        <v>81</v>
      </c>
      <c r="E168" s="77" t="s">
        <v>126</v>
      </c>
      <c r="F168" s="77" t="s">
        <v>73</v>
      </c>
      <c r="G168" s="77" t="s">
        <v>74</v>
      </c>
      <c r="H168" s="77" t="s">
        <v>127</v>
      </c>
      <c r="I168" s="77" t="s">
        <v>84</v>
      </c>
      <c r="J168" s="76">
        <v>2.8514320987501449E-3</v>
      </c>
    </row>
    <row r="169" spans="1:10" x14ac:dyDescent="0.35">
      <c r="A169" t="s">
        <v>13</v>
      </c>
      <c r="B169" t="s">
        <v>33</v>
      </c>
      <c r="C169" s="77" t="s">
        <v>88</v>
      </c>
      <c r="D169" t="s">
        <v>81</v>
      </c>
      <c r="E169" s="77" t="s">
        <v>101</v>
      </c>
      <c r="F169" s="77" t="s">
        <v>73</v>
      </c>
      <c r="G169" s="77" t="s">
        <v>74</v>
      </c>
      <c r="H169" s="77" t="s">
        <v>127</v>
      </c>
      <c r="I169" s="77" t="s">
        <v>84</v>
      </c>
      <c r="J169" s="76">
        <v>0</v>
      </c>
    </row>
    <row r="170" spans="1:10" x14ac:dyDescent="0.35">
      <c r="A170" t="s">
        <v>13</v>
      </c>
      <c r="B170" t="s">
        <v>33</v>
      </c>
      <c r="C170" s="77" t="s">
        <v>88</v>
      </c>
      <c r="D170" t="s">
        <v>81</v>
      </c>
      <c r="E170" s="77" t="s">
        <v>104</v>
      </c>
      <c r="F170" s="77" t="s">
        <v>73</v>
      </c>
      <c r="G170" s="77" t="s">
        <v>74</v>
      </c>
      <c r="H170" s="77" t="s">
        <v>127</v>
      </c>
      <c r="I170" s="77" t="s">
        <v>84</v>
      </c>
      <c r="J170" s="76">
        <v>0</v>
      </c>
    </row>
    <row r="171" spans="1:10" x14ac:dyDescent="0.35">
      <c r="A171" t="s">
        <v>13</v>
      </c>
      <c r="B171" t="s">
        <v>33</v>
      </c>
      <c r="C171" s="77" t="s">
        <v>88</v>
      </c>
      <c r="D171" t="s">
        <v>81</v>
      </c>
      <c r="E171" s="77" t="s">
        <v>106</v>
      </c>
      <c r="F171" s="77" t="s">
        <v>73</v>
      </c>
      <c r="G171" s="77" t="s">
        <v>74</v>
      </c>
      <c r="H171" s="77" t="s">
        <v>127</v>
      </c>
      <c r="I171" s="77" t="s">
        <v>84</v>
      </c>
      <c r="J171" s="76">
        <v>0</v>
      </c>
    </row>
    <row r="172" spans="1:10" x14ac:dyDescent="0.35">
      <c r="A172" t="s">
        <v>13</v>
      </c>
      <c r="B172" t="s">
        <v>33</v>
      </c>
      <c r="C172" s="77" t="s">
        <v>90</v>
      </c>
      <c r="D172" t="s">
        <v>81</v>
      </c>
      <c r="E172" s="77" t="s">
        <v>119</v>
      </c>
      <c r="F172" s="77" t="s">
        <v>73</v>
      </c>
      <c r="G172" s="77" t="s">
        <v>74</v>
      </c>
      <c r="H172" s="77" t="s">
        <v>127</v>
      </c>
      <c r="I172" s="77" t="s">
        <v>84</v>
      </c>
      <c r="J172" s="76">
        <f>'SUT_EU27 total'!$M$56</f>
        <v>2.949251079979006E-2</v>
      </c>
    </row>
    <row r="173" spans="1:10" x14ac:dyDescent="0.35">
      <c r="A173" t="s">
        <v>13</v>
      </c>
      <c r="B173" t="s">
        <v>33</v>
      </c>
      <c r="C173" s="77" t="s">
        <v>90</v>
      </c>
      <c r="D173" t="s">
        <v>81</v>
      </c>
      <c r="E173" s="77" t="s">
        <v>124</v>
      </c>
      <c r="F173" s="77" t="s">
        <v>73</v>
      </c>
      <c r="G173" s="77" t="s">
        <v>74</v>
      </c>
      <c r="H173" s="77" t="s">
        <v>127</v>
      </c>
      <c r="I173" s="77" t="s">
        <v>84</v>
      </c>
      <c r="J173" s="76" cm="1">
        <f t="array" ref="J173:J181">'SUT_EU27 total'!$M$60:$M$68</f>
        <v>2.1047443073980527E-5</v>
      </c>
    </row>
    <row r="174" spans="1:10" x14ac:dyDescent="0.35">
      <c r="A174" t="s">
        <v>13</v>
      </c>
      <c r="B174" t="s">
        <v>33</v>
      </c>
      <c r="C174" s="77" t="s">
        <v>90</v>
      </c>
      <c r="D174" t="s">
        <v>81</v>
      </c>
      <c r="E174" s="77" t="s">
        <v>117</v>
      </c>
      <c r="F174" s="77" t="s">
        <v>73</v>
      </c>
      <c r="G174" s="77" t="s">
        <v>74</v>
      </c>
      <c r="H174" s="77" t="s">
        <v>127</v>
      </c>
      <c r="I174" s="77" t="s">
        <v>84</v>
      </c>
      <c r="J174" s="76">
        <v>5.8414015621608938E-3</v>
      </c>
    </row>
    <row r="175" spans="1:10" x14ac:dyDescent="0.35">
      <c r="A175" t="s">
        <v>13</v>
      </c>
      <c r="B175" t="s">
        <v>33</v>
      </c>
      <c r="C175" s="77" t="s">
        <v>90</v>
      </c>
      <c r="D175" t="s">
        <v>81</v>
      </c>
      <c r="E175" s="77" t="s">
        <v>82</v>
      </c>
      <c r="F175" s="77" t="s">
        <v>73</v>
      </c>
      <c r="G175" s="77" t="s">
        <v>74</v>
      </c>
      <c r="H175" s="77" t="s">
        <v>127</v>
      </c>
      <c r="I175" s="77" t="s">
        <v>84</v>
      </c>
      <c r="J175" s="76">
        <v>1.4521138379047227E-3</v>
      </c>
    </row>
    <row r="176" spans="1:10" x14ac:dyDescent="0.35">
      <c r="A176" t="s">
        <v>13</v>
      </c>
      <c r="B176" t="s">
        <v>33</v>
      </c>
      <c r="C176" s="77" t="s">
        <v>90</v>
      </c>
      <c r="D176" t="s">
        <v>81</v>
      </c>
      <c r="E176" s="77" t="s">
        <v>125</v>
      </c>
      <c r="F176" s="77" t="s">
        <v>73</v>
      </c>
      <c r="G176" s="77" t="s">
        <v>74</v>
      </c>
      <c r="H176" s="77" t="s">
        <v>127</v>
      </c>
      <c r="I176" s="77" t="s">
        <v>84</v>
      </c>
      <c r="J176" s="76">
        <v>6.5130870114372285E-5</v>
      </c>
    </row>
    <row r="177" spans="1:10" x14ac:dyDescent="0.35">
      <c r="A177" t="s">
        <v>13</v>
      </c>
      <c r="B177" t="s">
        <v>33</v>
      </c>
      <c r="C177" s="77" t="s">
        <v>90</v>
      </c>
      <c r="D177" t="s">
        <v>81</v>
      </c>
      <c r="E177" s="77" t="s">
        <v>122</v>
      </c>
      <c r="F177" s="77" t="s">
        <v>73</v>
      </c>
      <c r="G177" s="77" t="s">
        <v>74</v>
      </c>
      <c r="H177" s="77" t="s">
        <v>127</v>
      </c>
      <c r="I177" s="77" t="s">
        <v>84</v>
      </c>
      <c r="J177" s="76">
        <v>7.9476813317479189E-4</v>
      </c>
    </row>
    <row r="178" spans="1:10" x14ac:dyDescent="0.35">
      <c r="A178" t="s">
        <v>13</v>
      </c>
      <c r="B178" t="s">
        <v>33</v>
      </c>
      <c r="C178" s="77" t="s">
        <v>90</v>
      </c>
      <c r="D178" t="s">
        <v>81</v>
      </c>
      <c r="E178" s="77" t="s">
        <v>126</v>
      </c>
      <c r="F178" s="77" t="s">
        <v>73</v>
      </c>
      <c r="G178" s="77" t="s">
        <v>74</v>
      </c>
      <c r="H178" s="77" t="s">
        <v>127</v>
      </c>
      <c r="I178" s="77" t="s">
        <v>84</v>
      </c>
      <c r="J178" s="76">
        <v>8.4821183458843076E-3</v>
      </c>
    </row>
    <row r="179" spans="1:10" x14ac:dyDescent="0.35">
      <c r="A179" t="s">
        <v>13</v>
      </c>
      <c r="B179" t="s">
        <v>33</v>
      </c>
      <c r="C179" s="77" t="s">
        <v>90</v>
      </c>
      <c r="D179" t="s">
        <v>81</v>
      </c>
      <c r="E179" s="77" t="s">
        <v>101</v>
      </c>
      <c r="F179" s="77" t="s">
        <v>73</v>
      </c>
      <c r="G179" s="77" t="s">
        <v>74</v>
      </c>
      <c r="H179" s="77" t="s">
        <v>127</v>
      </c>
      <c r="I179" s="77" t="s">
        <v>84</v>
      </c>
      <c r="J179" s="76">
        <v>0</v>
      </c>
    </row>
    <row r="180" spans="1:10" x14ac:dyDescent="0.35">
      <c r="A180" t="s">
        <v>13</v>
      </c>
      <c r="B180" t="s">
        <v>33</v>
      </c>
      <c r="C180" s="77" t="s">
        <v>90</v>
      </c>
      <c r="D180" t="s">
        <v>81</v>
      </c>
      <c r="E180" s="77" t="s">
        <v>104</v>
      </c>
      <c r="F180" s="77" t="s">
        <v>73</v>
      </c>
      <c r="G180" s="77" t="s">
        <v>74</v>
      </c>
      <c r="H180" s="77" t="s">
        <v>127</v>
      </c>
      <c r="I180" s="77" t="s">
        <v>84</v>
      </c>
      <c r="J180" s="76">
        <v>0</v>
      </c>
    </row>
    <row r="181" spans="1:10" x14ac:dyDescent="0.35">
      <c r="A181" t="s">
        <v>13</v>
      </c>
      <c r="B181" t="s">
        <v>33</v>
      </c>
      <c r="C181" s="77" t="s">
        <v>90</v>
      </c>
      <c r="D181" t="s">
        <v>81</v>
      </c>
      <c r="E181" s="77" t="s">
        <v>106</v>
      </c>
      <c r="F181" s="77" t="s">
        <v>73</v>
      </c>
      <c r="G181" s="77" t="s">
        <v>74</v>
      </c>
      <c r="H181" s="77" t="s">
        <v>127</v>
      </c>
      <c r="I181" s="77" t="s">
        <v>84</v>
      </c>
      <c r="J181" s="76">
        <v>0</v>
      </c>
    </row>
    <row r="182" spans="1:10" x14ac:dyDescent="0.35">
      <c r="A182" t="s">
        <v>13</v>
      </c>
      <c r="B182" t="s">
        <v>33</v>
      </c>
      <c r="C182" s="77" t="s">
        <v>91</v>
      </c>
      <c r="D182" t="s">
        <v>81</v>
      </c>
      <c r="E182" s="77" t="s">
        <v>119</v>
      </c>
      <c r="F182" s="77" t="s">
        <v>73</v>
      </c>
      <c r="G182" s="77" t="s">
        <v>74</v>
      </c>
      <c r="H182" s="77" t="s">
        <v>127</v>
      </c>
      <c r="I182" s="77" t="s">
        <v>84</v>
      </c>
      <c r="J182" s="76">
        <f>'SUT_EU27 total'!$M$73</f>
        <v>0.15097500908393557</v>
      </c>
    </row>
    <row r="183" spans="1:10" x14ac:dyDescent="0.35">
      <c r="A183" t="s">
        <v>13</v>
      </c>
      <c r="B183" t="s">
        <v>33</v>
      </c>
      <c r="C183" s="77" t="s">
        <v>91</v>
      </c>
      <c r="D183" t="s">
        <v>81</v>
      </c>
      <c r="E183" s="77" t="s">
        <v>124</v>
      </c>
      <c r="F183" s="77" t="s">
        <v>73</v>
      </c>
      <c r="G183" s="77" t="s">
        <v>74</v>
      </c>
      <c r="H183" s="77" t="s">
        <v>127</v>
      </c>
      <c r="I183" s="77" t="s">
        <v>84</v>
      </c>
      <c r="J183" s="76" cm="1">
        <f t="array" ref="J183:J191">'SUT_EU27 total'!$M$77:$M$85</f>
        <v>6.7728942399646885E-5</v>
      </c>
    </row>
    <row r="184" spans="1:10" x14ac:dyDescent="0.35">
      <c r="A184" t="s">
        <v>13</v>
      </c>
      <c r="B184" t="s">
        <v>33</v>
      </c>
      <c r="C184" s="77" t="s">
        <v>91</v>
      </c>
      <c r="D184" t="s">
        <v>81</v>
      </c>
      <c r="E184" s="77" t="s">
        <v>117</v>
      </c>
      <c r="F184" s="77" t="s">
        <v>73</v>
      </c>
      <c r="G184" s="77" t="s">
        <v>74</v>
      </c>
      <c r="H184" s="77" t="s">
        <v>127</v>
      </c>
      <c r="I184" s="77" t="s">
        <v>84</v>
      </c>
      <c r="J184" s="76">
        <v>5.6233849622410815E-3</v>
      </c>
    </row>
    <row r="185" spans="1:10" x14ac:dyDescent="0.35">
      <c r="A185" t="s">
        <v>13</v>
      </c>
      <c r="B185" t="s">
        <v>33</v>
      </c>
      <c r="C185" s="77" t="s">
        <v>91</v>
      </c>
      <c r="D185" t="s">
        <v>81</v>
      </c>
      <c r="E185" s="77" t="s">
        <v>82</v>
      </c>
      <c r="F185" s="77" t="s">
        <v>73</v>
      </c>
      <c r="G185" s="77" t="s">
        <v>74</v>
      </c>
      <c r="H185" s="77" t="s">
        <v>127</v>
      </c>
      <c r="I185" s="77" t="s">
        <v>84</v>
      </c>
      <c r="J185" s="76">
        <v>1.8068055269127655E-3</v>
      </c>
    </row>
    <row r="186" spans="1:10" x14ac:dyDescent="0.35">
      <c r="A186" t="s">
        <v>13</v>
      </c>
      <c r="B186" t="s">
        <v>33</v>
      </c>
      <c r="C186" s="77" t="s">
        <v>91</v>
      </c>
      <c r="D186" t="s">
        <v>81</v>
      </c>
      <c r="E186" s="77" t="s">
        <v>125</v>
      </c>
      <c r="F186" s="77" t="s">
        <v>73</v>
      </c>
      <c r="G186" s="77" t="s">
        <v>74</v>
      </c>
      <c r="H186" s="77" t="s">
        <v>127</v>
      </c>
      <c r="I186" s="77" t="s">
        <v>84</v>
      </c>
      <c r="J186" s="76">
        <v>5.6492118062760293E-6</v>
      </c>
    </row>
    <row r="187" spans="1:10" x14ac:dyDescent="0.35">
      <c r="A187" t="s">
        <v>13</v>
      </c>
      <c r="B187" t="s">
        <v>33</v>
      </c>
      <c r="C187" s="77" t="s">
        <v>91</v>
      </c>
      <c r="D187" t="s">
        <v>81</v>
      </c>
      <c r="E187" s="77" t="s">
        <v>122</v>
      </c>
      <c r="F187" s="77" t="s">
        <v>73</v>
      </c>
      <c r="G187" s="77" t="s">
        <v>74</v>
      </c>
      <c r="H187" s="77" t="s">
        <v>127</v>
      </c>
      <c r="I187" s="77" t="s">
        <v>84</v>
      </c>
      <c r="J187" s="76">
        <v>0</v>
      </c>
    </row>
    <row r="188" spans="1:10" x14ac:dyDescent="0.35">
      <c r="A188" t="s">
        <v>13</v>
      </c>
      <c r="B188" t="s">
        <v>33</v>
      </c>
      <c r="C188" s="77" t="s">
        <v>91</v>
      </c>
      <c r="D188" t="s">
        <v>81</v>
      </c>
      <c r="E188" s="77" t="s">
        <v>126</v>
      </c>
      <c r="F188" s="77" t="s">
        <v>73</v>
      </c>
      <c r="G188" s="77" t="s">
        <v>74</v>
      </c>
      <c r="H188" s="77" t="s">
        <v>127</v>
      </c>
      <c r="I188" s="77" t="s">
        <v>84</v>
      </c>
      <c r="J188" s="76">
        <v>8.1093795177776388E-4</v>
      </c>
    </row>
    <row r="189" spans="1:10" x14ac:dyDescent="0.35">
      <c r="A189" t="s">
        <v>13</v>
      </c>
      <c r="B189" t="s">
        <v>33</v>
      </c>
      <c r="C189" s="77" t="s">
        <v>91</v>
      </c>
      <c r="D189" t="s">
        <v>81</v>
      </c>
      <c r="E189" s="77" t="s">
        <v>101</v>
      </c>
      <c r="F189" s="77" t="s">
        <v>73</v>
      </c>
      <c r="G189" s="77" t="s">
        <v>74</v>
      </c>
      <c r="H189" s="77" t="s">
        <v>127</v>
      </c>
      <c r="I189" s="77" t="s">
        <v>84</v>
      </c>
      <c r="J189" s="76">
        <v>0</v>
      </c>
    </row>
    <row r="190" spans="1:10" x14ac:dyDescent="0.35">
      <c r="A190" t="s">
        <v>13</v>
      </c>
      <c r="B190" t="s">
        <v>33</v>
      </c>
      <c r="C190" s="77" t="s">
        <v>91</v>
      </c>
      <c r="D190" t="s">
        <v>81</v>
      </c>
      <c r="E190" s="77" t="s">
        <v>104</v>
      </c>
      <c r="F190" s="77" t="s">
        <v>73</v>
      </c>
      <c r="G190" s="77" t="s">
        <v>74</v>
      </c>
      <c r="H190" s="77" t="s">
        <v>127</v>
      </c>
      <c r="I190" s="77" t="s">
        <v>84</v>
      </c>
      <c r="J190" s="76">
        <v>0</v>
      </c>
    </row>
    <row r="191" spans="1:10" x14ac:dyDescent="0.35">
      <c r="A191" t="s">
        <v>13</v>
      </c>
      <c r="B191" t="s">
        <v>33</v>
      </c>
      <c r="C191" s="77" t="s">
        <v>91</v>
      </c>
      <c r="D191" t="s">
        <v>81</v>
      </c>
      <c r="E191" s="77" t="s">
        <v>106</v>
      </c>
      <c r="F191" s="77" t="s">
        <v>73</v>
      </c>
      <c r="G191" s="77" t="s">
        <v>74</v>
      </c>
      <c r="H191" s="77" t="s">
        <v>127</v>
      </c>
      <c r="I191" s="77" t="s">
        <v>84</v>
      </c>
      <c r="J191" s="76">
        <v>0</v>
      </c>
    </row>
    <row r="192" spans="1:10" x14ac:dyDescent="0.35">
      <c r="A192" t="s">
        <v>13</v>
      </c>
      <c r="B192" t="s">
        <v>33</v>
      </c>
      <c r="C192" s="77" t="s">
        <v>92</v>
      </c>
      <c r="D192" t="s">
        <v>81</v>
      </c>
      <c r="E192" s="77" t="s">
        <v>119</v>
      </c>
      <c r="F192" s="77" t="s">
        <v>73</v>
      </c>
      <c r="G192" s="77" t="s">
        <v>74</v>
      </c>
      <c r="H192" s="77" t="s">
        <v>127</v>
      </c>
      <c r="I192" s="77" t="s">
        <v>84</v>
      </c>
      <c r="J192" s="76">
        <f>'SUT_EU27 total'!$M$90</f>
        <v>0.13886309499777949</v>
      </c>
    </row>
    <row r="193" spans="1:10" x14ac:dyDescent="0.35">
      <c r="A193" t="s">
        <v>13</v>
      </c>
      <c r="B193" t="s">
        <v>33</v>
      </c>
      <c r="C193" s="77" t="s">
        <v>92</v>
      </c>
      <c r="D193" t="s">
        <v>81</v>
      </c>
      <c r="E193" s="77" t="s">
        <v>124</v>
      </c>
      <c r="F193" s="77" t="s">
        <v>73</v>
      </c>
      <c r="G193" s="77" t="s">
        <v>74</v>
      </c>
      <c r="H193" s="77" t="s">
        <v>127</v>
      </c>
      <c r="I193" s="77" t="s">
        <v>84</v>
      </c>
      <c r="J193" s="76" cm="1">
        <f t="array" ref="J193:J201">'SUT_EU27 total'!$M$94:$M$102</f>
        <v>9.2968907089085616E-5</v>
      </c>
    </row>
    <row r="194" spans="1:10" x14ac:dyDescent="0.35">
      <c r="A194" t="s">
        <v>13</v>
      </c>
      <c r="B194" t="s">
        <v>33</v>
      </c>
      <c r="C194" s="77" t="s">
        <v>92</v>
      </c>
      <c r="D194" t="s">
        <v>81</v>
      </c>
      <c r="E194" s="77" t="s">
        <v>117</v>
      </c>
      <c r="F194" s="77" t="s">
        <v>73</v>
      </c>
      <c r="G194" s="77" t="s">
        <v>74</v>
      </c>
      <c r="H194" s="77" t="s">
        <v>127</v>
      </c>
      <c r="I194" s="77" t="s">
        <v>84</v>
      </c>
      <c r="J194" s="76">
        <v>0</v>
      </c>
    </row>
    <row r="195" spans="1:10" x14ac:dyDescent="0.35">
      <c r="A195" t="s">
        <v>13</v>
      </c>
      <c r="B195" t="s">
        <v>33</v>
      </c>
      <c r="C195" s="77" t="s">
        <v>92</v>
      </c>
      <c r="D195" t="s">
        <v>81</v>
      </c>
      <c r="E195" s="77" t="s">
        <v>82</v>
      </c>
      <c r="F195" s="77" t="s">
        <v>73</v>
      </c>
      <c r="G195" s="77" t="s">
        <v>74</v>
      </c>
      <c r="H195" s="77" t="s">
        <v>127</v>
      </c>
      <c r="I195" s="77" t="s">
        <v>84</v>
      </c>
      <c r="J195" s="76">
        <v>1.1251392039595793E-3</v>
      </c>
    </row>
    <row r="196" spans="1:10" x14ac:dyDescent="0.35">
      <c r="A196" t="s">
        <v>13</v>
      </c>
      <c r="B196" t="s">
        <v>33</v>
      </c>
      <c r="C196" s="77" t="s">
        <v>92</v>
      </c>
      <c r="D196" t="s">
        <v>81</v>
      </c>
      <c r="E196" s="77" t="s">
        <v>125</v>
      </c>
      <c r="F196" s="77" t="s">
        <v>73</v>
      </c>
      <c r="G196" s="77" t="s">
        <v>74</v>
      </c>
      <c r="H196" s="77" t="s">
        <v>127</v>
      </c>
      <c r="I196" s="77" t="s">
        <v>84</v>
      </c>
      <c r="J196" s="76">
        <v>5.0048817841215026E-7</v>
      </c>
    </row>
    <row r="197" spans="1:10" x14ac:dyDescent="0.35">
      <c r="A197" t="s">
        <v>13</v>
      </c>
      <c r="B197" t="s">
        <v>33</v>
      </c>
      <c r="C197" s="77" t="s">
        <v>92</v>
      </c>
      <c r="D197" t="s">
        <v>81</v>
      </c>
      <c r="E197" s="77" t="s">
        <v>122</v>
      </c>
      <c r="F197" s="77" t="s">
        <v>73</v>
      </c>
      <c r="G197" s="77" t="s">
        <v>74</v>
      </c>
      <c r="H197" s="77" t="s">
        <v>127</v>
      </c>
      <c r="I197" s="77" t="s">
        <v>84</v>
      </c>
      <c r="J197" s="76">
        <v>0</v>
      </c>
    </row>
    <row r="198" spans="1:10" x14ac:dyDescent="0.35">
      <c r="A198" t="s">
        <v>13</v>
      </c>
      <c r="B198" t="s">
        <v>33</v>
      </c>
      <c r="C198" s="77" t="s">
        <v>92</v>
      </c>
      <c r="D198" t="s">
        <v>81</v>
      </c>
      <c r="E198" s="77" t="s">
        <v>126</v>
      </c>
      <c r="F198" s="77" t="s">
        <v>73</v>
      </c>
      <c r="G198" s="77" t="s">
        <v>74</v>
      </c>
      <c r="H198" s="77" t="s">
        <v>127</v>
      </c>
      <c r="I198" s="77" t="s">
        <v>84</v>
      </c>
      <c r="J198" s="76">
        <v>0</v>
      </c>
    </row>
    <row r="199" spans="1:10" x14ac:dyDescent="0.35">
      <c r="A199" t="s">
        <v>13</v>
      </c>
      <c r="B199" t="s">
        <v>33</v>
      </c>
      <c r="C199" s="77" t="s">
        <v>92</v>
      </c>
      <c r="D199" t="s">
        <v>81</v>
      </c>
      <c r="E199" s="77" t="s">
        <v>101</v>
      </c>
      <c r="F199" s="77" t="s">
        <v>73</v>
      </c>
      <c r="G199" s="77" t="s">
        <v>74</v>
      </c>
      <c r="H199" s="77" t="s">
        <v>127</v>
      </c>
      <c r="I199" s="77" t="s">
        <v>84</v>
      </c>
      <c r="J199" s="76">
        <v>0</v>
      </c>
    </row>
    <row r="200" spans="1:10" x14ac:dyDescent="0.35">
      <c r="A200" t="s">
        <v>13</v>
      </c>
      <c r="B200" t="s">
        <v>33</v>
      </c>
      <c r="C200" s="77" t="s">
        <v>92</v>
      </c>
      <c r="D200" t="s">
        <v>81</v>
      </c>
      <c r="E200" s="77" t="s">
        <v>104</v>
      </c>
      <c r="F200" s="77" t="s">
        <v>73</v>
      </c>
      <c r="G200" s="77" t="s">
        <v>74</v>
      </c>
      <c r="H200" s="77" t="s">
        <v>127</v>
      </c>
      <c r="I200" s="77" t="s">
        <v>84</v>
      </c>
      <c r="J200" s="76">
        <v>0</v>
      </c>
    </row>
    <row r="201" spans="1:10" x14ac:dyDescent="0.35">
      <c r="A201" t="s">
        <v>13</v>
      </c>
      <c r="B201" t="s">
        <v>33</v>
      </c>
      <c r="C201" s="77" t="s">
        <v>92</v>
      </c>
      <c r="D201" t="s">
        <v>81</v>
      </c>
      <c r="E201" s="77" t="s">
        <v>106</v>
      </c>
      <c r="F201" s="77" t="s">
        <v>73</v>
      </c>
      <c r="G201" s="77" t="s">
        <v>74</v>
      </c>
      <c r="H201" s="77" t="s">
        <v>127</v>
      </c>
      <c r="I201" s="77" t="s">
        <v>84</v>
      </c>
      <c r="J201" s="76">
        <v>0</v>
      </c>
    </row>
    <row r="202" spans="1:10" x14ac:dyDescent="0.35">
      <c r="A202" t="s">
        <v>13</v>
      </c>
      <c r="B202" t="s">
        <v>33</v>
      </c>
      <c r="C202" s="77" t="s">
        <v>93</v>
      </c>
      <c r="D202" t="s">
        <v>81</v>
      </c>
      <c r="E202" s="77" t="s">
        <v>119</v>
      </c>
      <c r="F202" s="77" t="s">
        <v>73</v>
      </c>
      <c r="G202" s="77" t="s">
        <v>74</v>
      </c>
      <c r="H202" s="77" t="s">
        <v>127</v>
      </c>
      <c r="I202" s="77" t="s">
        <v>84</v>
      </c>
      <c r="J202" s="76">
        <f>'SUT_EU27 total'!$M$107</f>
        <v>1.0000807460939076</v>
      </c>
    </row>
    <row r="203" spans="1:10" x14ac:dyDescent="0.35">
      <c r="A203" t="s">
        <v>13</v>
      </c>
      <c r="B203" t="s">
        <v>33</v>
      </c>
      <c r="C203" s="77" t="s">
        <v>93</v>
      </c>
      <c r="D203" t="s">
        <v>81</v>
      </c>
      <c r="E203" s="77" t="s">
        <v>124</v>
      </c>
      <c r="F203" s="77" t="s">
        <v>73</v>
      </c>
      <c r="G203" s="77" t="s">
        <v>74</v>
      </c>
      <c r="H203" s="77" t="s">
        <v>127</v>
      </c>
      <c r="I203" s="77" t="s">
        <v>84</v>
      </c>
      <c r="J203" s="76" cm="1">
        <f t="array" ref="J203:J211">'SUT_EU27 total'!$M$111:$M$119</f>
        <v>3.7052409430862396E-4</v>
      </c>
    </row>
    <row r="204" spans="1:10" x14ac:dyDescent="0.35">
      <c r="A204" t="s">
        <v>13</v>
      </c>
      <c r="B204" t="s">
        <v>33</v>
      </c>
      <c r="C204" s="77" t="s">
        <v>93</v>
      </c>
      <c r="D204" t="s">
        <v>81</v>
      </c>
      <c r="E204" s="77" t="s">
        <v>117</v>
      </c>
      <c r="F204" s="77" t="s">
        <v>73</v>
      </c>
      <c r="G204" s="77" t="s">
        <v>74</v>
      </c>
      <c r="H204" s="77" t="s">
        <v>127</v>
      </c>
      <c r="I204" s="77" t="s">
        <v>84</v>
      </c>
      <c r="J204" s="76">
        <v>5.8414042458127093E-3</v>
      </c>
    </row>
    <row r="205" spans="1:10" x14ac:dyDescent="0.35">
      <c r="A205" t="s">
        <v>13</v>
      </c>
      <c r="B205" t="s">
        <v>33</v>
      </c>
      <c r="C205" s="77" t="s">
        <v>93</v>
      </c>
      <c r="D205" t="s">
        <v>81</v>
      </c>
      <c r="E205" s="77" t="s">
        <v>82</v>
      </c>
      <c r="F205" s="77" t="s">
        <v>73</v>
      </c>
      <c r="G205" s="77" t="s">
        <v>74</v>
      </c>
      <c r="H205" s="77" t="s">
        <v>127</v>
      </c>
      <c r="I205" s="77" t="s">
        <v>84</v>
      </c>
      <c r="J205" s="76">
        <v>5.0319447308723453E-3</v>
      </c>
    </row>
    <row r="206" spans="1:10" x14ac:dyDescent="0.35">
      <c r="A206" t="s">
        <v>13</v>
      </c>
      <c r="B206" t="s">
        <v>33</v>
      </c>
      <c r="C206" s="77" t="s">
        <v>93</v>
      </c>
      <c r="D206" t="s">
        <v>81</v>
      </c>
      <c r="E206" s="77" t="s">
        <v>125</v>
      </c>
      <c r="F206" s="77" t="s">
        <v>73</v>
      </c>
      <c r="G206" s="77" t="s">
        <v>74</v>
      </c>
      <c r="H206" s="77" t="s">
        <v>127</v>
      </c>
      <c r="I206" s="77" t="s">
        <v>84</v>
      </c>
      <c r="J206" s="76">
        <v>4.336096678710085E-4</v>
      </c>
    </row>
    <row r="207" spans="1:10" x14ac:dyDescent="0.35">
      <c r="A207" t="s">
        <v>13</v>
      </c>
      <c r="B207" t="s">
        <v>33</v>
      </c>
      <c r="C207" s="77" t="s">
        <v>93</v>
      </c>
      <c r="D207" t="s">
        <v>81</v>
      </c>
      <c r="E207" s="77" t="s">
        <v>122</v>
      </c>
      <c r="F207" s="77" t="s">
        <v>73</v>
      </c>
      <c r="G207" s="77" t="s">
        <v>74</v>
      </c>
      <c r="H207" s="77" t="s">
        <v>127</v>
      </c>
      <c r="I207" s="77" t="s">
        <v>84</v>
      </c>
      <c r="J207" s="76">
        <v>2.7129607609988112E-3</v>
      </c>
    </row>
    <row r="208" spans="1:10" x14ac:dyDescent="0.35">
      <c r="A208" t="s">
        <v>13</v>
      </c>
      <c r="B208" t="s">
        <v>33</v>
      </c>
      <c r="C208" s="77" t="s">
        <v>93</v>
      </c>
      <c r="D208" t="s">
        <v>81</v>
      </c>
      <c r="E208" s="77" t="s">
        <v>126</v>
      </c>
      <c r="F208" s="77" t="s">
        <v>73</v>
      </c>
      <c r="G208" s="77" t="s">
        <v>74</v>
      </c>
      <c r="H208" s="77" t="s">
        <v>127</v>
      </c>
      <c r="I208" s="77" t="s">
        <v>84</v>
      </c>
      <c r="J208" s="76">
        <v>4.3855511603587784E-2</v>
      </c>
    </row>
    <row r="209" spans="1:10" x14ac:dyDescent="0.35">
      <c r="A209" t="s">
        <v>13</v>
      </c>
      <c r="B209" t="s">
        <v>33</v>
      </c>
      <c r="C209" s="77" t="s">
        <v>93</v>
      </c>
      <c r="D209" t="s">
        <v>81</v>
      </c>
      <c r="E209" s="77" t="s">
        <v>101</v>
      </c>
      <c r="F209" s="77" t="s">
        <v>73</v>
      </c>
      <c r="G209" s="77" t="s">
        <v>74</v>
      </c>
      <c r="H209" s="77" t="s">
        <v>127</v>
      </c>
      <c r="I209" s="77" t="s">
        <v>84</v>
      </c>
      <c r="J209" s="76">
        <v>0</v>
      </c>
    </row>
    <row r="210" spans="1:10" x14ac:dyDescent="0.35">
      <c r="A210" t="s">
        <v>13</v>
      </c>
      <c r="B210" t="s">
        <v>33</v>
      </c>
      <c r="C210" s="77" t="s">
        <v>93</v>
      </c>
      <c r="D210" t="s">
        <v>81</v>
      </c>
      <c r="E210" s="77" t="s">
        <v>104</v>
      </c>
      <c r="F210" s="77" t="s">
        <v>73</v>
      </c>
      <c r="G210" s="77" t="s">
        <v>74</v>
      </c>
      <c r="H210" s="77" t="s">
        <v>127</v>
      </c>
      <c r="I210" s="77" t="s">
        <v>84</v>
      </c>
      <c r="J210" s="76">
        <v>0</v>
      </c>
    </row>
    <row r="211" spans="1:10" x14ac:dyDescent="0.35">
      <c r="A211" t="s">
        <v>13</v>
      </c>
      <c r="B211" t="s">
        <v>33</v>
      </c>
      <c r="C211" s="77" t="s">
        <v>93</v>
      </c>
      <c r="D211" t="s">
        <v>81</v>
      </c>
      <c r="E211" s="77" t="s">
        <v>106</v>
      </c>
      <c r="F211" s="77" t="s">
        <v>73</v>
      </c>
      <c r="G211" s="77" t="s">
        <v>74</v>
      </c>
      <c r="H211" s="77" t="s">
        <v>127</v>
      </c>
      <c r="I211" s="77" t="s">
        <v>84</v>
      </c>
      <c r="J211" s="76">
        <v>0</v>
      </c>
    </row>
    <row r="212" spans="1:10" x14ac:dyDescent="0.35">
      <c r="A212" t="s">
        <v>13</v>
      </c>
      <c r="B212" t="s">
        <v>33</v>
      </c>
      <c r="C212" s="77" t="s">
        <v>73</v>
      </c>
      <c r="D212" t="s">
        <v>81</v>
      </c>
      <c r="E212" s="77" t="s">
        <v>82</v>
      </c>
      <c r="F212" s="77" t="s">
        <v>73</v>
      </c>
      <c r="G212" s="77" t="s">
        <v>74</v>
      </c>
      <c r="H212" s="77" t="s">
        <v>128</v>
      </c>
      <c r="I212" s="77" t="s">
        <v>84</v>
      </c>
      <c r="J212" s="465" cm="1">
        <f t="array" ref="J212:J235">Sensitivity!J18:J41</f>
        <v>2.6760974214171465E-4</v>
      </c>
    </row>
    <row r="213" spans="1:10" x14ac:dyDescent="0.35">
      <c r="A213" t="s">
        <v>13</v>
      </c>
      <c r="B213" t="s">
        <v>33</v>
      </c>
      <c r="C213" s="77" t="s">
        <v>73</v>
      </c>
      <c r="D213" t="s">
        <v>81</v>
      </c>
      <c r="E213" s="77" t="s">
        <v>86</v>
      </c>
      <c r="F213" s="77" t="s">
        <v>73</v>
      </c>
      <c r="G213" s="77" t="s">
        <v>74</v>
      </c>
      <c r="H213" s="77" t="s">
        <v>128</v>
      </c>
      <c r="I213" s="77" t="s">
        <v>84</v>
      </c>
      <c r="J213" s="465">
        <v>3.7016175236971698E-3</v>
      </c>
    </row>
    <row r="214" spans="1:10" x14ac:dyDescent="0.35">
      <c r="A214" t="s">
        <v>13</v>
      </c>
      <c r="B214" t="s">
        <v>33</v>
      </c>
      <c r="C214" s="77" t="s">
        <v>88</v>
      </c>
      <c r="D214" t="s">
        <v>81</v>
      </c>
      <c r="E214" s="77" t="s">
        <v>82</v>
      </c>
      <c r="F214" s="77" t="s">
        <v>73</v>
      </c>
      <c r="G214" s="77" t="s">
        <v>74</v>
      </c>
      <c r="H214" s="77" t="s">
        <v>128</v>
      </c>
      <c r="I214" s="77" t="s">
        <v>84</v>
      </c>
      <c r="J214" s="465">
        <v>1.6846497285095353E-4</v>
      </c>
    </row>
    <row r="215" spans="1:10" x14ac:dyDescent="0.35">
      <c r="A215" t="s">
        <v>13</v>
      </c>
      <c r="B215" t="s">
        <v>33</v>
      </c>
      <c r="C215" s="77" t="s">
        <v>88</v>
      </c>
      <c r="D215" t="s">
        <v>81</v>
      </c>
      <c r="E215" s="77" t="s">
        <v>86</v>
      </c>
      <c r="F215" s="77" t="s">
        <v>73</v>
      </c>
      <c r="G215" s="77" t="s">
        <v>74</v>
      </c>
      <c r="H215" s="77" t="s">
        <v>128</v>
      </c>
      <c r="I215" s="77" t="s">
        <v>84</v>
      </c>
      <c r="J215" s="465">
        <v>8.3841145981034843E-2</v>
      </c>
    </row>
    <row r="216" spans="1:10" x14ac:dyDescent="0.35">
      <c r="A216" t="s">
        <v>13</v>
      </c>
      <c r="B216" t="s">
        <v>33</v>
      </c>
      <c r="C216" s="77" t="s">
        <v>90</v>
      </c>
      <c r="D216" t="s">
        <v>81</v>
      </c>
      <c r="E216" s="77" t="s">
        <v>82</v>
      </c>
      <c r="F216" s="77" t="s">
        <v>73</v>
      </c>
      <c r="G216" s="77" t="s">
        <v>74</v>
      </c>
      <c r="H216" s="77" t="s">
        <v>128</v>
      </c>
      <c r="I216" s="77" t="s">
        <v>84</v>
      </c>
      <c r="J216" s="465">
        <v>4.0529696913112775E-8</v>
      </c>
    </row>
    <row r="217" spans="1:10" x14ac:dyDescent="0.35">
      <c r="A217" t="s">
        <v>13</v>
      </c>
      <c r="B217" t="s">
        <v>33</v>
      </c>
      <c r="C217" s="77" t="s">
        <v>90</v>
      </c>
      <c r="D217" t="s">
        <v>81</v>
      </c>
      <c r="E217" s="77" t="s">
        <v>86</v>
      </c>
      <c r="F217" s="77" t="s">
        <v>73</v>
      </c>
      <c r="G217" s="77" t="s">
        <v>74</v>
      </c>
      <c r="H217" s="77" t="s">
        <v>128</v>
      </c>
      <c r="I217" s="77" t="s">
        <v>84</v>
      </c>
      <c r="J217" s="465">
        <v>1.0973937716142008E-2</v>
      </c>
    </row>
    <row r="218" spans="1:10" x14ac:dyDescent="0.35">
      <c r="A218" t="s">
        <v>13</v>
      </c>
      <c r="B218" t="s">
        <v>33</v>
      </c>
      <c r="C218" s="77" t="s">
        <v>91</v>
      </c>
      <c r="D218" t="s">
        <v>81</v>
      </c>
      <c r="E218" s="77" t="s">
        <v>82</v>
      </c>
      <c r="F218" s="77" t="s">
        <v>73</v>
      </c>
      <c r="G218" s="77" t="s">
        <v>74</v>
      </c>
      <c r="H218" s="77" t="s">
        <v>128</v>
      </c>
      <c r="I218" s="77" t="s">
        <v>84</v>
      </c>
      <c r="J218" s="465">
        <v>7.8859787450203447E-6</v>
      </c>
    </row>
    <row r="219" spans="1:10" x14ac:dyDescent="0.35">
      <c r="A219" t="s">
        <v>13</v>
      </c>
      <c r="B219" t="s">
        <v>33</v>
      </c>
      <c r="C219" s="77" t="s">
        <v>91</v>
      </c>
      <c r="D219" t="s">
        <v>81</v>
      </c>
      <c r="E219" s="77" t="s">
        <v>86</v>
      </c>
      <c r="F219" s="77" t="s">
        <v>73</v>
      </c>
      <c r="G219" s="77" t="s">
        <v>74</v>
      </c>
      <c r="H219" s="77" t="s">
        <v>128</v>
      </c>
      <c r="I219" s="77" t="s">
        <v>84</v>
      </c>
      <c r="J219" s="465">
        <v>1.3654419371233061E-2</v>
      </c>
    </row>
    <row r="220" spans="1:10" x14ac:dyDescent="0.35">
      <c r="A220" t="s">
        <v>13</v>
      </c>
      <c r="B220" t="s">
        <v>33</v>
      </c>
      <c r="C220" s="77" t="s">
        <v>92</v>
      </c>
      <c r="D220" t="s">
        <v>81</v>
      </c>
      <c r="E220" s="77" t="s">
        <v>82</v>
      </c>
      <c r="F220" s="77" t="s">
        <v>73</v>
      </c>
      <c r="G220" s="77" t="s">
        <v>74</v>
      </c>
      <c r="H220" s="77" t="s">
        <v>128</v>
      </c>
      <c r="I220" s="77" t="s">
        <v>84</v>
      </c>
      <c r="J220" s="465">
        <v>1.0947328811186329E-5</v>
      </c>
    </row>
    <row r="221" spans="1:10" x14ac:dyDescent="0.35">
      <c r="A221" t="s">
        <v>13</v>
      </c>
      <c r="B221" t="s">
        <v>33</v>
      </c>
      <c r="C221" s="77" t="s">
        <v>92</v>
      </c>
      <c r="D221" t="s">
        <v>81</v>
      </c>
      <c r="E221" s="77" t="s">
        <v>86</v>
      </c>
      <c r="F221" s="77" t="s">
        <v>73</v>
      </c>
      <c r="G221" s="77" t="s">
        <v>74</v>
      </c>
      <c r="H221" s="77" t="s">
        <v>128</v>
      </c>
      <c r="I221" s="77" t="s">
        <v>84</v>
      </c>
      <c r="J221" s="465">
        <v>8.5029198289701558E-3</v>
      </c>
    </row>
    <row r="222" spans="1:10" x14ac:dyDescent="0.35">
      <c r="A222" t="s">
        <v>13</v>
      </c>
      <c r="B222" t="s">
        <v>33</v>
      </c>
      <c r="C222" s="77" t="s">
        <v>93</v>
      </c>
      <c r="D222" t="s">
        <v>81</v>
      </c>
      <c r="E222" s="77" t="s">
        <v>82</v>
      </c>
      <c r="F222" s="77" t="s">
        <v>73</v>
      </c>
      <c r="G222" s="77" t="s">
        <v>74</v>
      </c>
      <c r="H222" s="77" t="s">
        <v>128</v>
      </c>
      <c r="I222" s="77" t="s">
        <v>84</v>
      </c>
      <c r="J222" s="465">
        <v>4.5375221154525037E-5</v>
      </c>
    </row>
    <row r="223" spans="1:10" x14ac:dyDescent="0.35">
      <c r="A223" t="s">
        <v>13</v>
      </c>
      <c r="B223" t="s">
        <v>33</v>
      </c>
      <c r="C223" s="77" t="s">
        <v>93</v>
      </c>
      <c r="D223" t="s">
        <v>81</v>
      </c>
      <c r="E223" s="77" t="s">
        <v>86</v>
      </c>
      <c r="F223" s="77" t="s">
        <v>73</v>
      </c>
      <c r="G223" s="77" t="s">
        <v>74</v>
      </c>
      <c r="H223" s="77" t="s">
        <v>128</v>
      </c>
      <c r="I223" s="77" t="s">
        <v>84</v>
      </c>
      <c r="J223" s="465">
        <v>3.8027492491456601E-2</v>
      </c>
    </row>
    <row r="224" spans="1:10" x14ac:dyDescent="0.35">
      <c r="A224" t="s">
        <v>13</v>
      </c>
      <c r="B224" t="s">
        <v>33</v>
      </c>
      <c r="C224" s="77" t="s">
        <v>73</v>
      </c>
      <c r="D224" t="s">
        <v>81</v>
      </c>
      <c r="E224" s="77" t="s">
        <v>82</v>
      </c>
      <c r="F224" s="77" t="s">
        <v>73</v>
      </c>
      <c r="G224" s="77" t="s">
        <v>74</v>
      </c>
      <c r="H224" s="77" t="s">
        <v>129</v>
      </c>
      <c r="I224" s="77" t="s">
        <v>84</v>
      </c>
      <c r="J224" s="465">
        <v>2.6760974214171465E-4</v>
      </c>
    </row>
    <row r="225" spans="1:10" x14ac:dyDescent="0.35">
      <c r="A225" t="s">
        <v>13</v>
      </c>
      <c r="B225" t="s">
        <v>33</v>
      </c>
      <c r="C225" s="77" t="s">
        <v>73</v>
      </c>
      <c r="D225" t="s">
        <v>81</v>
      </c>
      <c r="E225" s="77" t="s">
        <v>86</v>
      </c>
      <c r="F225" s="77" t="s">
        <v>73</v>
      </c>
      <c r="G225" s="77" t="s">
        <v>74</v>
      </c>
      <c r="H225" s="77" t="s">
        <v>129</v>
      </c>
      <c r="I225" s="77" t="s">
        <v>84</v>
      </c>
      <c r="J225" s="465">
        <v>3.7016175236971698E-3</v>
      </c>
    </row>
    <row r="226" spans="1:10" x14ac:dyDescent="0.35">
      <c r="A226" t="s">
        <v>13</v>
      </c>
      <c r="B226" t="s">
        <v>33</v>
      </c>
      <c r="C226" s="77" t="s">
        <v>88</v>
      </c>
      <c r="D226" t="s">
        <v>81</v>
      </c>
      <c r="E226" s="77" t="s">
        <v>82</v>
      </c>
      <c r="F226" s="77" t="s">
        <v>73</v>
      </c>
      <c r="G226" s="77" t="s">
        <v>74</v>
      </c>
      <c r="H226" s="77" t="s">
        <v>129</v>
      </c>
      <c r="I226" s="77" t="s">
        <v>84</v>
      </c>
      <c r="J226" s="465">
        <v>1.6846497285095353E-4</v>
      </c>
    </row>
    <row r="227" spans="1:10" x14ac:dyDescent="0.35">
      <c r="A227" t="s">
        <v>13</v>
      </c>
      <c r="B227" t="s">
        <v>33</v>
      </c>
      <c r="C227" s="77" t="s">
        <v>88</v>
      </c>
      <c r="D227" t="s">
        <v>81</v>
      </c>
      <c r="E227" s="77" t="s">
        <v>86</v>
      </c>
      <c r="F227" s="77" t="s">
        <v>73</v>
      </c>
      <c r="G227" s="77" t="s">
        <v>74</v>
      </c>
      <c r="H227" s="77" t="s">
        <v>129</v>
      </c>
      <c r="I227" s="77" t="s">
        <v>84</v>
      </c>
      <c r="J227" s="465">
        <v>8.3841145981034843E-2</v>
      </c>
    </row>
    <row r="228" spans="1:10" x14ac:dyDescent="0.35">
      <c r="A228" t="s">
        <v>13</v>
      </c>
      <c r="B228" t="s">
        <v>33</v>
      </c>
      <c r="C228" s="77" t="s">
        <v>90</v>
      </c>
      <c r="D228" t="s">
        <v>81</v>
      </c>
      <c r="E228" s="77" t="s">
        <v>82</v>
      </c>
      <c r="F228" s="77" t="s">
        <v>73</v>
      </c>
      <c r="G228" s="77" t="s">
        <v>74</v>
      </c>
      <c r="H228" s="77" t="s">
        <v>129</v>
      </c>
      <c r="I228" s="77" t="s">
        <v>84</v>
      </c>
      <c r="J228" s="465">
        <v>4.0529696913112775E-8</v>
      </c>
    </row>
    <row r="229" spans="1:10" x14ac:dyDescent="0.35">
      <c r="A229" t="s">
        <v>13</v>
      </c>
      <c r="B229" t="s">
        <v>33</v>
      </c>
      <c r="C229" s="77" t="s">
        <v>90</v>
      </c>
      <c r="D229" t="s">
        <v>81</v>
      </c>
      <c r="E229" s="77" t="s">
        <v>86</v>
      </c>
      <c r="F229" s="77" t="s">
        <v>73</v>
      </c>
      <c r="G229" s="77" t="s">
        <v>74</v>
      </c>
      <c r="H229" s="77" t="s">
        <v>129</v>
      </c>
      <c r="I229" s="77" t="s">
        <v>84</v>
      </c>
      <c r="J229" s="465">
        <v>1.0973937716142008E-2</v>
      </c>
    </row>
    <row r="230" spans="1:10" x14ac:dyDescent="0.35">
      <c r="A230" t="s">
        <v>13</v>
      </c>
      <c r="B230" t="s">
        <v>33</v>
      </c>
      <c r="C230" s="77" t="s">
        <v>91</v>
      </c>
      <c r="D230" t="s">
        <v>81</v>
      </c>
      <c r="E230" s="77" t="s">
        <v>82</v>
      </c>
      <c r="F230" s="77" t="s">
        <v>73</v>
      </c>
      <c r="G230" s="77" t="s">
        <v>74</v>
      </c>
      <c r="H230" s="77" t="s">
        <v>129</v>
      </c>
      <c r="I230" s="77" t="s">
        <v>84</v>
      </c>
      <c r="J230" s="465">
        <v>7.8859787450203447E-6</v>
      </c>
    </row>
    <row r="231" spans="1:10" x14ac:dyDescent="0.35">
      <c r="A231" t="s">
        <v>13</v>
      </c>
      <c r="B231" t="s">
        <v>33</v>
      </c>
      <c r="C231" s="77" t="s">
        <v>91</v>
      </c>
      <c r="D231" t="s">
        <v>81</v>
      </c>
      <c r="E231" s="77" t="s">
        <v>86</v>
      </c>
      <c r="F231" s="77" t="s">
        <v>73</v>
      </c>
      <c r="G231" s="77" t="s">
        <v>74</v>
      </c>
      <c r="H231" s="77" t="s">
        <v>129</v>
      </c>
      <c r="I231" s="77" t="s">
        <v>84</v>
      </c>
      <c r="J231" s="465">
        <v>1.3654419371233061E-2</v>
      </c>
    </row>
    <row r="232" spans="1:10" x14ac:dyDescent="0.35">
      <c r="A232" t="s">
        <v>13</v>
      </c>
      <c r="B232" t="s">
        <v>33</v>
      </c>
      <c r="C232" s="77" t="s">
        <v>92</v>
      </c>
      <c r="D232" t="s">
        <v>81</v>
      </c>
      <c r="E232" s="77" t="s">
        <v>82</v>
      </c>
      <c r="F232" s="77" t="s">
        <v>73</v>
      </c>
      <c r="G232" s="77" t="s">
        <v>74</v>
      </c>
      <c r="H232" s="77" t="s">
        <v>129</v>
      </c>
      <c r="I232" s="77" t="s">
        <v>84</v>
      </c>
      <c r="J232" s="465">
        <v>1.0947328811186329E-5</v>
      </c>
    </row>
    <row r="233" spans="1:10" x14ac:dyDescent="0.35">
      <c r="A233" t="s">
        <v>13</v>
      </c>
      <c r="B233" t="s">
        <v>33</v>
      </c>
      <c r="C233" s="77" t="s">
        <v>92</v>
      </c>
      <c r="D233" t="s">
        <v>81</v>
      </c>
      <c r="E233" s="77" t="s">
        <v>86</v>
      </c>
      <c r="F233" s="77" t="s">
        <v>73</v>
      </c>
      <c r="G233" s="77" t="s">
        <v>74</v>
      </c>
      <c r="H233" s="77" t="s">
        <v>129</v>
      </c>
      <c r="I233" s="77" t="s">
        <v>84</v>
      </c>
      <c r="J233" s="465">
        <v>8.5029198289701558E-3</v>
      </c>
    </row>
    <row r="234" spans="1:10" x14ac:dyDescent="0.35">
      <c r="A234" t="s">
        <v>13</v>
      </c>
      <c r="B234" t="s">
        <v>33</v>
      </c>
      <c r="C234" s="77" t="s">
        <v>93</v>
      </c>
      <c r="D234" t="s">
        <v>81</v>
      </c>
      <c r="E234" s="77" t="s">
        <v>82</v>
      </c>
      <c r="F234" s="77" t="s">
        <v>73</v>
      </c>
      <c r="G234" s="77" t="s">
        <v>74</v>
      </c>
      <c r="H234" s="77" t="s">
        <v>129</v>
      </c>
      <c r="I234" s="77" t="s">
        <v>84</v>
      </c>
      <c r="J234" s="465">
        <v>4.5375221154525037E-5</v>
      </c>
    </row>
    <row r="235" spans="1:10" x14ac:dyDescent="0.35">
      <c r="A235" t="s">
        <v>13</v>
      </c>
      <c r="B235" t="s">
        <v>33</v>
      </c>
      <c r="C235" s="77" t="s">
        <v>93</v>
      </c>
      <c r="D235" t="s">
        <v>81</v>
      </c>
      <c r="E235" s="77" t="s">
        <v>86</v>
      </c>
      <c r="F235" s="77" t="s">
        <v>73</v>
      </c>
      <c r="G235" s="77" t="s">
        <v>74</v>
      </c>
      <c r="H235" s="77" t="s">
        <v>129</v>
      </c>
      <c r="I235" s="77" t="s">
        <v>84</v>
      </c>
      <c r="J235" s="465">
        <v>3.8027492491456601E-2</v>
      </c>
    </row>
    <row r="236" spans="1:10" x14ac:dyDescent="0.35">
      <c r="A236" t="s">
        <v>13</v>
      </c>
      <c r="B236" t="s">
        <v>33</v>
      </c>
      <c r="C236" s="77" t="s">
        <v>73</v>
      </c>
      <c r="D236" t="s">
        <v>81</v>
      </c>
      <c r="E236" s="77" t="s">
        <v>82</v>
      </c>
      <c r="F236" s="77" t="s">
        <v>73</v>
      </c>
      <c r="G236" s="77" t="s">
        <v>74</v>
      </c>
      <c r="H236" s="77" t="s">
        <v>130</v>
      </c>
      <c r="I236" s="77" t="s">
        <v>84</v>
      </c>
      <c r="J236" s="76">
        <f>'SUT_EU27 total'!$Q$28</f>
        <v>7.0611384178638645E-2</v>
      </c>
    </row>
    <row r="237" spans="1:10" x14ac:dyDescent="0.35">
      <c r="A237" t="s">
        <v>13</v>
      </c>
      <c r="B237" t="s">
        <v>33</v>
      </c>
      <c r="C237" s="77" t="s">
        <v>88</v>
      </c>
      <c r="D237" t="s">
        <v>81</v>
      </c>
      <c r="E237" s="77" t="s">
        <v>82</v>
      </c>
      <c r="F237" s="77" t="s">
        <v>73</v>
      </c>
      <c r="G237" s="77" t="s">
        <v>74</v>
      </c>
      <c r="H237" s="77" t="s">
        <v>130</v>
      </c>
      <c r="I237" s="77" t="s">
        <v>84</v>
      </c>
      <c r="J237" s="76">
        <f>'SUT_EU27 total'!$Q$45</f>
        <v>4.4451090694311274E-2</v>
      </c>
    </row>
    <row r="238" spans="1:10" x14ac:dyDescent="0.35">
      <c r="A238" t="s">
        <v>13</v>
      </c>
      <c r="B238" t="s">
        <v>33</v>
      </c>
      <c r="C238" s="77" t="s">
        <v>90</v>
      </c>
      <c r="D238" t="s">
        <v>81</v>
      </c>
      <c r="E238" s="77" t="s">
        <v>82</v>
      </c>
      <c r="F238" s="77" t="s">
        <v>73</v>
      </c>
      <c r="G238" s="77" t="s">
        <v>74</v>
      </c>
      <c r="H238" s="77" t="s">
        <v>130</v>
      </c>
      <c r="I238" s="77" t="s">
        <v>84</v>
      </c>
      <c r="J238" s="76">
        <f>'SUT_EU27 total'!$Q$62</f>
        <v>1.0694147292515508E-5</v>
      </c>
    </row>
    <row r="239" spans="1:10" x14ac:dyDescent="0.35">
      <c r="A239" t="s">
        <v>13</v>
      </c>
      <c r="B239" t="s">
        <v>33</v>
      </c>
      <c r="C239" s="77" t="s">
        <v>91</v>
      </c>
      <c r="D239" t="s">
        <v>81</v>
      </c>
      <c r="E239" s="77" t="s">
        <v>82</v>
      </c>
      <c r="F239" s="77" t="s">
        <v>73</v>
      </c>
      <c r="G239" s="77" t="s">
        <v>74</v>
      </c>
      <c r="H239" s="77" t="s">
        <v>130</v>
      </c>
      <c r="I239" s="77" t="s">
        <v>84</v>
      </c>
      <c r="J239" s="76">
        <f>'SUT_EU27 total'!$Q$79</f>
        <v>2.0807907452574416E-3</v>
      </c>
    </row>
    <row r="240" spans="1:10" x14ac:dyDescent="0.35">
      <c r="A240" t="s">
        <v>13</v>
      </c>
      <c r="B240" t="s">
        <v>33</v>
      </c>
      <c r="C240" s="77" t="s">
        <v>92</v>
      </c>
      <c r="D240" t="s">
        <v>81</v>
      </c>
      <c r="E240" s="77" t="s">
        <v>82</v>
      </c>
      <c r="F240" s="77" t="s">
        <v>73</v>
      </c>
      <c r="G240" s="77" t="s">
        <v>74</v>
      </c>
      <c r="H240" s="77" t="s">
        <v>130</v>
      </c>
      <c r="I240" s="77" t="s">
        <v>84</v>
      </c>
      <c r="J240" s="76">
        <f>'SUT_EU27 total'!$Q$96</f>
        <v>2.8885571737041122E-3</v>
      </c>
    </row>
    <row r="241" spans="1:10" x14ac:dyDescent="0.35">
      <c r="A241" t="s">
        <v>13</v>
      </c>
      <c r="B241" t="s">
        <v>33</v>
      </c>
      <c r="C241" s="77" t="s">
        <v>93</v>
      </c>
      <c r="D241" t="s">
        <v>81</v>
      </c>
      <c r="E241" s="77" t="s">
        <v>82</v>
      </c>
      <c r="F241" s="77" t="s">
        <v>73</v>
      </c>
      <c r="G241" s="77" t="s">
        <v>74</v>
      </c>
      <c r="H241" s="77" t="s">
        <v>130</v>
      </c>
      <c r="I241" s="77" t="s">
        <v>84</v>
      </c>
      <c r="J241" s="76">
        <f>'SUT_EU27 total'!$Q$113</f>
        <v>1.1972685102906883E-2</v>
      </c>
    </row>
    <row r="242" spans="1:10" x14ac:dyDescent="0.35">
      <c r="A242" t="s">
        <v>13</v>
      </c>
      <c r="B242" t="s">
        <v>33</v>
      </c>
      <c r="C242" s="77" t="s">
        <v>73</v>
      </c>
      <c r="D242" t="s">
        <v>81</v>
      </c>
      <c r="E242" s="77" t="s">
        <v>131</v>
      </c>
      <c r="F242" s="77" t="s">
        <v>73</v>
      </c>
      <c r="G242" s="77" t="s">
        <v>74</v>
      </c>
      <c r="H242" s="77" t="s">
        <v>112</v>
      </c>
      <c r="I242" s="77" t="s">
        <v>84</v>
      </c>
      <c r="J242" s="76">
        <f>'SUT_EU27 total'!$R$24</f>
        <v>4.0146105919003111E-8</v>
      </c>
    </row>
    <row r="243" spans="1:10" x14ac:dyDescent="0.35">
      <c r="A243" t="s">
        <v>13</v>
      </c>
      <c r="B243" t="s">
        <v>33</v>
      </c>
      <c r="C243" s="77" t="s">
        <v>73</v>
      </c>
      <c r="D243" t="s">
        <v>81</v>
      </c>
      <c r="E243" s="77" t="s">
        <v>122</v>
      </c>
      <c r="F243" s="77" t="s">
        <v>73</v>
      </c>
      <c r="G243" s="77" t="s">
        <v>74</v>
      </c>
      <c r="H243" s="77" t="s">
        <v>112</v>
      </c>
      <c r="I243" s="77" t="s">
        <v>84</v>
      </c>
      <c r="J243" s="76">
        <f>'SUT_EU27 total'!$R$30</f>
        <v>3.9708116569218732E-4</v>
      </c>
    </row>
    <row r="244" spans="1:10" x14ac:dyDescent="0.35">
      <c r="A244" t="s">
        <v>13</v>
      </c>
      <c r="B244" t="s">
        <v>33</v>
      </c>
      <c r="C244" s="77" t="s">
        <v>73</v>
      </c>
      <c r="D244" t="s">
        <v>81</v>
      </c>
      <c r="E244" s="77" t="s">
        <v>101</v>
      </c>
      <c r="F244" s="77" t="s">
        <v>73</v>
      </c>
      <c r="G244" s="77" t="s">
        <v>74</v>
      </c>
      <c r="H244" s="77" t="s">
        <v>112</v>
      </c>
      <c r="I244" s="77" t="s">
        <v>84</v>
      </c>
      <c r="J244" s="76" cm="1">
        <f t="array" ref="J244:J246">'SUT_EU27 total'!$R$32:$R$34</f>
        <v>1.2183459827918709E-7</v>
      </c>
    </row>
    <row r="245" spans="1:10" x14ac:dyDescent="0.35">
      <c r="A245" t="s">
        <v>13</v>
      </c>
      <c r="B245" t="s">
        <v>33</v>
      </c>
      <c r="C245" s="77" t="s">
        <v>73</v>
      </c>
      <c r="D245" t="s">
        <v>81</v>
      </c>
      <c r="E245" s="77" t="s">
        <v>104</v>
      </c>
      <c r="F245" s="77" t="s">
        <v>73</v>
      </c>
      <c r="G245" s="77" t="s">
        <v>74</v>
      </c>
      <c r="H245" s="77" t="s">
        <v>112</v>
      </c>
      <c r="I245" s="77" t="s">
        <v>84</v>
      </c>
      <c r="J245" s="76">
        <v>2.3068290654205609E-7</v>
      </c>
    </row>
    <row r="246" spans="1:10" x14ac:dyDescent="0.35">
      <c r="A246" t="s">
        <v>13</v>
      </c>
      <c r="B246" t="s">
        <v>33</v>
      </c>
      <c r="C246" s="77" t="s">
        <v>73</v>
      </c>
      <c r="D246" t="s">
        <v>81</v>
      </c>
      <c r="E246" s="77" t="s">
        <v>106</v>
      </c>
      <c r="F246" s="77" t="s">
        <v>73</v>
      </c>
      <c r="G246" s="77" t="s">
        <v>74</v>
      </c>
      <c r="H246" s="77" t="s">
        <v>112</v>
      </c>
      <c r="I246" s="77" t="s">
        <v>84</v>
      </c>
      <c r="J246" s="76">
        <v>7.8463573653760568E-7</v>
      </c>
    </row>
    <row r="247" spans="1:10" x14ac:dyDescent="0.35">
      <c r="A247" t="s">
        <v>13</v>
      </c>
      <c r="B247" t="s">
        <v>33</v>
      </c>
      <c r="C247" s="77" t="s">
        <v>88</v>
      </c>
      <c r="D247" t="s">
        <v>81</v>
      </c>
      <c r="E247" s="77" t="s">
        <v>131</v>
      </c>
      <c r="F247" s="77" t="s">
        <v>73</v>
      </c>
      <c r="G247" s="77" t="s">
        <v>74</v>
      </c>
      <c r="H247" s="77" t="s">
        <v>112</v>
      </c>
      <c r="I247" s="77" t="s">
        <v>84</v>
      </c>
      <c r="J247" s="76">
        <f>'SUT_EU27 total'!$R$41</f>
        <v>0</v>
      </c>
    </row>
    <row r="248" spans="1:10" x14ac:dyDescent="0.35">
      <c r="A248" t="s">
        <v>13</v>
      </c>
      <c r="B248" t="s">
        <v>33</v>
      </c>
      <c r="C248" s="77" t="s">
        <v>88</v>
      </c>
      <c r="D248" t="s">
        <v>81</v>
      </c>
      <c r="E248" s="77" t="s">
        <v>122</v>
      </c>
      <c r="F248" s="77" t="s">
        <v>73</v>
      </c>
      <c r="G248" s="77" t="s">
        <v>74</v>
      </c>
      <c r="H248" s="77" t="s">
        <v>112</v>
      </c>
      <c r="I248" s="77" t="s">
        <v>84</v>
      </c>
      <c r="J248" s="76">
        <f>'SUT_EU27 total'!$R$47</f>
        <v>0</v>
      </c>
    </row>
    <row r="249" spans="1:10" x14ac:dyDescent="0.35">
      <c r="A249" t="s">
        <v>13</v>
      </c>
      <c r="B249" t="s">
        <v>33</v>
      </c>
      <c r="C249" s="77" t="s">
        <v>88</v>
      </c>
      <c r="D249" t="s">
        <v>81</v>
      </c>
      <c r="E249" s="77" t="s">
        <v>101</v>
      </c>
      <c r="F249" s="77" t="s">
        <v>73</v>
      </c>
      <c r="G249" s="77" t="s">
        <v>74</v>
      </c>
      <c r="H249" s="77" t="s">
        <v>112</v>
      </c>
      <c r="I249" s="77" t="s">
        <v>84</v>
      </c>
      <c r="J249" s="76" cm="1">
        <f t="array" ref="J249:J251">'SUT_EU27 total'!$R$49:$R$51</f>
        <v>0</v>
      </c>
    </row>
    <row r="250" spans="1:10" x14ac:dyDescent="0.35">
      <c r="A250" t="s">
        <v>13</v>
      </c>
      <c r="B250" t="s">
        <v>33</v>
      </c>
      <c r="C250" s="77" t="s">
        <v>88</v>
      </c>
      <c r="D250" t="s">
        <v>81</v>
      </c>
      <c r="E250" s="77" t="s">
        <v>104</v>
      </c>
      <c r="F250" s="77" t="s">
        <v>73</v>
      </c>
      <c r="G250" s="77" t="s">
        <v>74</v>
      </c>
      <c r="H250" s="77" t="s">
        <v>112</v>
      </c>
      <c r="I250" s="77" t="s">
        <v>84</v>
      </c>
      <c r="J250" s="76">
        <v>0</v>
      </c>
    </row>
    <row r="251" spans="1:10" x14ac:dyDescent="0.35">
      <c r="A251" t="s">
        <v>13</v>
      </c>
      <c r="B251" t="s">
        <v>33</v>
      </c>
      <c r="C251" s="77" t="s">
        <v>88</v>
      </c>
      <c r="D251" t="s">
        <v>81</v>
      </c>
      <c r="E251" s="77" t="s">
        <v>106</v>
      </c>
      <c r="F251" s="77" t="s">
        <v>73</v>
      </c>
      <c r="G251" s="77" t="s">
        <v>74</v>
      </c>
      <c r="H251" s="77" t="s">
        <v>112</v>
      </c>
      <c r="I251" s="77" t="s">
        <v>84</v>
      </c>
      <c r="J251" s="76">
        <v>0</v>
      </c>
    </row>
    <row r="252" spans="1:10" x14ac:dyDescent="0.35">
      <c r="A252" t="s">
        <v>13</v>
      </c>
      <c r="B252" t="s">
        <v>33</v>
      </c>
      <c r="C252" s="77" t="s">
        <v>90</v>
      </c>
      <c r="D252" t="s">
        <v>81</v>
      </c>
      <c r="E252" s="77" t="s">
        <v>131</v>
      </c>
      <c r="F252" s="77" t="s">
        <v>73</v>
      </c>
      <c r="G252" s="77" t="s">
        <v>74</v>
      </c>
      <c r="H252" s="77" t="s">
        <v>112</v>
      </c>
      <c r="I252" s="77" t="s">
        <v>84</v>
      </c>
      <c r="J252" s="76">
        <f>'SUT_EU27 total'!$R$58</f>
        <v>0</v>
      </c>
    </row>
    <row r="253" spans="1:10" x14ac:dyDescent="0.35">
      <c r="A253" t="s">
        <v>13</v>
      </c>
      <c r="B253" t="s">
        <v>33</v>
      </c>
      <c r="C253" s="77" t="s">
        <v>90</v>
      </c>
      <c r="D253" t="s">
        <v>81</v>
      </c>
      <c r="E253" s="77" t="s">
        <v>122</v>
      </c>
      <c r="F253" s="77" t="s">
        <v>73</v>
      </c>
      <c r="G253" s="77" t="s">
        <v>74</v>
      </c>
      <c r="H253" s="77" t="s">
        <v>112</v>
      </c>
      <c r="I253" s="77" t="s">
        <v>84</v>
      </c>
      <c r="J253" s="76">
        <f>'SUT_EU27 total'!$R$64</f>
        <v>6.4108466461028498E-4</v>
      </c>
    </row>
    <row r="254" spans="1:10" x14ac:dyDescent="0.35">
      <c r="A254" t="s">
        <v>13</v>
      </c>
      <c r="B254" t="s">
        <v>33</v>
      </c>
      <c r="C254" s="77" t="s">
        <v>90</v>
      </c>
      <c r="D254" t="s">
        <v>81</v>
      </c>
      <c r="E254" s="77" t="s">
        <v>101</v>
      </c>
      <c r="F254" s="77" t="s">
        <v>73</v>
      </c>
      <c r="G254" s="77" t="s">
        <v>74</v>
      </c>
      <c r="H254" s="77" t="s">
        <v>112</v>
      </c>
      <c r="I254" s="77" t="s">
        <v>84</v>
      </c>
      <c r="J254" s="76" cm="1">
        <f t="array" ref="J254:J256">'SUT_EU27 total'!$R$66:$R$68</f>
        <v>0</v>
      </c>
    </row>
    <row r="255" spans="1:10" x14ac:dyDescent="0.35">
      <c r="A255" t="s">
        <v>13</v>
      </c>
      <c r="B255" t="s">
        <v>33</v>
      </c>
      <c r="C255" s="77" t="s">
        <v>90</v>
      </c>
      <c r="D255" t="s">
        <v>81</v>
      </c>
      <c r="E255" s="77" t="s">
        <v>104</v>
      </c>
      <c r="F255" s="77" t="s">
        <v>73</v>
      </c>
      <c r="G255" s="77" t="s">
        <v>74</v>
      </c>
      <c r="H255" s="77" t="s">
        <v>112</v>
      </c>
      <c r="I255" s="77" t="s">
        <v>84</v>
      </c>
      <c r="J255" s="76">
        <v>0</v>
      </c>
    </row>
    <row r="256" spans="1:10" x14ac:dyDescent="0.35">
      <c r="A256" t="s">
        <v>13</v>
      </c>
      <c r="B256" t="s">
        <v>33</v>
      </c>
      <c r="C256" s="77" t="s">
        <v>90</v>
      </c>
      <c r="D256" t="s">
        <v>81</v>
      </c>
      <c r="E256" s="77" t="s">
        <v>106</v>
      </c>
      <c r="F256" s="77" t="s">
        <v>73</v>
      </c>
      <c r="G256" s="77" t="s">
        <v>74</v>
      </c>
      <c r="H256" s="77" t="s">
        <v>112</v>
      </c>
      <c r="I256" s="77" t="s">
        <v>84</v>
      </c>
      <c r="J256" s="76">
        <v>0</v>
      </c>
    </row>
    <row r="257" spans="1:10" x14ac:dyDescent="0.35">
      <c r="A257" t="s">
        <v>13</v>
      </c>
      <c r="B257" t="s">
        <v>33</v>
      </c>
      <c r="C257" s="77" t="s">
        <v>91</v>
      </c>
      <c r="D257" t="s">
        <v>81</v>
      </c>
      <c r="E257" s="77" t="s">
        <v>131</v>
      </c>
      <c r="F257" s="77" t="s">
        <v>73</v>
      </c>
      <c r="G257" s="77" t="s">
        <v>74</v>
      </c>
      <c r="H257" s="77" t="s">
        <v>112</v>
      </c>
      <c r="I257" s="77" t="s">
        <v>84</v>
      </c>
      <c r="J257" s="76">
        <f>'SUT_EU27 total'!$R$75</f>
        <v>0</v>
      </c>
    </row>
    <row r="258" spans="1:10" x14ac:dyDescent="0.35">
      <c r="A258" t="s">
        <v>13</v>
      </c>
      <c r="B258" t="s">
        <v>33</v>
      </c>
      <c r="C258" s="77" t="s">
        <v>91</v>
      </c>
      <c r="D258" t="s">
        <v>81</v>
      </c>
      <c r="E258" s="77" t="s">
        <v>122</v>
      </c>
      <c r="F258" s="77" t="s">
        <v>73</v>
      </c>
      <c r="G258" s="77" t="s">
        <v>74</v>
      </c>
      <c r="H258" s="77" t="s">
        <v>112</v>
      </c>
      <c r="I258" s="77" t="s">
        <v>84</v>
      </c>
      <c r="J258" s="76">
        <f>'SUT_EU27 total'!$R$81</f>
        <v>0</v>
      </c>
    </row>
    <row r="259" spans="1:10" x14ac:dyDescent="0.35">
      <c r="A259" t="s">
        <v>13</v>
      </c>
      <c r="B259" t="s">
        <v>33</v>
      </c>
      <c r="C259" s="77" t="s">
        <v>91</v>
      </c>
      <c r="D259" t="s">
        <v>81</v>
      </c>
      <c r="E259" s="77" t="s">
        <v>101</v>
      </c>
      <c r="F259" s="77" t="s">
        <v>73</v>
      </c>
      <c r="G259" s="77" t="s">
        <v>74</v>
      </c>
      <c r="H259" s="77" t="s">
        <v>112</v>
      </c>
      <c r="I259" s="77" t="s">
        <v>84</v>
      </c>
      <c r="J259" s="76" cm="1">
        <f t="array" ref="J259:J261">'SUT_EU27 total'!$R$83:$R$85</f>
        <v>0</v>
      </c>
    </row>
    <row r="260" spans="1:10" x14ac:dyDescent="0.35">
      <c r="A260" t="s">
        <v>13</v>
      </c>
      <c r="B260" t="s">
        <v>33</v>
      </c>
      <c r="C260" s="77" t="s">
        <v>91</v>
      </c>
      <c r="D260" t="s">
        <v>81</v>
      </c>
      <c r="E260" s="77" t="s">
        <v>104</v>
      </c>
      <c r="F260" s="77" t="s">
        <v>73</v>
      </c>
      <c r="G260" s="77" t="s">
        <v>74</v>
      </c>
      <c r="H260" s="77" t="s">
        <v>112</v>
      </c>
      <c r="I260" s="77" t="s">
        <v>84</v>
      </c>
      <c r="J260" s="76">
        <v>0</v>
      </c>
    </row>
    <row r="261" spans="1:10" x14ac:dyDescent="0.35">
      <c r="A261" t="s">
        <v>13</v>
      </c>
      <c r="B261" t="s">
        <v>33</v>
      </c>
      <c r="C261" s="77" t="s">
        <v>91</v>
      </c>
      <c r="D261" t="s">
        <v>81</v>
      </c>
      <c r="E261" s="77" t="s">
        <v>106</v>
      </c>
      <c r="F261" s="77" t="s">
        <v>73</v>
      </c>
      <c r="G261" s="77" t="s">
        <v>74</v>
      </c>
      <c r="H261" s="77" t="s">
        <v>112</v>
      </c>
      <c r="I261" s="77" t="s">
        <v>84</v>
      </c>
      <c r="J261" s="76">
        <v>0</v>
      </c>
    </row>
    <row r="262" spans="1:10" x14ac:dyDescent="0.35">
      <c r="A262" t="s">
        <v>13</v>
      </c>
      <c r="B262" t="s">
        <v>33</v>
      </c>
      <c r="C262" s="77" t="s">
        <v>92</v>
      </c>
      <c r="D262" t="s">
        <v>81</v>
      </c>
      <c r="E262" s="77" t="s">
        <v>131</v>
      </c>
      <c r="F262" s="77" t="s">
        <v>73</v>
      </c>
      <c r="G262" s="77" t="s">
        <v>74</v>
      </c>
      <c r="H262" s="77" t="s">
        <v>112</v>
      </c>
      <c r="I262" s="77" t="s">
        <v>84</v>
      </c>
      <c r="J262" s="76">
        <f>'SUT_EU27 total'!$R$92</f>
        <v>0</v>
      </c>
    </row>
    <row r="263" spans="1:10" x14ac:dyDescent="0.35">
      <c r="A263" t="s">
        <v>13</v>
      </c>
      <c r="B263" t="s">
        <v>33</v>
      </c>
      <c r="C263" s="77" t="s">
        <v>92</v>
      </c>
      <c r="D263" t="s">
        <v>81</v>
      </c>
      <c r="E263" s="77" t="s">
        <v>122</v>
      </c>
      <c r="F263" s="77" t="s">
        <v>73</v>
      </c>
      <c r="G263" s="77" t="s">
        <v>74</v>
      </c>
      <c r="H263" s="77" t="s">
        <v>112</v>
      </c>
      <c r="I263" s="77" t="s">
        <v>84</v>
      </c>
      <c r="J263" s="76">
        <f>'SUT_EU27 total'!$R$98</f>
        <v>0</v>
      </c>
    </row>
    <row r="264" spans="1:10" x14ac:dyDescent="0.35">
      <c r="A264" t="s">
        <v>13</v>
      </c>
      <c r="B264" t="s">
        <v>33</v>
      </c>
      <c r="C264" s="77" t="s">
        <v>92</v>
      </c>
      <c r="D264" t="s">
        <v>81</v>
      </c>
      <c r="E264" s="77" t="s">
        <v>101</v>
      </c>
      <c r="F264" s="77" t="s">
        <v>73</v>
      </c>
      <c r="G264" s="77" t="s">
        <v>74</v>
      </c>
      <c r="H264" s="77" t="s">
        <v>112</v>
      </c>
      <c r="I264" s="77" t="s">
        <v>84</v>
      </c>
      <c r="J264" s="76" cm="1">
        <f t="array" ref="J264:J266">'SUT_EU27 total'!$R$100:$R$102</f>
        <v>0</v>
      </c>
    </row>
    <row r="265" spans="1:10" x14ac:dyDescent="0.35">
      <c r="A265" t="s">
        <v>13</v>
      </c>
      <c r="B265" t="s">
        <v>33</v>
      </c>
      <c r="C265" s="77" t="s">
        <v>92</v>
      </c>
      <c r="D265" t="s">
        <v>81</v>
      </c>
      <c r="E265" s="77" t="s">
        <v>104</v>
      </c>
      <c r="F265" s="77" t="s">
        <v>73</v>
      </c>
      <c r="G265" s="77" t="s">
        <v>74</v>
      </c>
      <c r="H265" s="77" t="s">
        <v>112</v>
      </c>
      <c r="I265" s="77" t="s">
        <v>84</v>
      </c>
      <c r="J265" s="76">
        <v>0</v>
      </c>
    </row>
    <row r="266" spans="1:10" x14ac:dyDescent="0.35">
      <c r="A266" t="s">
        <v>13</v>
      </c>
      <c r="B266" t="s">
        <v>33</v>
      </c>
      <c r="C266" s="77" t="s">
        <v>92</v>
      </c>
      <c r="D266" t="s">
        <v>81</v>
      </c>
      <c r="E266" s="77" t="s">
        <v>106</v>
      </c>
      <c r="F266" s="77" t="s">
        <v>73</v>
      </c>
      <c r="G266" s="77" t="s">
        <v>74</v>
      </c>
      <c r="H266" s="77" t="s">
        <v>112</v>
      </c>
      <c r="I266" s="77" t="s">
        <v>84</v>
      </c>
      <c r="J266" s="76">
        <v>0</v>
      </c>
    </row>
    <row r="267" spans="1:10" x14ac:dyDescent="0.35">
      <c r="A267" t="s">
        <v>13</v>
      </c>
      <c r="B267" t="s">
        <v>33</v>
      </c>
      <c r="C267" s="77" t="s">
        <v>93</v>
      </c>
      <c r="D267" t="s">
        <v>81</v>
      </c>
      <c r="E267" s="77" t="s">
        <v>131</v>
      </c>
      <c r="F267" s="77" t="s">
        <v>73</v>
      </c>
      <c r="G267" s="77" t="s">
        <v>74</v>
      </c>
      <c r="H267" s="77" t="s">
        <v>112</v>
      </c>
      <c r="I267" s="77" t="s">
        <v>84</v>
      </c>
      <c r="J267" s="76">
        <f>'SUT_EU27 total'!$R$109</f>
        <v>0</v>
      </c>
    </row>
    <row r="268" spans="1:10" x14ac:dyDescent="0.35">
      <c r="A268" t="s">
        <v>13</v>
      </c>
      <c r="B268" t="s">
        <v>33</v>
      </c>
      <c r="C268" s="77" t="s">
        <v>93</v>
      </c>
      <c r="D268" t="s">
        <v>81</v>
      </c>
      <c r="E268" s="77" t="s">
        <v>122</v>
      </c>
      <c r="F268" s="77" t="s">
        <v>73</v>
      </c>
      <c r="G268" s="77" t="s">
        <v>74</v>
      </c>
      <c r="H268" s="77" t="s">
        <v>112</v>
      </c>
      <c r="I268" s="77" t="s">
        <v>84</v>
      </c>
      <c r="J268" s="76">
        <f>'SUT_EU27 total'!$R$115</f>
        <v>2.188358424259166E-3</v>
      </c>
    </row>
    <row r="269" spans="1:10" x14ac:dyDescent="0.35">
      <c r="A269" t="s">
        <v>13</v>
      </c>
      <c r="B269" t="s">
        <v>33</v>
      </c>
      <c r="C269" s="77" t="s">
        <v>93</v>
      </c>
      <c r="D269" t="s">
        <v>81</v>
      </c>
      <c r="E269" s="77" t="s">
        <v>101</v>
      </c>
      <c r="F269" s="77" t="s">
        <v>73</v>
      </c>
      <c r="G269" s="77" t="s">
        <v>74</v>
      </c>
      <c r="H269" s="77" t="s">
        <v>112</v>
      </c>
      <c r="I269" s="77" t="s">
        <v>84</v>
      </c>
      <c r="J269" s="76" cm="1">
        <f t="array" ref="J269:J271">'SUT_EU27 total'!$R$117:$R$119</f>
        <v>0</v>
      </c>
    </row>
    <row r="270" spans="1:10" x14ac:dyDescent="0.35">
      <c r="A270" t="s">
        <v>13</v>
      </c>
      <c r="B270" t="s">
        <v>33</v>
      </c>
      <c r="C270" s="77" t="s">
        <v>93</v>
      </c>
      <c r="D270" t="s">
        <v>81</v>
      </c>
      <c r="E270" s="77" t="s">
        <v>104</v>
      </c>
      <c r="F270" s="77" t="s">
        <v>73</v>
      </c>
      <c r="G270" s="77" t="s">
        <v>74</v>
      </c>
      <c r="H270" s="77" t="s">
        <v>112</v>
      </c>
      <c r="I270" s="77" t="s">
        <v>84</v>
      </c>
      <c r="J270" s="76">
        <v>0</v>
      </c>
    </row>
    <row r="271" spans="1:10" x14ac:dyDescent="0.35">
      <c r="A271" t="s">
        <v>13</v>
      </c>
      <c r="B271" t="s">
        <v>33</v>
      </c>
      <c r="C271" s="77" t="s">
        <v>93</v>
      </c>
      <c r="D271" t="s">
        <v>81</v>
      </c>
      <c r="E271" s="77" t="s">
        <v>106</v>
      </c>
      <c r="F271" s="77" t="s">
        <v>73</v>
      </c>
      <c r="G271" s="77" t="s">
        <v>74</v>
      </c>
      <c r="H271" s="77" t="s">
        <v>112</v>
      </c>
      <c r="I271" s="77" t="s">
        <v>84</v>
      </c>
      <c r="J271" s="76">
        <v>0</v>
      </c>
    </row>
    <row r="272" spans="1:10" x14ac:dyDescent="0.35">
      <c r="A272" t="s">
        <v>13</v>
      </c>
      <c r="B272" t="s">
        <v>33</v>
      </c>
      <c r="C272" s="77" t="s">
        <v>73</v>
      </c>
      <c r="D272" t="s">
        <v>81</v>
      </c>
      <c r="E272" s="77" t="s">
        <v>131</v>
      </c>
      <c r="F272" s="77" t="s">
        <v>73</v>
      </c>
      <c r="G272" s="77" t="s">
        <v>74</v>
      </c>
      <c r="H272" s="77" t="s">
        <v>113</v>
      </c>
      <c r="I272" s="77" t="s">
        <v>84</v>
      </c>
      <c r="J272" s="76">
        <f>'SUT_EU27 total'!$S$24</f>
        <v>5.0294789999999994E-8</v>
      </c>
    </row>
    <row r="273" spans="1:10" x14ac:dyDescent="0.35">
      <c r="A273" t="s">
        <v>13</v>
      </c>
      <c r="B273" t="s">
        <v>33</v>
      </c>
      <c r="C273" s="77" t="s">
        <v>73</v>
      </c>
      <c r="D273" t="s">
        <v>81</v>
      </c>
      <c r="E273" s="77" t="s">
        <v>101</v>
      </c>
      <c r="F273" s="77" t="s">
        <v>73</v>
      </c>
      <c r="G273" s="77" t="s">
        <v>74</v>
      </c>
      <c r="H273" s="77" t="s">
        <v>113</v>
      </c>
      <c r="I273" s="77" t="s">
        <v>84</v>
      </c>
      <c r="J273" s="76" cm="1">
        <f t="array" ref="J273:J275">'SUT_EU27 total'!$S$32:$S$34</f>
        <v>1.7883556705882356E-5</v>
      </c>
    </row>
    <row r="274" spans="1:10" x14ac:dyDescent="0.35">
      <c r="A274" t="s">
        <v>13</v>
      </c>
      <c r="B274" t="s">
        <v>33</v>
      </c>
      <c r="C274" s="77" t="s">
        <v>73</v>
      </c>
      <c r="D274" t="s">
        <v>81</v>
      </c>
      <c r="E274" s="77" t="s">
        <v>104</v>
      </c>
      <c r="F274" s="77" t="s">
        <v>73</v>
      </c>
      <c r="G274" s="77" t="s">
        <v>74</v>
      </c>
      <c r="H274" s="77" t="s">
        <v>113</v>
      </c>
      <c r="I274" s="77" t="s">
        <v>84</v>
      </c>
      <c r="J274" s="76">
        <v>3.3860913882352942E-5</v>
      </c>
    </row>
    <row r="275" spans="1:10" x14ac:dyDescent="0.35">
      <c r="A275" t="s">
        <v>13</v>
      </c>
      <c r="B275" t="s">
        <v>33</v>
      </c>
      <c r="C275" s="77" t="s">
        <v>73</v>
      </c>
      <c r="D275" t="s">
        <v>81</v>
      </c>
      <c r="E275" s="77" t="s">
        <v>106</v>
      </c>
      <c r="F275" s="77" t="s">
        <v>73</v>
      </c>
      <c r="G275" s="77" t="s">
        <v>74</v>
      </c>
      <c r="H275" s="77" t="s">
        <v>113</v>
      </c>
      <c r="I275" s="77" t="s">
        <v>84</v>
      </c>
      <c r="J275" s="76">
        <v>1.1517317647058823E-4</v>
      </c>
    </row>
    <row r="276" spans="1:10" x14ac:dyDescent="0.35">
      <c r="A276" t="s">
        <v>13</v>
      </c>
      <c r="B276" t="s">
        <v>33</v>
      </c>
      <c r="C276" s="77" t="s">
        <v>88</v>
      </c>
      <c r="D276" t="s">
        <v>81</v>
      </c>
      <c r="E276" s="77" t="s">
        <v>131</v>
      </c>
      <c r="F276" s="77" t="s">
        <v>73</v>
      </c>
      <c r="G276" s="77" t="s">
        <v>74</v>
      </c>
      <c r="H276" s="77" t="s">
        <v>113</v>
      </c>
      <c r="I276" s="77" t="s">
        <v>84</v>
      </c>
      <c r="J276" s="76">
        <f>'SUT_EU27 total'!$S$41</f>
        <v>0</v>
      </c>
    </row>
    <row r="277" spans="1:10" x14ac:dyDescent="0.35">
      <c r="A277" t="s">
        <v>13</v>
      </c>
      <c r="B277" t="s">
        <v>33</v>
      </c>
      <c r="C277" s="77" t="s">
        <v>88</v>
      </c>
      <c r="D277" t="s">
        <v>81</v>
      </c>
      <c r="E277" s="77" t="s">
        <v>101</v>
      </c>
      <c r="F277" s="77" t="s">
        <v>73</v>
      </c>
      <c r="G277" s="77" t="s">
        <v>74</v>
      </c>
      <c r="H277" s="77" t="s">
        <v>113</v>
      </c>
      <c r="I277" s="77" t="s">
        <v>84</v>
      </c>
      <c r="J277" s="76" cm="1">
        <f t="array" ref="J277:J279">'SUT_EU27 total'!$S$49:$S$51</f>
        <v>0</v>
      </c>
    </row>
    <row r="278" spans="1:10" x14ac:dyDescent="0.35">
      <c r="A278" t="s">
        <v>13</v>
      </c>
      <c r="B278" t="s">
        <v>33</v>
      </c>
      <c r="C278" s="77" t="s">
        <v>88</v>
      </c>
      <c r="D278" t="s">
        <v>81</v>
      </c>
      <c r="E278" s="77" t="s">
        <v>104</v>
      </c>
      <c r="F278" s="77" t="s">
        <v>73</v>
      </c>
      <c r="G278" s="77" t="s">
        <v>74</v>
      </c>
      <c r="H278" s="77" t="s">
        <v>113</v>
      </c>
      <c r="I278" s="77" t="s">
        <v>84</v>
      </c>
      <c r="J278" s="76">
        <v>0</v>
      </c>
    </row>
    <row r="279" spans="1:10" x14ac:dyDescent="0.35">
      <c r="A279" t="s">
        <v>13</v>
      </c>
      <c r="B279" t="s">
        <v>33</v>
      </c>
      <c r="C279" s="77" t="s">
        <v>88</v>
      </c>
      <c r="D279" t="s">
        <v>81</v>
      </c>
      <c r="E279" s="77" t="s">
        <v>106</v>
      </c>
      <c r="F279" s="77" t="s">
        <v>73</v>
      </c>
      <c r="G279" s="77" t="s">
        <v>74</v>
      </c>
      <c r="H279" s="77" t="s">
        <v>113</v>
      </c>
      <c r="I279" s="77" t="s">
        <v>84</v>
      </c>
      <c r="J279" s="76">
        <v>0</v>
      </c>
    </row>
    <row r="280" spans="1:10" x14ac:dyDescent="0.35">
      <c r="A280" t="s">
        <v>13</v>
      </c>
      <c r="B280" t="s">
        <v>33</v>
      </c>
      <c r="C280" s="77" t="s">
        <v>90</v>
      </c>
      <c r="D280" t="s">
        <v>81</v>
      </c>
      <c r="E280" s="77" t="s">
        <v>131</v>
      </c>
      <c r="F280" s="77" t="s">
        <v>73</v>
      </c>
      <c r="G280" s="77" t="s">
        <v>74</v>
      </c>
      <c r="H280" s="77" t="s">
        <v>113</v>
      </c>
      <c r="I280" s="77" t="s">
        <v>84</v>
      </c>
      <c r="J280" s="76">
        <f>'SUT_EU27 total'!$S$58</f>
        <v>0</v>
      </c>
    </row>
    <row r="281" spans="1:10" x14ac:dyDescent="0.35">
      <c r="A281" t="s">
        <v>13</v>
      </c>
      <c r="B281" t="s">
        <v>33</v>
      </c>
      <c r="C281" s="77" t="s">
        <v>90</v>
      </c>
      <c r="D281" t="s">
        <v>81</v>
      </c>
      <c r="E281" s="77" t="s">
        <v>101</v>
      </c>
      <c r="F281" s="77" t="s">
        <v>73</v>
      </c>
      <c r="G281" s="77" t="s">
        <v>74</v>
      </c>
      <c r="H281" s="77" t="s">
        <v>113</v>
      </c>
      <c r="I281" s="77" t="s">
        <v>84</v>
      </c>
      <c r="J281" s="76" cm="1">
        <f t="array" ref="J281:J283">'SUT_EU27 total'!$S$66:$S$68</f>
        <v>0</v>
      </c>
    </row>
    <row r="282" spans="1:10" x14ac:dyDescent="0.35">
      <c r="A282" t="s">
        <v>13</v>
      </c>
      <c r="B282" t="s">
        <v>33</v>
      </c>
      <c r="C282" s="77" t="s">
        <v>90</v>
      </c>
      <c r="D282" t="s">
        <v>81</v>
      </c>
      <c r="E282" s="77" t="s">
        <v>104</v>
      </c>
      <c r="F282" s="77" t="s">
        <v>73</v>
      </c>
      <c r="G282" s="77" t="s">
        <v>74</v>
      </c>
      <c r="H282" s="77" t="s">
        <v>113</v>
      </c>
      <c r="I282" s="77" t="s">
        <v>84</v>
      </c>
      <c r="J282" s="76">
        <v>0</v>
      </c>
    </row>
    <row r="283" spans="1:10" x14ac:dyDescent="0.35">
      <c r="A283" t="s">
        <v>13</v>
      </c>
      <c r="B283" t="s">
        <v>33</v>
      </c>
      <c r="C283" s="77" t="s">
        <v>90</v>
      </c>
      <c r="D283" t="s">
        <v>81</v>
      </c>
      <c r="E283" s="77" t="s">
        <v>106</v>
      </c>
      <c r="F283" s="77" t="s">
        <v>73</v>
      </c>
      <c r="G283" s="77" t="s">
        <v>74</v>
      </c>
      <c r="H283" s="77" t="s">
        <v>113</v>
      </c>
      <c r="I283" s="77" t="s">
        <v>84</v>
      </c>
      <c r="J283" s="76">
        <v>0</v>
      </c>
    </row>
    <row r="284" spans="1:10" x14ac:dyDescent="0.35">
      <c r="A284" t="s">
        <v>13</v>
      </c>
      <c r="B284" t="s">
        <v>33</v>
      </c>
      <c r="C284" s="77" t="s">
        <v>91</v>
      </c>
      <c r="D284" t="s">
        <v>81</v>
      </c>
      <c r="E284" s="77" t="s">
        <v>131</v>
      </c>
      <c r="F284" s="77" t="s">
        <v>73</v>
      </c>
      <c r="G284" s="77" t="s">
        <v>74</v>
      </c>
      <c r="H284" s="77" t="s">
        <v>113</v>
      </c>
      <c r="I284" s="77" t="s">
        <v>84</v>
      </c>
      <c r="J284" s="76">
        <f>'SUT_EU27 total'!$S$75</f>
        <v>0</v>
      </c>
    </row>
    <row r="285" spans="1:10" x14ac:dyDescent="0.35">
      <c r="A285" t="s">
        <v>13</v>
      </c>
      <c r="B285" t="s">
        <v>33</v>
      </c>
      <c r="C285" s="77" t="s">
        <v>91</v>
      </c>
      <c r="D285" t="s">
        <v>81</v>
      </c>
      <c r="E285" s="77" t="s">
        <v>101</v>
      </c>
      <c r="F285" s="77" t="s">
        <v>73</v>
      </c>
      <c r="G285" s="77" t="s">
        <v>74</v>
      </c>
      <c r="H285" s="77" t="s">
        <v>113</v>
      </c>
      <c r="I285" s="77" t="s">
        <v>84</v>
      </c>
      <c r="J285" s="76" cm="1">
        <f t="array" ref="J285:J287">'SUT_EU27 total'!$S$83:$S$85</f>
        <v>0</v>
      </c>
    </row>
    <row r="286" spans="1:10" x14ac:dyDescent="0.35">
      <c r="A286" t="s">
        <v>13</v>
      </c>
      <c r="B286" t="s">
        <v>33</v>
      </c>
      <c r="C286" s="77" t="s">
        <v>91</v>
      </c>
      <c r="D286" t="s">
        <v>81</v>
      </c>
      <c r="E286" s="77" t="s">
        <v>104</v>
      </c>
      <c r="F286" s="77" t="s">
        <v>73</v>
      </c>
      <c r="G286" s="77" t="s">
        <v>74</v>
      </c>
      <c r="H286" s="77" t="s">
        <v>113</v>
      </c>
      <c r="I286" s="77" t="s">
        <v>84</v>
      </c>
      <c r="J286" s="76">
        <v>0</v>
      </c>
    </row>
    <row r="287" spans="1:10" x14ac:dyDescent="0.35">
      <c r="A287" t="s">
        <v>13</v>
      </c>
      <c r="B287" t="s">
        <v>33</v>
      </c>
      <c r="C287" s="77" t="s">
        <v>91</v>
      </c>
      <c r="D287" t="s">
        <v>81</v>
      </c>
      <c r="E287" s="77" t="s">
        <v>106</v>
      </c>
      <c r="F287" s="77" t="s">
        <v>73</v>
      </c>
      <c r="G287" s="77" t="s">
        <v>74</v>
      </c>
      <c r="H287" s="77" t="s">
        <v>113</v>
      </c>
      <c r="I287" s="77" t="s">
        <v>84</v>
      </c>
      <c r="J287" s="76">
        <v>0</v>
      </c>
    </row>
    <row r="288" spans="1:10" x14ac:dyDescent="0.35">
      <c r="A288" t="s">
        <v>13</v>
      </c>
      <c r="B288" t="s">
        <v>33</v>
      </c>
      <c r="C288" s="77" t="s">
        <v>92</v>
      </c>
      <c r="D288" t="s">
        <v>81</v>
      </c>
      <c r="E288" s="77" t="s">
        <v>131</v>
      </c>
      <c r="F288" s="77" t="s">
        <v>73</v>
      </c>
      <c r="G288" s="77" t="s">
        <v>74</v>
      </c>
      <c r="H288" s="77" t="s">
        <v>113</v>
      </c>
      <c r="I288" s="77" t="s">
        <v>84</v>
      </c>
      <c r="J288" s="76">
        <f>'SUT_EU27 total'!$S$92</f>
        <v>0</v>
      </c>
    </row>
    <row r="289" spans="1:10" x14ac:dyDescent="0.35">
      <c r="A289" t="s">
        <v>13</v>
      </c>
      <c r="B289" t="s">
        <v>33</v>
      </c>
      <c r="C289" s="77" t="s">
        <v>92</v>
      </c>
      <c r="D289" t="s">
        <v>81</v>
      </c>
      <c r="E289" s="77" t="s">
        <v>101</v>
      </c>
      <c r="F289" s="77" t="s">
        <v>73</v>
      </c>
      <c r="G289" s="77" t="s">
        <v>74</v>
      </c>
      <c r="H289" s="77" t="s">
        <v>113</v>
      </c>
      <c r="I289" s="77" t="s">
        <v>84</v>
      </c>
      <c r="J289" s="76" cm="1">
        <f t="array" ref="J289:J291">'SUT_EU27 total'!$S$100:$S$102</f>
        <v>0</v>
      </c>
    </row>
    <row r="290" spans="1:10" x14ac:dyDescent="0.35">
      <c r="A290" t="s">
        <v>13</v>
      </c>
      <c r="B290" t="s">
        <v>33</v>
      </c>
      <c r="C290" s="77" t="s">
        <v>92</v>
      </c>
      <c r="D290" t="s">
        <v>81</v>
      </c>
      <c r="E290" s="77" t="s">
        <v>104</v>
      </c>
      <c r="F290" s="77" t="s">
        <v>73</v>
      </c>
      <c r="G290" s="77" t="s">
        <v>74</v>
      </c>
      <c r="H290" s="77" t="s">
        <v>113</v>
      </c>
      <c r="I290" s="77" t="s">
        <v>84</v>
      </c>
      <c r="J290" s="76">
        <v>0</v>
      </c>
    </row>
    <row r="291" spans="1:10" x14ac:dyDescent="0.35">
      <c r="A291" t="s">
        <v>13</v>
      </c>
      <c r="B291" t="s">
        <v>33</v>
      </c>
      <c r="C291" s="77" t="s">
        <v>92</v>
      </c>
      <c r="D291" t="s">
        <v>81</v>
      </c>
      <c r="E291" s="77" t="s">
        <v>106</v>
      </c>
      <c r="F291" s="77" t="s">
        <v>73</v>
      </c>
      <c r="G291" s="77" t="s">
        <v>74</v>
      </c>
      <c r="H291" s="77" t="s">
        <v>113</v>
      </c>
      <c r="I291" s="77" t="s">
        <v>84</v>
      </c>
      <c r="J291" s="76">
        <v>0</v>
      </c>
    </row>
    <row r="292" spans="1:10" x14ac:dyDescent="0.35">
      <c r="A292" t="s">
        <v>13</v>
      </c>
      <c r="B292" t="s">
        <v>33</v>
      </c>
      <c r="C292" s="77" t="s">
        <v>93</v>
      </c>
      <c r="D292" t="s">
        <v>81</v>
      </c>
      <c r="E292" s="77" t="s">
        <v>131</v>
      </c>
      <c r="F292" s="77" t="s">
        <v>73</v>
      </c>
      <c r="G292" s="77" t="s">
        <v>74</v>
      </c>
      <c r="H292" s="77" t="s">
        <v>113</v>
      </c>
      <c r="I292" s="77" t="s">
        <v>84</v>
      </c>
      <c r="J292" s="76">
        <f>'SUT_EU27 total'!$S$109</f>
        <v>0</v>
      </c>
    </row>
    <row r="293" spans="1:10" x14ac:dyDescent="0.35">
      <c r="A293" t="s">
        <v>13</v>
      </c>
      <c r="B293" t="s">
        <v>33</v>
      </c>
      <c r="C293" s="77" t="s">
        <v>93</v>
      </c>
      <c r="D293" t="s">
        <v>81</v>
      </c>
      <c r="E293" s="77" t="s">
        <v>101</v>
      </c>
      <c r="F293" s="77" t="s">
        <v>73</v>
      </c>
      <c r="G293" s="77" t="s">
        <v>74</v>
      </c>
      <c r="H293" s="77" t="s">
        <v>113</v>
      </c>
      <c r="I293" s="77" t="s">
        <v>84</v>
      </c>
      <c r="J293" s="76" cm="1">
        <f t="array" ref="J293:J295">'SUT_EU27 total'!$S$117:$S$119</f>
        <v>0</v>
      </c>
    </row>
    <row r="294" spans="1:10" x14ac:dyDescent="0.35">
      <c r="A294" t="s">
        <v>13</v>
      </c>
      <c r="B294" t="s">
        <v>33</v>
      </c>
      <c r="C294" s="77" t="s">
        <v>93</v>
      </c>
      <c r="D294" t="s">
        <v>81</v>
      </c>
      <c r="E294" s="77" t="s">
        <v>104</v>
      </c>
      <c r="F294" s="77" t="s">
        <v>73</v>
      </c>
      <c r="G294" s="77" t="s">
        <v>74</v>
      </c>
      <c r="H294" s="77" t="s">
        <v>113</v>
      </c>
      <c r="I294" s="77" t="s">
        <v>84</v>
      </c>
      <c r="J294" s="76">
        <v>0</v>
      </c>
    </row>
    <row r="295" spans="1:10" x14ac:dyDescent="0.35">
      <c r="A295" t="s">
        <v>13</v>
      </c>
      <c r="B295" t="s">
        <v>33</v>
      </c>
      <c r="C295" s="77" t="s">
        <v>93</v>
      </c>
      <c r="D295" t="s">
        <v>81</v>
      </c>
      <c r="E295" s="77" t="s">
        <v>106</v>
      </c>
      <c r="F295" s="77" t="s">
        <v>73</v>
      </c>
      <c r="G295" s="77" t="s">
        <v>74</v>
      </c>
      <c r="H295" s="77" t="s">
        <v>113</v>
      </c>
      <c r="I295" s="77" t="s">
        <v>84</v>
      </c>
      <c r="J295" s="76">
        <v>0</v>
      </c>
    </row>
    <row r="296" spans="1:10" x14ac:dyDescent="0.35">
      <c r="A296" t="s">
        <v>13</v>
      </c>
      <c r="B296" t="s">
        <v>33</v>
      </c>
      <c r="C296" s="77" t="s">
        <v>73</v>
      </c>
      <c r="D296" t="s">
        <v>74</v>
      </c>
      <c r="E296" s="77" t="s">
        <v>123</v>
      </c>
      <c r="F296" s="77" t="s">
        <v>73</v>
      </c>
      <c r="G296" s="77" t="s">
        <v>81</v>
      </c>
      <c r="H296" s="77" t="s">
        <v>115</v>
      </c>
      <c r="I296" s="77" t="s">
        <v>84</v>
      </c>
      <c r="J296" s="76" cm="1">
        <f t="array" ref="J296:J302">TRANSPOSE('2030 pathways'!$C$8:$I$8)</f>
        <v>0.11799999999999999</v>
      </c>
    </row>
    <row r="297" spans="1:10" x14ac:dyDescent="0.35">
      <c r="A297" t="s">
        <v>13</v>
      </c>
      <c r="B297" t="s">
        <v>33</v>
      </c>
      <c r="C297" s="77" t="s">
        <v>73</v>
      </c>
      <c r="D297" t="s">
        <v>74</v>
      </c>
      <c r="E297" s="77" t="s">
        <v>127</v>
      </c>
      <c r="F297" s="77" t="s">
        <v>73</v>
      </c>
      <c r="G297" s="77" t="s">
        <v>81</v>
      </c>
      <c r="H297" s="77" t="s">
        <v>115</v>
      </c>
      <c r="I297" s="77" t="s">
        <v>84</v>
      </c>
      <c r="J297" s="76">
        <v>1.18E-2</v>
      </c>
    </row>
    <row r="298" spans="1:10" x14ac:dyDescent="0.35">
      <c r="A298" t="s">
        <v>13</v>
      </c>
      <c r="B298" t="s">
        <v>33</v>
      </c>
      <c r="C298" s="77" t="s">
        <v>73</v>
      </c>
      <c r="D298" t="s">
        <v>74</v>
      </c>
      <c r="E298" s="77" t="s">
        <v>128</v>
      </c>
      <c r="F298" s="77" t="s">
        <v>73</v>
      </c>
      <c r="G298" s="77" t="s">
        <v>81</v>
      </c>
      <c r="H298" s="77" t="s">
        <v>115</v>
      </c>
      <c r="I298" s="77" t="s">
        <v>84</v>
      </c>
      <c r="J298" s="76">
        <v>2.3599999999999999E-2</v>
      </c>
    </row>
    <row r="299" spans="1:10" x14ac:dyDescent="0.35">
      <c r="A299" t="s">
        <v>13</v>
      </c>
      <c r="B299" t="s">
        <v>33</v>
      </c>
      <c r="C299" s="77" t="s">
        <v>73</v>
      </c>
      <c r="D299" t="s">
        <v>74</v>
      </c>
      <c r="E299" s="77" t="s">
        <v>129</v>
      </c>
      <c r="F299" s="77" t="s">
        <v>73</v>
      </c>
      <c r="G299" s="77" t="s">
        <v>81</v>
      </c>
      <c r="H299" s="77" t="s">
        <v>115</v>
      </c>
      <c r="I299" s="77" t="s">
        <v>84</v>
      </c>
      <c r="J299" s="76">
        <v>6.4899999999999999E-2</v>
      </c>
    </row>
    <row r="300" spans="1:10" x14ac:dyDescent="0.35">
      <c r="A300" t="s">
        <v>13</v>
      </c>
      <c r="B300" t="s">
        <v>33</v>
      </c>
      <c r="C300" s="77" t="s">
        <v>73</v>
      </c>
      <c r="D300" t="s">
        <v>74</v>
      </c>
      <c r="E300" s="77" t="s">
        <v>77</v>
      </c>
      <c r="F300" s="77" t="s">
        <v>73</v>
      </c>
      <c r="G300" s="77" t="s">
        <v>81</v>
      </c>
      <c r="H300" s="77" t="s">
        <v>115</v>
      </c>
      <c r="I300" s="77" t="s">
        <v>84</v>
      </c>
      <c r="J300" s="76">
        <v>4.1300000000000003E-2</v>
      </c>
    </row>
    <row r="301" spans="1:10" x14ac:dyDescent="0.35">
      <c r="A301" t="s">
        <v>13</v>
      </c>
      <c r="B301" t="s">
        <v>33</v>
      </c>
      <c r="C301" s="77" t="s">
        <v>73</v>
      </c>
      <c r="D301" t="s">
        <v>74</v>
      </c>
      <c r="E301" s="77" t="s">
        <v>130</v>
      </c>
      <c r="F301" s="77" t="s">
        <v>73</v>
      </c>
      <c r="G301" s="77" t="s">
        <v>81</v>
      </c>
      <c r="H301" s="77" t="s">
        <v>115</v>
      </c>
      <c r="I301" s="77" t="s">
        <v>84</v>
      </c>
      <c r="J301" s="76">
        <v>0.33040000000000003</v>
      </c>
    </row>
    <row r="302" spans="1:10" x14ac:dyDescent="0.35">
      <c r="A302" t="s">
        <v>13</v>
      </c>
      <c r="B302" t="s">
        <v>33</v>
      </c>
      <c r="C302" s="77" t="s">
        <v>73</v>
      </c>
      <c r="D302" t="s">
        <v>74</v>
      </c>
      <c r="E302" s="77" t="s">
        <v>132</v>
      </c>
      <c r="F302" s="77" t="s">
        <v>73</v>
      </c>
      <c r="G302" s="77" t="s">
        <v>81</v>
      </c>
      <c r="H302" s="77" t="s">
        <v>115</v>
      </c>
      <c r="I302" s="77" t="s">
        <v>84</v>
      </c>
      <c r="J302" s="76">
        <v>0.41</v>
      </c>
    </row>
    <row r="303" spans="1:10" x14ac:dyDescent="0.35">
      <c r="A303" t="s">
        <v>13</v>
      </c>
      <c r="B303" t="s">
        <v>33</v>
      </c>
      <c r="C303" s="77" t="s">
        <v>73</v>
      </c>
      <c r="D303" t="s">
        <v>74</v>
      </c>
      <c r="E303" s="77" t="s">
        <v>133</v>
      </c>
      <c r="F303" s="77" t="s">
        <v>73</v>
      </c>
      <c r="G303" s="77" t="s">
        <v>81</v>
      </c>
      <c r="H303" s="77" t="s">
        <v>115</v>
      </c>
      <c r="I303" s="77" t="s">
        <v>84</v>
      </c>
      <c r="J303" s="76">
        <v>0</v>
      </c>
    </row>
    <row r="304" spans="1:10" s="365" customFormat="1" x14ac:dyDescent="0.35">
      <c r="A304" s="466" t="s">
        <v>13</v>
      </c>
      <c r="B304" s="466" t="s">
        <v>31</v>
      </c>
      <c r="C304" s="476" t="s">
        <v>73</v>
      </c>
      <c r="D304" s="466" t="s">
        <v>81</v>
      </c>
      <c r="E304" s="476" t="s">
        <v>115</v>
      </c>
      <c r="F304" s="476" t="s">
        <v>73</v>
      </c>
      <c r="G304" s="476" t="s">
        <v>74</v>
      </c>
      <c r="H304" s="476" t="s">
        <v>102</v>
      </c>
      <c r="I304" s="476" t="s">
        <v>84</v>
      </c>
      <c r="J304" s="477" cm="1">
        <f t="array" ref="J304:J305">'SUT_EU27 total'!$J$19:$J$20</f>
        <v>11.828571428571427</v>
      </c>
    </row>
    <row r="305" spans="1:10" x14ac:dyDescent="0.35">
      <c r="A305" t="s">
        <v>13</v>
      </c>
      <c r="B305" t="s">
        <v>31</v>
      </c>
      <c r="C305" s="77" t="s">
        <v>73</v>
      </c>
      <c r="D305" t="s">
        <v>81</v>
      </c>
      <c r="E305" s="77" t="s">
        <v>116</v>
      </c>
      <c r="F305" s="77" t="s">
        <v>73</v>
      </c>
      <c r="G305" s="77" t="s">
        <v>74</v>
      </c>
      <c r="H305" s="77" t="s">
        <v>102</v>
      </c>
      <c r="I305" s="77" t="s">
        <v>84</v>
      </c>
      <c r="J305" s="76">
        <v>3.3421988920214002E-2</v>
      </c>
    </row>
    <row r="306" spans="1:10" x14ac:dyDescent="0.35">
      <c r="A306" t="s">
        <v>13</v>
      </c>
      <c r="B306" t="s">
        <v>31</v>
      </c>
      <c r="C306" s="77" t="s">
        <v>73</v>
      </c>
      <c r="D306" t="s">
        <v>81</v>
      </c>
      <c r="E306" s="77" t="s">
        <v>117</v>
      </c>
      <c r="F306" s="77" t="s">
        <v>73</v>
      </c>
      <c r="G306" s="77" t="s">
        <v>74</v>
      </c>
      <c r="H306" s="77" t="s">
        <v>102</v>
      </c>
      <c r="I306" s="77" t="s">
        <v>84</v>
      </c>
      <c r="J306" s="76">
        <f>'SUT_EU27 total'!$J$27</f>
        <v>20.996100000000002</v>
      </c>
    </row>
    <row r="307" spans="1:10" x14ac:dyDescent="0.35">
      <c r="A307" t="s">
        <v>13</v>
      </c>
      <c r="B307" t="s">
        <v>31</v>
      </c>
      <c r="C307" s="77" t="s">
        <v>73</v>
      </c>
      <c r="D307" t="s">
        <v>81</v>
      </c>
      <c r="E307" s="77" t="s">
        <v>101</v>
      </c>
      <c r="F307" s="77" t="s">
        <v>73</v>
      </c>
      <c r="G307" s="77" t="s">
        <v>74</v>
      </c>
      <c r="H307" s="77" t="s">
        <v>102</v>
      </c>
      <c r="I307" s="77" t="s">
        <v>84</v>
      </c>
      <c r="J307" s="76" cm="1">
        <f t="array" ref="J307:J309">'SUT_EU27 total'!$J$32:$J$34</f>
        <v>0.13437998483817604</v>
      </c>
    </row>
    <row r="308" spans="1:10" x14ac:dyDescent="0.35">
      <c r="A308" t="s">
        <v>13</v>
      </c>
      <c r="B308" t="s">
        <v>31</v>
      </c>
      <c r="C308" s="77" t="s">
        <v>73</v>
      </c>
      <c r="D308" t="s">
        <v>81</v>
      </c>
      <c r="E308" s="77" t="s">
        <v>104</v>
      </c>
      <c r="F308" s="77" t="s">
        <v>73</v>
      </c>
      <c r="G308" s="77" t="s">
        <v>74</v>
      </c>
      <c r="H308" s="77" t="s">
        <v>102</v>
      </c>
      <c r="I308" s="77" t="s">
        <v>84</v>
      </c>
      <c r="J308" s="76">
        <v>0.25443647306582401</v>
      </c>
    </row>
    <row r="309" spans="1:10" x14ac:dyDescent="0.35">
      <c r="A309" t="s">
        <v>13</v>
      </c>
      <c r="B309" t="s">
        <v>31</v>
      </c>
      <c r="C309" s="77" t="s">
        <v>73</v>
      </c>
      <c r="D309" t="s">
        <v>81</v>
      </c>
      <c r="E309" s="77" t="s">
        <v>106</v>
      </c>
      <c r="F309" s="77" t="s">
        <v>73</v>
      </c>
      <c r="G309" s="77" t="s">
        <v>74</v>
      </c>
      <c r="H309" s="77" t="s">
        <v>102</v>
      </c>
      <c r="I309" s="77" t="s">
        <v>84</v>
      </c>
      <c r="J309" s="76">
        <v>0.86543018049599985</v>
      </c>
    </row>
    <row r="310" spans="1:10" x14ac:dyDescent="0.35">
      <c r="A310" t="s">
        <v>13</v>
      </c>
      <c r="B310" t="s">
        <v>31</v>
      </c>
      <c r="C310" s="77" t="s">
        <v>88</v>
      </c>
      <c r="D310" t="s">
        <v>81</v>
      </c>
      <c r="E310" s="77" t="s">
        <v>115</v>
      </c>
      <c r="F310" s="77" t="s">
        <v>73</v>
      </c>
      <c r="G310" s="77" t="s">
        <v>74</v>
      </c>
      <c r="H310" s="77" t="s">
        <v>102</v>
      </c>
      <c r="I310" s="77" t="s">
        <v>84</v>
      </c>
      <c r="J310" s="76" cm="1">
        <f t="array" ref="J310:J311">'SUT_EU27 total'!$J$36:$J$37</f>
        <v>78.857142857142847</v>
      </c>
    </row>
    <row r="311" spans="1:10" x14ac:dyDescent="0.35">
      <c r="A311" t="s">
        <v>13</v>
      </c>
      <c r="B311" t="s">
        <v>31</v>
      </c>
      <c r="C311" s="77" t="s">
        <v>88</v>
      </c>
      <c r="D311" t="s">
        <v>81</v>
      </c>
      <c r="E311" s="77" t="s">
        <v>116</v>
      </c>
      <c r="F311" s="77" t="s">
        <v>73</v>
      </c>
      <c r="G311" s="77" t="s">
        <v>74</v>
      </c>
      <c r="H311" s="77" t="s">
        <v>102</v>
      </c>
      <c r="I311" s="77" t="s">
        <v>84</v>
      </c>
      <c r="J311" s="76">
        <v>0.7862213561563367</v>
      </c>
    </row>
    <row r="312" spans="1:10" x14ac:dyDescent="0.35">
      <c r="A312" t="s">
        <v>13</v>
      </c>
      <c r="B312" t="s">
        <v>31</v>
      </c>
      <c r="C312" s="77" t="s">
        <v>88</v>
      </c>
      <c r="D312" t="s">
        <v>81</v>
      </c>
      <c r="E312" s="77" t="s">
        <v>117</v>
      </c>
      <c r="F312" s="77" t="s">
        <v>73</v>
      </c>
      <c r="G312" s="77" t="s">
        <v>74</v>
      </c>
      <c r="H312" s="77" t="s">
        <v>102</v>
      </c>
      <c r="I312" s="77" t="s">
        <v>84</v>
      </c>
      <c r="J312" s="76">
        <f>'SUT_EU27 total'!$J$44</f>
        <v>286.26390000000004</v>
      </c>
    </row>
    <row r="313" spans="1:10" x14ac:dyDescent="0.35">
      <c r="A313" t="s">
        <v>13</v>
      </c>
      <c r="B313" t="s">
        <v>31</v>
      </c>
      <c r="C313" s="77" t="s">
        <v>88</v>
      </c>
      <c r="D313" t="s">
        <v>81</v>
      </c>
      <c r="E313" s="77" t="s">
        <v>101</v>
      </c>
      <c r="F313" s="77" t="s">
        <v>73</v>
      </c>
      <c r="G313" s="77" t="s">
        <v>74</v>
      </c>
      <c r="H313" s="77" t="s">
        <v>102</v>
      </c>
      <c r="I313" s="77" t="s">
        <v>84</v>
      </c>
      <c r="J313" s="76" cm="1">
        <f t="array" ref="J313:J315">'SUT_EU27 total'!$J$49:$J$51</f>
        <v>0</v>
      </c>
    </row>
    <row r="314" spans="1:10" x14ac:dyDescent="0.35">
      <c r="A314" t="s">
        <v>13</v>
      </c>
      <c r="B314" t="s">
        <v>31</v>
      </c>
      <c r="C314" s="77" t="s">
        <v>88</v>
      </c>
      <c r="D314" t="s">
        <v>81</v>
      </c>
      <c r="E314" s="77" t="s">
        <v>104</v>
      </c>
      <c r="F314" s="77" t="s">
        <v>73</v>
      </c>
      <c r="G314" s="77" t="s">
        <v>74</v>
      </c>
      <c r="H314" s="77" t="s">
        <v>102</v>
      </c>
      <c r="I314" s="77" t="s">
        <v>84</v>
      </c>
      <c r="J314" s="76">
        <v>0</v>
      </c>
    </row>
    <row r="315" spans="1:10" x14ac:dyDescent="0.35">
      <c r="A315" t="s">
        <v>13</v>
      </c>
      <c r="B315" t="s">
        <v>31</v>
      </c>
      <c r="C315" s="77" t="s">
        <v>88</v>
      </c>
      <c r="D315" t="s">
        <v>81</v>
      </c>
      <c r="E315" s="77" t="s">
        <v>106</v>
      </c>
      <c r="F315" s="77" t="s">
        <v>73</v>
      </c>
      <c r="G315" s="77" t="s">
        <v>74</v>
      </c>
      <c r="H315" s="77" t="s">
        <v>102</v>
      </c>
      <c r="I315" s="77" t="s">
        <v>84</v>
      </c>
      <c r="J315" s="76">
        <v>0</v>
      </c>
    </row>
    <row r="316" spans="1:10" x14ac:dyDescent="0.35">
      <c r="A316" t="s">
        <v>13</v>
      </c>
      <c r="B316" t="s">
        <v>31</v>
      </c>
      <c r="C316" s="77" t="s">
        <v>90</v>
      </c>
      <c r="D316" t="s">
        <v>81</v>
      </c>
      <c r="E316" s="77" t="s">
        <v>115</v>
      </c>
      <c r="F316" s="77" t="s">
        <v>73</v>
      </c>
      <c r="G316" s="77" t="s">
        <v>74</v>
      </c>
      <c r="H316" s="77" t="s">
        <v>102</v>
      </c>
      <c r="I316" s="77" t="s">
        <v>84</v>
      </c>
      <c r="J316" s="76" cm="1">
        <f t="array" ref="J316:J317">'SUT_EU27 total'!$J$53:$J$54</f>
        <v>7.7904761904761894</v>
      </c>
    </row>
    <row r="317" spans="1:10" x14ac:dyDescent="0.35">
      <c r="A317" t="s">
        <v>13</v>
      </c>
      <c r="B317" t="s">
        <v>31</v>
      </c>
      <c r="C317" s="77" t="s">
        <v>90</v>
      </c>
      <c r="D317" t="s">
        <v>81</v>
      </c>
      <c r="E317" s="77" t="s">
        <v>116</v>
      </c>
      <c r="F317" s="77" t="s">
        <v>73</v>
      </c>
      <c r="G317" s="77" t="s">
        <v>74</v>
      </c>
      <c r="H317" s="77" t="s">
        <v>102</v>
      </c>
      <c r="I317" s="77" t="s">
        <v>84</v>
      </c>
      <c r="J317" s="76">
        <v>1.5473889063756709E-2</v>
      </c>
    </row>
    <row r="318" spans="1:10" x14ac:dyDescent="0.35">
      <c r="A318" t="s">
        <v>13</v>
      </c>
      <c r="B318" t="s">
        <v>31</v>
      </c>
      <c r="C318" s="77" t="s">
        <v>90</v>
      </c>
      <c r="D318" t="s">
        <v>81</v>
      </c>
      <c r="E318" s="77" t="s">
        <v>117</v>
      </c>
      <c r="F318" s="77" t="s">
        <v>73</v>
      </c>
      <c r="G318" s="77" t="s">
        <v>74</v>
      </c>
      <c r="H318" s="77" t="s">
        <v>102</v>
      </c>
      <c r="I318" s="77" t="s">
        <v>84</v>
      </c>
      <c r="J318" s="76">
        <f>'SUT_EU27 total'!$J$61</f>
        <v>11.2662</v>
      </c>
    </row>
    <row r="319" spans="1:10" x14ac:dyDescent="0.35">
      <c r="A319" t="s">
        <v>13</v>
      </c>
      <c r="B319" t="s">
        <v>31</v>
      </c>
      <c r="C319" s="77" t="s">
        <v>90</v>
      </c>
      <c r="D319" t="s">
        <v>81</v>
      </c>
      <c r="E319" s="77" t="s">
        <v>101</v>
      </c>
      <c r="F319" s="77" t="s">
        <v>73</v>
      </c>
      <c r="G319" s="77" t="s">
        <v>74</v>
      </c>
      <c r="H319" s="77" t="s">
        <v>102</v>
      </c>
      <c r="I319" s="77" t="s">
        <v>84</v>
      </c>
      <c r="J319" s="76" cm="1">
        <f t="array" ref="J319:J321">'SUT_EU27 total'!$J$66:$J$68</f>
        <v>0</v>
      </c>
    </row>
    <row r="320" spans="1:10" x14ac:dyDescent="0.35">
      <c r="A320" t="s">
        <v>13</v>
      </c>
      <c r="B320" t="s">
        <v>31</v>
      </c>
      <c r="C320" s="77" t="s">
        <v>90</v>
      </c>
      <c r="D320" t="s">
        <v>81</v>
      </c>
      <c r="E320" s="77" t="s">
        <v>104</v>
      </c>
      <c r="F320" s="77" t="s">
        <v>73</v>
      </c>
      <c r="G320" s="77" t="s">
        <v>74</v>
      </c>
      <c r="H320" s="77" t="s">
        <v>102</v>
      </c>
      <c r="I320" s="77" t="s">
        <v>84</v>
      </c>
      <c r="J320" s="76">
        <v>0</v>
      </c>
    </row>
    <row r="321" spans="1:10" x14ac:dyDescent="0.35">
      <c r="A321" t="s">
        <v>13</v>
      </c>
      <c r="B321" t="s">
        <v>31</v>
      </c>
      <c r="C321" s="77" t="s">
        <v>90</v>
      </c>
      <c r="D321" t="s">
        <v>81</v>
      </c>
      <c r="E321" s="77" t="s">
        <v>106</v>
      </c>
      <c r="F321" s="77" t="s">
        <v>73</v>
      </c>
      <c r="G321" s="77" t="s">
        <v>74</v>
      </c>
      <c r="H321" s="77" t="s">
        <v>102</v>
      </c>
      <c r="I321" s="77" t="s">
        <v>84</v>
      </c>
      <c r="J321" s="76">
        <v>0</v>
      </c>
    </row>
    <row r="322" spans="1:10" x14ac:dyDescent="0.35">
      <c r="A322" t="s">
        <v>13</v>
      </c>
      <c r="B322" t="s">
        <v>31</v>
      </c>
      <c r="C322" s="77" t="s">
        <v>91</v>
      </c>
      <c r="D322" t="s">
        <v>81</v>
      </c>
      <c r="E322" s="77" t="s">
        <v>115</v>
      </c>
      <c r="F322" s="77" t="s">
        <v>73</v>
      </c>
      <c r="G322" s="77" t="s">
        <v>74</v>
      </c>
      <c r="H322" s="77" t="s">
        <v>102</v>
      </c>
      <c r="I322" s="77" t="s">
        <v>84</v>
      </c>
      <c r="J322" s="76" cm="1">
        <f t="array" ref="J322:J323">'SUT_EU27 total'!$J$70:$J$71</f>
        <v>15.771428571428569</v>
      </c>
    </row>
    <row r="323" spans="1:10" x14ac:dyDescent="0.35">
      <c r="A323" t="s">
        <v>13</v>
      </c>
      <c r="B323" t="s">
        <v>31</v>
      </c>
      <c r="C323" s="77" t="s">
        <v>91</v>
      </c>
      <c r="D323" t="s">
        <v>81</v>
      </c>
      <c r="E323" s="77" t="s">
        <v>116</v>
      </c>
      <c r="F323" s="77" t="s">
        <v>73</v>
      </c>
      <c r="G323" s="77" t="s">
        <v>74</v>
      </c>
      <c r="H323" s="77" t="s">
        <v>102</v>
      </c>
      <c r="I323" s="77" t="s">
        <v>84</v>
      </c>
      <c r="J323" s="76">
        <v>8.7507175559917313E-2</v>
      </c>
    </row>
    <row r="324" spans="1:10" x14ac:dyDescent="0.35">
      <c r="A324" t="s">
        <v>13</v>
      </c>
      <c r="B324" t="s">
        <v>31</v>
      </c>
      <c r="C324" s="77" t="s">
        <v>91</v>
      </c>
      <c r="D324" t="s">
        <v>81</v>
      </c>
      <c r="E324" s="77" t="s">
        <v>117</v>
      </c>
      <c r="F324" s="77" t="s">
        <v>73</v>
      </c>
      <c r="G324" s="77" t="s">
        <v>74</v>
      </c>
      <c r="H324" s="77" t="s">
        <v>102</v>
      </c>
      <c r="I324" s="77" t="s">
        <v>84</v>
      </c>
      <c r="J324" s="76">
        <f>'SUT_EU27 total'!$J$78</f>
        <v>41.4801</v>
      </c>
    </row>
    <row r="325" spans="1:10" x14ac:dyDescent="0.35">
      <c r="A325" t="s">
        <v>13</v>
      </c>
      <c r="B325" t="s">
        <v>31</v>
      </c>
      <c r="C325" s="77" t="s">
        <v>91</v>
      </c>
      <c r="D325" t="s">
        <v>81</v>
      </c>
      <c r="E325" s="77" t="s">
        <v>101</v>
      </c>
      <c r="F325" s="77" t="s">
        <v>73</v>
      </c>
      <c r="G325" s="77" t="s">
        <v>74</v>
      </c>
      <c r="H325" s="77" t="s">
        <v>102</v>
      </c>
      <c r="I325" s="77" t="s">
        <v>84</v>
      </c>
      <c r="J325" s="76" cm="1">
        <f t="array" ref="J325:J327">'SUT_EU27 total'!$J$83:$J$85</f>
        <v>0</v>
      </c>
    </row>
    <row r="326" spans="1:10" x14ac:dyDescent="0.35">
      <c r="A326" t="s">
        <v>13</v>
      </c>
      <c r="B326" t="s">
        <v>31</v>
      </c>
      <c r="C326" s="77" t="s">
        <v>91</v>
      </c>
      <c r="D326" t="s">
        <v>81</v>
      </c>
      <c r="E326" s="77" t="s">
        <v>104</v>
      </c>
      <c r="F326" s="77" t="s">
        <v>73</v>
      </c>
      <c r="G326" s="77" t="s">
        <v>74</v>
      </c>
      <c r="H326" s="77" t="s">
        <v>102</v>
      </c>
      <c r="I326" s="77" t="s">
        <v>84</v>
      </c>
      <c r="J326" s="76">
        <v>0</v>
      </c>
    </row>
    <row r="327" spans="1:10" x14ac:dyDescent="0.35">
      <c r="A327" t="s">
        <v>13</v>
      </c>
      <c r="B327" t="s">
        <v>31</v>
      </c>
      <c r="C327" s="77" t="s">
        <v>91</v>
      </c>
      <c r="D327" t="s">
        <v>81</v>
      </c>
      <c r="E327" s="77" t="s">
        <v>106</v>
      </c>
      <c r="F327" s="77" t="s">
        <v>73</v>
      </c>
      <c r="G327" s="77" t="s">
        <v>74</v>
      </c>
      <c r="H327" s="77" t="s">
        <v>102</v>
      </c>
      <c r="I327" s="77" t="s">
        <v>84</v>
      </c>
      <c r="J327" s="76">
        <v>0</v>
      </c>
    </row>
    <row r="328" spans="1:10" x14ac:dyDescent="0.35">
      <c r="A328" t="s">
        <v>13</v>
      </c>
      <c r="B328" t="s">
        <v>31</v>
      </c>
      <c r="C328" s="77" t="s">
        <v>92</v>
      </c>
      <c r="D328" t="s">
        <v>81</v>
      </c>
      <c r="E328" s="77" t="s">
        <v>115</v>
      </c>
      <c r="F328" s="77" t="s">
        <v>73</v>
      </c>
      <c r="G328" s="77" t="s">
        <v>74</v>
      </c>
      <c r="H328" s="77" t="s">
        <v>102</v>
      </c>
      <c r="I328" s="77" t="s">
        <v>84</v>
      </c>
      <c r="J328" s="76" cm="1">
        <f t="array" ref="J328:J329">'SUT_EU27 total'!$J$87:$J$88</f>
        <v>6.6239999999999997</v>
      </c>
    </row>
    <row r="329" spans="1:10" x14ac:dyDescent="0.35">
      <c r="A329" t="s">
        <v>13</v>
      </c>
      <c r="B329" t="s">
        <v>31</v>
      </c>
      <c r="C329" s="77" t="s">
        <v>92</v>
      </c>
      <c r="D329" t="s">
        <v>81</v>
      </c>
      <c r="E329" s="77" t="s">
        <v>116</v>
      </c>
      <c r="F329" s="77" t="s">
        <v>73</v>
      </c>
      <c r="G329" s="77" t="s">
        <v>74</v>
      </c>
      <c r="H329" s="77" t="s">
        <v>102</v>
      </c>
      <c r="I329" s="77" t="s">
        <v>84</v>
      </c>
      <c r="J329" s="76">
        <v>6.0040746268656714E-2</v>
      </c>
    </row>
    <row r="330" spans="1:10" x14ac:dyDescent="0.35">
      <c r="A330" t="s">
        <v>13</v>
      </c>
      <c r="B330" t="s">
        <v>31</v>
      </c>
      <c r="C330" s="77" t="s">
        <v>92</v>
      </c>
      <c r="D330" t="s">
        <v>81</v>
      </c>
      <c r="E330" s="77" t="s">
        <v>117</v>
      </c>
      <c r="F330" s="77" t="s">
        <v>73</v>
      </c>
      <c r="G330" s="77" t="s">
        <v>74</v>
      </c>
      <c r="H330" s="77" t="s">
        <v>102</v>
      </c>
      <c r="I330" s="77" t="s">
        <v>84</v>
      </c>
      <c r="J330" s="76">
        <f>'SUT_EU27 total'!$J$95</f>
        <v>13.3146</v>
      </c>
    </row>
    <row r="331" spans="1:10" x14ac:dyDescent="0.35">
      <c r="A331" t="s">
        <v>13</v>
      </c>
      <c r="B331" t="s">
        <v>31</v>
      </c>
      <c r="C331" s="77" t="s">
        <v>92</v>
      </c>
      <c r="D331" t="s">
        <v>81</v>
      </c>
      <c r="E331" s="77" t="s">
        <v>101</v>
      </c>
      <c r="F331" s="77" t="s">
        <v>73</v>
      </c>
      <c r="G331" s="77" t="s">
        <v>74</v>
      </c>
      <c r="H331" s="77" t="s">
        <v>102</v>
      </c>
      <c r="I331" s="77" t="s">
        <v>84</v>
      </c>
      <c r="J331" s="76" cm="1">
        <f t="array" ref="J331:J333">'SUT_EU27 total'!$J$100:$J$102</f>
        <v>0</v>
      </c>
    </row>
    <row r="332" spans="1:10" x14ac:dyDescent="0.35">
      <c r="A332" t="s">
        <v>13</v>
      </c>
      <c r="B332" t="s">
        <v>31</v>
      </c>
      <c r="C332" s="77" t="s">
        <v>92</v>
      </c>
      <c r="D332" t="s">
        <v>81</v>
      </c>
      <c r="E332" s="77" t="s">
        <v>104</v>
      </c>
      <c r="F332" s="77" t="s">
        <v>73</v>
      </c>
      <c r="G332" s="77" t="s">
        <v>74</v>
      </c>
      <c r="H332" s="77" t="s">
        <v>102</v>
      </c>
      <c r="I332" s="77" t="s">
        <v>84</v>
      </c>
      <c r="J332" s="76">
        <v>0</v>
      </c>
    </row>
    <row r="333" spans="1:10" x14ac:dyDescent="0.35">
      <c r="A333" t="s">
        <v>13</v>
      </c>
      <c r="B333" t="s">
        <v>31</v>
      </c>
      <c r="C333" s="77" t="s">
        <v>92</v>
      </c>
      <c r="D333" t="s">
        <v>81</v>
      </c>
      <c r="E333" s="77" t="s">
        <v>106</v>
      </c>
      <c r="F333" s="77" t="s">
        <v>73</v>
      </c>
      <c r="G333" s="77" t="s">
        <v>74</v>
      </c>
      <c r="H333" s="77" t="s">
        <v>102</v>
      </c>
      <c r="I333" s="77" t="s">
        <v>84</v>
      </c>
      <c r="J333" s="76">
        <v>0</v>
      </c>
    </row>
    <row r="334" spans="1:10" x14ac:dyDescent="0.35">
      <c r="A334" t="s">
        <v>13</v>
      </c>
      <c r="B334" t="s">
        <v>31</v>
      </c>
      <c r="C334" s="77" t="s">
        <v>93</v>
      </c>
      <c r="D334" t="s">
        <v>81</v>
      </c>
      <c r="E334" s="77" t="s">
        <v>115</v>
      </c>
      <c r="F334" s="77" t="s">
        <v>73</v>
      </c>
      <c r="G334" s="77" t="s">
        <v>74</v>
      </c>
      <c r="H334" s="77" t="s">
        <v>102</v>
      </c>
      <c r="I334" s="77" t="s">
        <v>84</v>
      </c>
      <c r="J334" s="76" cm="1">
        <f t="array" ref="J334:J335">'SUT_EU27 total'!$J$104:$J$105</f>
        <v>44.633142857142865</v>
      </c>
    </row>
    <row r="335" spans="1:10" x14ac:dyDescent="0.35">
      <c r="A335" t="s">
        <v>13</v>
      </c>
      <c r="B335" t="s">
        <v>31</v>
      </c>
      <c r="C335" s="77" t="s">
        <v>93</v>
      </c>
      <c r="D335" t="s">
        <v>81</v>
      </c>
      <c r="E335" s="77" t="s">
        <v>116</v>
      </c>
      <c r="F335" s="77" t="s">
        <v>73</v>
      </c>
      <c r="G335" s="77" t="s">
        <v>74</v>
      </c>
      <c r="H335" s="77" t="s">
        <v>102</v>
      </c>
      <c r="I335" s="77" t="s">
        <v>84</v>
      </c>
      <c r="J335" s="76">
        <v>0.3673348440311186</v>
      </c>
    </row>
    <row r="336" spans="1:10" x14ac:dyDescent="0.35">
      <c r="A336" t="s">
        <v>13</v>
      </c>
      <c r="B336" t="s">
        <v>31</v>
      </c>
      <c r="C336" s="77" t="s">
        <v>93</v>
      </c>
      <c r="D336" t="s">
        <v>81</v>
      </c>
      <c r="E336" s="77" t="s">
        <v>117</v>
      </c>
      <c r="F336" s="77" t="s">
        <v>73</v>
      </c>
      <c r="G336" s="77" t="s">
        <v>74</v>
      </c>
      <c r="H336" s="77" t="s">
        <v>102</v>
      </c>
      <c r="I336" s="77" t="s">
        <v>84</v>
      </c>
      <c r="J336" s="76">
        <f>'SUT_EU27 total'!$J$112</f>
        <v>138.77909999999997</v>
      </c>
    </row>
    <row r="337" spans="1:10" x14ac:dyDescent="0.35">
      <c r="A337" t="s">
        <v>13</v>
      </c>
      <c r="B337" t="s">
        <v>31</v>
      </c>
      <c r="C337" s="77" t="s">
        <v>93</v>
      </c>
      <c r="D337" t="s">
        <v>81</v>
      </c>
      <c r="E337" s="77" t="s">
        <v>101</v>
      </c>
      <c r="F337" s="77" t="s">
        <v>73</v>
      </c>
      <c r="G337" s="77" t="s">
        <v>74</v>
      </c>
      <c r="H337" s="77" t="s">
        <v>102</v>
      </c>
      <c r="I337" s="77" t="s">
        <v>84</v>
      </c>
      <c r="J337" s="76" cm="1">
        <f t="array" ref="J337:J339">'SUT_EU27 total'!$J$117:$J$119</f>
        <v>0</v>
      </c>
    </row>
    <row r="338" spans="1:10" x14ac:dyDescent="0.35">
      <c r="A338" t="s">
        <v>13</v>
      </c>
      <c r="B338" t="s">
        <v>31</v>
      </c>
      <c r="C338" s="77" t="s">
        <v>93</v>
      </c>
      <c r="D338" t="s">
        <v>81</v>
      </c>
      <c r="E338" s="77" t="s">
        <v>104</v>
      </c>
      <c r="F338" s="77" t="s">
        <v>73</v>
      </c>
      <c r="G338" s="77" t="s">
        <v>74</v>
      </c>
      <c r="H338" s="77" t="s">
        <v>102</v>
      </c>
      <c r="I338" s="77" t="s">
        <v>84</v>
      </c>
      <c r="J338" s="76">
        <v>0</v>
      </c>
    </row>
    <row r="339" spans="1:10" x14ac:dyDescent="0.35">
      <c r="A339" t="s">
        <v>13</v>
      </c>
      <c r="B339" t="s">
        <v>31</v>
      </c>
      <c r="C339" s="77" t="s">
        <v>93</v>
      </c>
      <c r="D339" t="s">
        <v>81</v>
      </c>
      <c r="E339" s="77" t="s">
        <v>106</v>
      </c>
      <c r="F339" s="77" t="s">
        <v>73</v>
      </c>
      <c r="G339" s="77" t="s">
        <v>74</v>
      </c>
      <c r="H339" s="77" t="s">
        <v>102</v>
      </c>
      <c r="I339" s="77" t="s">
        <v>84</v>
      </c>
      <c r="J339" s="76">
        <v>0</v>
      </c>
    </row>
    <row r="340" spans="1:10" x14ac:dyDescent="0.35">
      <c r="A340" t="s">
        <v>13</v>
      </c>
      <c r="B340" t="s">
        <v>31</v>
      </c>
      <c r="C340" s="77" t="s">
        <v>73</v>
      </c>
      <c r="D340" t="s">
        <v>81</v>
      </c>
      <c r="E340" s="77" t="s">
        <v>118</v>
      </c>
      <c r="F340" s="77" t="s">
        <v>73</v>
      </c>
      <c r="G340" s="77" t="s">
        <v>74</v>
      </c>
      <c r="H340" s="77" t="s">
        <v>108</v>
      </c>
      <c r="I340" s="77" t="s">
        <v>84</v>
      </c>
      <c r="J340" s="76" cm="1">
        <f t="array" ref="J340:J342">'SUT_EU27 total'!$K$21:$K$23</f>
        <v>1.4582562144772118E-3</v>
      </c>
    </row>
    <row r="341" spans="1:10" x14ac:dyDescent="0.35">
      <c r="A341" t="s">
        <v>13</v>
      </c>
      <c r="B341" t="s">
        <v>31</v>
      </c>
      <c r="C341" s="77" t="s">
        <v>73</v>
      </c>
      <c r="D341" t="s">
        <v>81</v>
      </c>
      <c r="E341" s="77" t="s">
        <v>119</v>
      </c>
      <c r="F341" s="77" t="s">
        <v>73</v>
      </c>
      <c r="G341" s="77" t="s">
        <v>74</v>
      </c>
      <c r="H341" s="77" t="s">
        <v>108</v>
      </c>
      <c r="I341" s="77" t="s">
        <v>84</v>
      </c>
      <c r="J341" s="76">
        <v>8.4634636521458274E-4</v>
      </c>
    </row>
    <row r="342" spans="1:10" x14ac:dyDescent="0.35">
      <c r="A342" t="s">
        <v>13</v>
      </c>
      <c r="B342" t="s">
        <v>31</v>
      </c>
      <c r="C342" s="77" t="s">
        <v>73</v>
      </c>
      <c r="D342" t="s">
        <v>81</v>
      </c>
      <c r="E342" s="77" t="s">
        <v>120</v>
      </c>
      <c r="F342" s="77" t="s">
        <v>73</v>
      </c>
      <c r="G342" s="77" t="s">
        <v>74</v>
      </c>
      <c r="H342" s="77" t="s">
        <v>108</v>
      </c>
      <c r="I342" s="77" t="s">
        <v>84</v>
      </c>
      <c r="J342" s="76">
        <v>1.2517329093179335E-4</v>
      </c>
    </row>
    <row r="343" spans="1:10" x14ac:dyDescent="0.35">
      <c r="A343" t="s">
        <v>13</v>
      </c>
      <c r="B343" t="s">
        <v>31</v>
      </c>
      <c r="C343" s="77" t="s">
        <v>73</v>
      </c>
      <c r="D343" t="s">
        <v>81</v>
      </c>
      <c r="E343" s="77" t="s">
        <v>121</v>
      </c>
      <c r="F343" s="77" t="s">
        <v>73</v>
      </c>
      <c r="G343" s="77" t="s">
        <v>74</v>
      </c>
      <c r="H343" s="77" t="s">
        <v>108</v>
      </c>
      <c r="I343" s="77" t="s">
        <v>84</v>
      </c>
      <c r="J343" s="76">
        <f>'SUT_EU27 total'!$K$25</f>
        <v>6.9749679999999994E-2</v>
      </c>
    </row>
    <row r="344" spans="1:10" x14ac:dyDescent="0.35">
      <c r="A344" t="s">
        <v>13</v>
      </c>
      <c r="B344" t="s">
        <v>31</v>
      </c>
      <c r="C344" s="77" t="s">
        <v>73</v>
      </c>
      <c r="D344" t="s">
        <v>81</v>
      </c>
      <c r="E344" s="77" t="s">
        <v>117</v>
      </c>
      <c r="F344" s="77" t="s">
        <v>73</v>
      </c>
      <c r="G344" s="77" t="s">
        <v>74</v>
      </c>
      <c r="H344" s="77" t="s">
        <v>108</v>
      </c>
      <c r="I344" s="77" t="s">
        <v>84</v>
      </c>
      <c r="J344" s="76">
        <f>'SUT_EU27 total'!$K$27</f>
        <v>1.1932942595726979E-3</v>
      </c>
    </row>
    <row r="345" spans="1:10" x14ac:dyDescent="0.35">
      <c r="A345" t="s">
        <v>13</v>
      </c>
      <c r="B345" t="s">
        <v>31</v>
      </c>
      <c r="C345" s="77" t="s">
        <v>73</v>
      </c>
      <c r="D345" t="s">
        <v>81</v>
      </c>
      <c r="E345" s="77" t="s">
        <v>122</v>
      </c>
      <c r="F345" s="77" t="s">
        <v>73</v>
      </c>
      <c r="G345" s="77" t="s">
        <v>74</v>
      </c>
      <c r="H345" s="77" t="s">
        <v>108</v>
      </c>
      <c r="I345" s="77" t="s">
        <v>84</v>
      </c>
      <c r="J345" s="76">
        <f>'SUT_EU27 total'!$K$30</f>
        <v>1.5965533412604042E-3</v>
      </c>
    </row>
    <row r="346" spans="1:10" x14ac:dyDescent="0.35">
      <c r="A346" t="s">
        <v>13</v>
      </c>
      <c r="B346" t="s">
        <v>31</v>
      </c>
      <c r="C346" s="77" t="s">
        <v>73</v>
      </c>
      <c r="D346" t="s">
        <v>81</v>
      </c>
      <c r="E346" s="77" t="s">
        <v>101</v>
      </c>
      <c r="F346" s="77" t="s">
        <v>73</v>
      </c>
      <c r="G346" s="77" t="s">
        <v>74</v>
      </c>
      <c r="H346" s="77" t="s">
        <v>108</v>
      </c>
      <c r="I346" s="77" t="s">
        <v>84</v>
      </c>
      <c r="J346" s="76" cm="1">
        <f t="array" ref="J346:J348">'SUT_EU27 total'!$K$32:$K$34</f>
        <v>2.4335351040000001E-4</v>
      </c>
    </row>
    <row r="347" spans="1:10" x14ac:dyDescent="0.35">
      <c r="A347" t="s">
        <v>13</v>
      </c>
      <c r="B347" t="s">
        <v>31</v>
      </c>
      <c r="C347" s="77" t="s">
        <v>73</v>
      </c>
      <c r="D347" t="s">
        <v>81</v>
      </c>
      <c r="E347" s="77" t="s">
        <v>104</v>
      </c>
      <c r="F347" s="77" t="s">
        <v>73</v>
      </c>
      <c r="G347" s="77" t="s">
        <v>74</v>
      </c>
      <c r="H347" s="77" t="s">
        <v>108</v>
      </c>
      <c r="I347" s="77" t="s">
        <v>84</v>
      </c>
      <c r="J347" s="76">
        <v>4.6076808959999996E-4</v>
      </c>
    </row>
    <row r="348" spans="1:10" x14ac:dyDescent="0.35">
      <c r="A348" t="s">
        <v>13</v>
      </c>
      <c r="B348" t="s">
        <v>31</v>
      </c>
      <c r="C348" s="77" t="s">
        <v>73</v>
      </c>
      <c r="D348" t="s">
        <v>81</v>
      </c>
      <c r="E348" s="77" t="s">
        <v>106</v>
      </c>
      <c r="F348" s="77" t="s">
        <v>73</v>
      </c>
      <c r="G348" s="77" t="s">
        <v>74</v>
      </c>
      <c r="H348" s="77" t="s">
        <v>108</v>
      </c>
      <c r="I348" s="77" t="s">
        <v>84</v>
      </c>
      <c r="J348" s="76">
        <v>1.5672383999999996E-3</v>
      </c>
    </row>
    <row r="349" spans="1:10" x14ac:dyDescent="0.35">
      <c r="A349" t="s">
        <v>13</v>
      </c>
      <c r="B349" t="s">
        <v>31</v>
      </c>
      <c r="C349" s="77" t="s">
        <v>88</v>
      </c>
      <c r="D349" t="s">
        <v>81</v>
      </c>
      <c r="E349" s="77" t="s">
        <v>118</v>
      </c>
      <c r="F349" s="77" t="s">
        <v>73</v>
      </c>
      <c r="G349" s="77" t="s">
        <v>74</v>
      </c>
      <c r="H349" s="77" t="s">
        <v>108</v>
      </c>
      <c r="I349" s="77" t="s">
        <v>84</v>
      </c>
      <c r="J349" s="76" cm="1">
        <f t="array" ref="J349:J351">'SUT_EU27 total'!$K$38:$K$40</f>
        <v>3.3029309855227888E-2</v>
      </c>
    </row>
    <row r="350" spans="1:10" x14ac:dyDescent="0.35">
      <c r="A350" t="s">
        <v>13</v>
      </c>
      <c r="B350" t="s">
        <v>31</v>
      </c>
      <c r="C350" s="77" t="s">
        <v>88</v>
      </c>
      <c r="D350" t="s">
        <v>81</v>
      </c>
      <c r="E350" s="77" t="s">
        <v>119</v>
      </c>
      <c r="F350" s="77" t="s">
        <v>73</v>
      </c>
      <c r="G350" s="77" t="s">
        <v>74</v>
      </c>
      <c r="H350" s="77" t="s">
        <v>108</v>
      </c>
      <c r="I350" s="77" t="s">
        <v>84</v>
      </c>
      <c r="J350" s="76">
        <v>6.9915569300335089E-3</v>
      </c>
    </row>
    <row r="351" spans="1:10" x14ac:dyDescent="0.35">
      <c r="A351" t="s">
        <v>13</v>
      </c>
      <c r="B351" t="s">
        <v>31</v>
      </c>
      <c r="C351" s="77" t="s">
        <v>88</v>
      </c>
      <c r="D351" t="s">
        <v>81</v>
      </c>
      <c r="E351" s="77" t="s">
        <v>120</v>
      </c>
      <c r="F351" s="77" t="s">
        <v>73</v>
      </c>
      <c r="G351" s="77" t="s">
        <v>74</v>
      </c>
      <c r="H351" s="77" t="s">
        <v>108</v>
      </c>
      <c r="I351" s="77" t="s">
        <v>84</v>
      </c>
      <c r="J351" s="76">
        <v>1.5283979779928203E-3</v>
      </c>
    </row>
    <row r="352" spans="1:10" x14ac:dyDescent="0.35">
      <c r="A352" t="s">
        <v>13</v>
      </c>
      <c r="B352" t="s">
        <v>31</v>
      </c>
      <c r="C352" s="77" t="s">
        <v>88</v>
      </c>
      <c r="D352" t="s">
        <v>81</v>
      </c>
      <c r="E352" s="77" t="s">
        <v>121</v>
      </c>
      <c r="F352" s="77" t="s">
        <v>73</v>
      </c>
      <c r="G352" s="77" t="s">
        <v>74</v>
      </c>
      <c r="H352" s="77" t="s">
        <v>108</v>
      </c>
      <c r="I352" s="77" t="s">
        <v>84</v>
      </c>
      <c r="J352" s="76">
        <f>'SUT_EU27 total'!$K$42</f>
        <v>0</v>
      </c>
    </row>
    <row r="353" spans="1:10" x14ac:dyDescent="0.35">
      <c r="A353" t="s">
        <v>13</v>
      </c>
      <c r="B353" t="s">
        <v>31</v>
      </c>
      <c r="C353" s="77" t="s">
        <v>88</v>
      </c>
      <c r="D353" t="s">
        <v>81</v>
      </c>
      <c r="E353" s="77" t="s">
        <v>117</v>
      </c>
      <c r="F353" s="77" t="s">
        <v>73</v>
      </c>
      <c r="G353" s="77" t="s">
        <v>74</v>
      </c>
      <c r="H353" s="77" t="s">
        <v>108</v>
      </c>
      <c r="I353" s="77" t="s">
        <v>84</v>
      </c>
      <c r="J353" s="76">
        <f>'SUT_EU27 total'!$K$44</f>
        <v>9.9090099874062521E-4</v>
      </c>
    </row>
    <row r="354" spans="1:10" x14ac:dyDescent="0.35">
      <c r="A354" t="s">
        <v>13</v>
      </c>
      <c r="B354" t="s">
        <v>31</v>
      </c>
      <c r="C354" s="77" t="s">
        <v>88</v>
      </c>
      <c r="D354" t="s">
        <v>81</v>
      </c>
      <c r="E354" s="77" t="s">
        <v>122</v>
      </c>
      <c r="F354" s="77" t="s">
        <v>73</v>
      </c>
      <c r="G354" s="77" t="s">
        <v>74</v>
      </c>
      <c r="H354" s="77" t="s">
        <v>108</v>
      </c>
      <c r="I354" s="77" t="s">
        <v>84</v>
      </c>
      <c r="J354" s="76">
        <f>'SUT_EU27 total'!$K$47</f>
        <v>0</v>
      </c>
    </row>
    <row r="355" spans="1:10" x14ac:dyDescent="0.35">
      <c r="A355" t="s">
        <v>13</v>
      </c>
      <c r="B355" t="s">
        <v>31</v>
      </c>
      <c r="C355" s="77" t="s">
        <v>88</v>
      </c>
      <c r="D355" t="s">
        <v>81</v>
      </c>
      <c r="E355" s="77" t="s">
        <v>101</v>
      </c>
      <c r="F355" s="77" t="s">
        <v>73</v>
      </c>
      <c r="G355" s="77" t="s">
        <v>74</v>
      </c>
      <c r="H355" s="77" t="s">
        <v>108</v>
      </c>
      <c r="I355" s="77" t="s">
        <v>84</v>
      </c>
      <c r="J355" s="76" cm="1">
        <f t="array" ref="J355:J357">'SUT_EU27 total'!$K$49:$K$51</f>
        <v>0</v>
      </c>
    </row>
    <row r="356" spans="1:10" x14ac:dyDescent="0.35">
      <c r="A356" t="s">
        <v>13</v>
      </c>
      <c r="B356" t="s">
        <v>31</v>
      </c>
      <c r="C356" s="77" t="s">
        <v>88</v>
      </c>
      <c r="D356" t="s">
        <v>81</v>
      </c>
      <c r="E356" s="77" t="s">
        <v>104</v>
      </c>
      <c r="F356" s="77" t="s">
        <v>73</v>
      </c>
      <c r="G356" s="77" t="s">
        <v>74</v>
      </c>
      <c r="H356" s="77" t="s">
        <v>108</v>
      </c>
      <c r="I356" s="77" t="s">
        <v>84</v>
      </c>
      <c r="J356" s="76">
        <v>0</v>
      </c>
    </row>
    <row r="357" spans="1:10" x14ac:dyDescent="0.35">
      <c r="A357" t="s">
        <v>13</v>
      </c>
      <c r="B357" t="s">
        <v>31</v>
      </c>
      <c r="C357" s="77" t="s">
        <v>88</v>
      </c>
      <c r="D357" t="s">
        <v>81</v>
      </c>
      <c r="E357" s="77" t="s">
        <v>106</v>
      </c>
      <c r="F357" s="77" t="s">
        <v>73</v>
      </c>
      <c r="G357" s="77" t="s">
        <v>74</v>
      </c>
      <c r="H357" s="77" t="s">
        <v>108</v>
      </c>
      <c r="I357" s="77" t="s">
        <v>84</v>
      </c>
      <c r="J357" s="76">
        <v>0</v>
      </c>
    </row>
    <row r="358" spans="1:10" x14ac:dyDescent="0.35">
      <c r="A358" t="s">
        <v>13</v>
      </c>
      <c r="B358" t="s">
        <v>31</v>
      </c>
      <c r="C358" s="77" t="s">
        <v>90</v>
      </c>
      <c r="D358" t="s">
        <v>81</v>
      </c>
      <c r="E358" s="77" t="s">
        <v>118</v>
      </c>
      <c r="F358" s="77" t="s">
        <v>73</v>
      </c>
      <c r="G358" s="77" t="s">
        <v>74</v>
      </c>
      <c r="H358" s="77" t="s">
        <v>108</v>
      </c>
      <c r="I358" s="77" t="s">
        <v>84</v>
      </c>
      <c r="J358" s="76" cm="1">
        <f t="array" ref="J358:J360">'SUT_EU27 total'!$K$55:$K$57</f>
        <v>4.323194595174263E-3</v>
      </c>
    </row>
    <row r="359" spans="1:10" x14ac:dyDescent="0.35">
      <c r="A359" t="s">
        <v>13</v>
      </c>
      <c r="B359" t="s">
        <v>31</v>
      </c>
      <c r="C359" s="77" t="s">
        <v>90</v>
      </c>
      <c r="D359" t="s">
        <v>81</v>
      </c>
      <c r="E359" s="77" t="s">
        <v>119</v>
      </c>
      <c r="F359" s="77" t="s">
        <v>73</v>
      </c>
      <c r="G359" s="77" t="s">
        <v>74</v>
      </c>
      <c r="H359" s="77" t="s">
        <v>108</v>
      </c>
      <c r="I359" s="77" t="s">
        <v>84</v>
      </c>
      <c r="J359" s="76">
        <v>1.2800331672655335E-3</v>
      </c>
    </row>
    <row r="360" spans="1:10" x14ac:dyDescent="0.35">
      <c r="A360" t="s">
        <v>13</v>
      </c>
      <c r="B360" t="s">
        <v>31</v>
      </c>
      <c r="C360" s="77" t="s">
        <v>90</v>
      </c>
      <c r="D360" t="s">
        <v>81</v>
      </c>
      <c r="E360" s="77" t="s">
        <v>120</v>
      </c>
      <c r="F360" s="77" t="s">
        <v>73</v>
      </c>
      <c r="G360" s="77" t="s">
        <v>74</v>
      </c>
      <c r="H360" s="77" t="s">
        <v>108</v>
      </c>
      <c r="I360" s="77" t="s">
        <v>84</v>
      </c>
      <c r="J360" s="76">
        <v>5.6700291220540041E-3</v>
      </c>
    </row>
    <row r="361" spans="1:10" x14ac:dyDescent="0.35">
      <c r="A361" t="s">
        <v>13</v>
      </c>
      <c r="B361" t="s">
        <v>31</v>
      </c>
      <c r="C361" s="77" t="s">
        <v>90</v>
      </c>
      <c r="D361" t="s">
        <v>81</v>
      </c>
      <c r="E361" s="77" t="s">
        <v>121</v>
      </c>
      <c r="F361" s="77" t="s">
        <v>73</v>
      </c>
      <c r="G361" s="77" t="s">
        <v>74</v>
      </c>
      <c r="H361" s="77" t="s">
        <v>108</v>
      </c>
      <c r="I361" s="77" t="s">
        <v>84</v>
      </c>
      <c r="J361" s="76">
        <f>'SUT_EU27 total'!$K$59</f>
        <v>0</v>
      </c>
    </row>
    <row r="362" spans="1:10" x14ac:dyDescent="0.35">
      <c r="A362" t="s">
        <v>13</v>
      </c>
      <c r="B362" t="s">
        <v>31</v>
      </c>
      <c r="C362" s="77" t="s">
        <v>90</v>
      </c>
      <c r="D362" t="s">
        <v>81</v>
      </c>
      <c r="E362" s="77" t="s">
        <v>117</v>
      </c>
      <c r="F362" s="77" t="s">
        <v>73</v>
      </c>
      <c r="G362" s="77" t="s">
        <v>74</v>
      </c>
      <c r="H362" s="77" t="s">
        <v>108</v>
      </c>
      <c r="I362" s="77" t="s">
        <v>84</v>
      </c>
      <c r="J362" s="76">
        <f>'SUT_EU27 total'!$K$61</f>
        <v>1.1930979242119881E-3</v>
      </c>
    </row>
    <row r="363" spans="1:10" x14ac:dyDescent="0.35">
      <c r="A363" t="s">
        <v>13</v>
      </c>
      <c r="B363" t="s">
        <v>31</v>
      </c>
      <c r="C363" s="77" t="s">
        <v>90</v>
      </c>
      <c r="D363" t="s">
        <v>81</v>
      </c>
      <c r="E363" s="77" t="s">
        <v>122</v>
      </c>
      <c r="F363" s="77" t="s">
        <v>73</v>
      </c>
      <c r="G363" s="77" t="s">
        <v>74</v>
      </c>
      <c r="H363" s="77" t="s">
        <v>108</v>
      </c>
      <c r="I363" s="77" t="s">
        <v>84</v>
      </c>
      <c r="J363" s="76">
        <f>'SUT_EU27 total'!$K$64</f>
        <v>2.5776238002378116E-3</v>
      </c>
    </row>
    <row r="364" spans="1:10" x14ac:dyDescent="0.35">
      <c r="A364" t="s">
        <v>13</v>
      </c>
      <c r="B364" t="s">
        <v>31</v>
      </c>
      <c r="C364" s="77" t="s">
        <v>90</v>
      </c>
      <c r="D364" t="s">
        <v>81</v>
      </c>
      <c r="E364" s="77" t="s">
        <v>101</v>
      </c>
      <c r="F364" s="77" t="s">
        <v>73</v>
      </c>
      <c r="G364" s="77" t="s">
        <v>74</v>
      </c>
      <c r="H364" s="77" t="s">
        <v>108</v>
      </c>
      <c r="I364" s="77" t="s">
        <v>84</v>
      </c>
      <c r="J364" s="76" cm="1">
        <f t="array" ref="J364:J366">'SUT_EU27 total'!$K$66:$K$68</f>
        <v>0</v>
      </c>
    </row>
    <row r="365" spans="1:10" x14ac:dyDescent="0.35">
      <c r="A365" t="s">
        <v>13</v>
      </c>
      <c r="B365" t="s">
        <v>31</v>
      </c>
      <c r="C365" s="77" t="s">
        <v>90</v>
      </c>
      <c r="D365" t="s">
        <v>81</v>
      </c>
      <c r="E365" s="77" t="s">
        <v>104</v>
      </c>
      <c r="F365" s="77" t="s">
        <v>73</v>
      </c>
      <c r="G365" s="77" t="s">
        <v>74</v>
      </c>
      <c r="H365" s="77" t="s">
        <v>108</v>
      </c>
      <c r="I365" s="77" t="s">
        <v>84</v>
      </c>
      <c r="J365" s="76">
        <v>0</v>
      </c>
    </row>
    <row r="366" spans="1:10" x14ac:dyDescent="0.35">
      <c r="A366" t="s">
        <v>13</v>
      </c>
      <c r="B366" t="s">
        <v>31</v>
      </c>
      <c r="C366" s="77" t="s">
        <v>90</v>
      </c>
      <c r="D366" t="s">
        <v>81</v>
      </c>
      <c r="E366" s="77" t="s">
        <v>106</v>
      </c>
      <c r="F366" s="77" t="s">
        <v>73</v>
      </c>
      <c r="G366" s="77" t="s">
        <v>74</v>
      </c>
      <c r="H366" s="77" t="s">
        <v>108</v>
      </c>
      <c r="I366" s="77" t="s">
        <v>84</v>
      </c>
      <c r="J366" s="76">
        <v>0</v>
      </c>
    </row>
    <row r="367" spans="1:10" x14ac:dyDescent="0.35">
      <c r="A367" t="s">
        <v>13</v>
      </c>
      <c r="B367" t="s">
        <v>31</v>
      </c>
      <c r="C367" s="77" t="s">
        <v>91</v>
      </c>
      <c r="D367" t="s">
        <v>81</v>
      </c>
      <c r="E367" s="77" t="s">
        <v>118</v>
      </c>
      <c r="F367" s="77" t="s">
        <v>73</v>
      </c>
      <c r="G367" s="77" t="s">
        <v>74</v>
      </c>
      <c r="H367" s="77" t="s">
        <v>108</v>
      </c>
      <c r="I367" s="77" t="s">
        <v>84</v>
      </c>
      <c r="J367" s="76" cm="1">
        <f t="array" ref="J367:J369">'SUT_EU27 total'!$K$72:$K$74</f>
        <v>5.3791732332439677E-3</v>
      </c>
    </row>
    <row r="368" spans="1:10" x14ac:dyDescent="0.35">
      <c r="A368" t="s">
        <v>13</v>
      </c>
      <c r="B368" t="s">
        <v>31</v>
      </c>
      <c r="C368" s="77" t="s">
        <v>91</v>
      </c>
      <c r="D368" t="s">
        <v>81</v>
      </c>
      <c r="E368" s="77" t="s">
        <v>119</v>
      </c>
      <c r="F368" s="77" t="s">
        <v>73</v>
      </c>
      <c r="G368" s="77" t="s">
        <v>74</v>
      </c>
      <c r="H368" s="77" t="s">
        <v>108</v>
      </c>
      <c r="I368" s="77" t="s">
        <v>84</v>
      </c>
      <c r="J368" s="76">
        <v>6.5526133182607291E-3</v>
      </c>
    </row>
    <row r="369" spans="1:10" x14ac:dyDescent="0.35">
      <c r="A369" t="s">
        <v>13</v>
      </c>
      <c r="B369" t="s">
        <v>31</v>
      </c>
      <c r="C369" s="77" t="s">
        <v>91</v>
      </c>
      <c r="D369" t="s">
        <v>81</v>
      </c>
      <c r="E369" s="77" t="s">
        <v>120</v>
      </c>
      <c r="F369" s="77" t="s">
        <v>73</v>
      </c>
      <c r="G369" s="77" t="s">
        <v>74</v>
      </c>
      <c r="H369" s="77" t="s">
        <v>108</v>
      </c>
      <c r="I369" s="77" t="s">
        <v>84</v>
      </c>
      <c r="J369" s="76">
        <v>2.464950959887623E-4</v>
      </c>
    </row>
    <row r="370" spans="1:10" x14ac:dyDescent="0.35">
      <c r="A370" t="s">
        <v>13</v>
      </c>
      <c r="B370" t="s">
        <v>31</v>
      </c>
      <c r="C370" s="77" t="s">
        <v>91</v>
      </c>
      <c r="D370" t="s">
        <v>81</v>
      </c>
      <c r="E370" s="77" t="s">
        <v>121</v>
      </c>
      <c r="F370" s="77" t="s">
        <v>73</v>
      </c>
      <c r="G370" s="77" t="s">
        <v>74</v>
      </c>
      <c r="H370" s="77" t="s">
        <v>108</v>
      </c>
      <c r="I370" s="77" t="s">
        <v>84</v>
      </c>
      <c r="J370" s="76">
        <f>'SUT_EU27 total'!$K$76</f>
        <v>0</v>
      </c>
    </row>
    <row r="371" spans="1:10" x14ac:dyDescent="0.35">
      <c r="A371" t="s">
        <v>13</v>
      </c>
      <c r="B371" t="s">
        <v>31</v>
      </c>
      <c r="C371" s="77" t="s">
        <v>91</v>
      </c>
      <c r="D371" t="s">
        <v>81</v>
      </c>
      <c r="E371" s="77" t="s">
        <v>117</v>
      </c>
      <c r="F371" s="77" t="s">
        <v>73</v>
      </c>
      <c r="G371" s="77" t="s">
        <v>74</v>
      </c>
      <c r="H371" s="77" t="s">
        <v>108</v>
      </c>
      <c r="I371" s="77" t="s">
        <v>84</v>
      </c>
      <c r="J371" s="76">
        <f>'SUT_EU27 total'!$K$78</f>
        <v>1.1485683451306521E-3</v>
      </c>
    </row>
    <row r="372" spans="1:10" x14ac:dyDescent="0.35">
      <c r="A372" t="s">
        <v>13</v>
      </c>
      <c r="B372" t="s">
        <v>31</v>
      </c>
      <c r="C372" s="77" t="s">
        <v>91</v>
      </c>
      <c r="D372" t="s">
        <v>81</v>
      </c>
      <c r="E372" s="77" t="s">
        <v>122</v>
      </c>
      <c r="F372" s="77" t="s">
        <v>73</v>
      </c>
      <c r="G372" s="77" t="s">
        <v>74</v>
      </c>
      <c r="H372" s="77" t="s">
        <v>108</v>
      </c>
      <c r="I372" s="77" t="s">
        <v>84</v>
      </c>
      <c r="J372" s="76">
        <f>'SUT_EU27 total'!$K$81</f>
        <v>0</v>
      </c>
    </row>
    <row r="373" spans="1:10" x14ac:dyDescent="0.35">
      <c r="A373" t="s">
        <v>13</v>
      </c>
      <c r="B373" t="s">
        <v>31</v>
      </c>
      <c r="C373" s="77" t="s">
        <v>91</v>
      </c>
      <c r="D373" t="s">
        <v>81</v>
      </c>
      <c r="E373" s="77" t="s">
        <v>101</v>
      </c>
      <c r="F373" s="77" t="s">
        <v>73</v>
      </c>
      <c r="G373" s="77" t="s">
        <v>74</v>
      </c>
      <c r="H373" s="77" t="s">
        <v>108</v>
      </c>
      <c r="I373" s="77" t="s">
        <v>84</v>
      </c>
      <c r="J373" s="76" cm="1">
        <f t="array" ref="J373:J375">'SUT_EU27 total'!$K$83:$K$85</f>
        <v>0</v>
      </c>
    </row>
    <row r="374" spans="1:10" x14ac:dyDescent="0.35">
      <c r="A374" t="s">
        <v>13</v>
      </c>
      <c r="B374" t="s">
        <v>31</v>
      </c>
      <c r="C374" s="77" t="s">
        <v>91</v>
      </c>
      <c r="D374" t="s">
        <v>81</v>
      </c>
      <c r="E374" s="77" t="s">
        <v>104</v>
      </c>
      <c r="F374" s="77" t="s">
        <v>73</v>
      </c>
      <c r="G374" s="77" t="s">
        <v>74</v>
      </c>
      <c r="H374" s="77" t="s">
        <v>108</v>
      </c>
      <c r="I374" s="77" t="s">
        <v>84</v>
      </c>
      <c r="J374" s="76">
        <v>0</v>
      </c>
    </row>
    <row r="375" spans="1:10" x14ac:dyDescent="0.35">
      <c r="A375" t="s">
        <v>13</v>
      </c>
      <c r="B375" t="s">
        <v>31</v>
      </c>
      <c r="C375" s="77" t="s">
        <v>91</v>
      </c>
      <c r="D375" t="s">
        <v>81</v>
      </c>
      <c r="E375" s="77" t="s">
        <v>106</v>
      </c>
      <c r="F375" s="77" t="s">
        <v>73</v>
      </c>
      <c r="G375" s="77" t="s">
        <v>74</v>
      </c>
      <c r="H375" s="77" t="s">
        <v>108</v>
      </c>
      <c r="I375" s="77" t="s">
        <v>84</v>
      </c>
      <c r="J375" s="76">
        <v>0</v>
      </c>
    </row>
    <row r="376" spans="1:10" x14ac:dyDescent="0.35">
      <c r="A376" t="s">
        <v>13</v>
      </c>
      <c r="B376" t="s">
        <v>31</v>
      </c>
      <c r="C376" s="77" t="s">
        <v>92</v>
      </c>
      <c r="D376" t="s">
        <v>81</v>
      </c>
      <c r="E376" s="77" t="s">
        <v>118</v>
      </c>
      <c r="F376" s="77" t="s">
        <v>73</v>
      </c>
      <c r="G376" s="77" t="s">
        <v>74</v>
      </c>
      <c r="H376" s="77" t="s">
        <v>108</v>
      </c>
      <c r="I376" s="77" t="s">
        <v>84</v>
      </c>
      <c r="J376" s="76" cm="1">
        <f t="array" ref="J376:J378">'SUT_EU27 total'!$K$89:$K$91</f>
        <v>3.3497344343163542E-3</v>
      </c>
    </row>
    <row r="377" spans="1:10" x14ac:dyDescent="0.35">
      <c r="A377" t="s">
        <v>13</v>
      </c>
      <c r="B377" t="s">
        <v>31</v>
      </c>
      <c r="C377" s="77" t="s">
        <v>92</v>
      </c>
      <c r="D377" t="s">
        <v>81</v>
      </c>
      <c r="E377" s="77" t="s">
        <v>119</v>
      </c>
      <c r="F377" s="77" t="s">
        <v>73</v>
      </c>
      <c r="G377" s="77" t="s">
        <v>74</v>
      </c>
      <c r="H377" s="77" t="s">
        <v>108</v>
      </c>
      <c r="I377" s="77" t="s">
        <v>84</v>
      </c>
      <c r="J377" s="76">
        <v>6.0269323460777589E-3</v>
      </c>
    </row>
    <row r="378" spans="1:10" x14ac:dyDescent="0.35">
      <c r="A378" t="s">
        <v>13</v>
      </c>
      <c r="B378" t="s">
        <v>31</v>
      </c>
      <c r="C378" s="77" t="s">
        <v>92</v>
      </c>
      <c r="D378" t="s">
        <v>81</v>
      </c>
      <c r="E378" s="77" t="s">
        <v>120</v>
      </c>
      <c r="F378" s="77" t="s">
        <v>73</v>
      </c>
      <c r="G378" s="77" t="s">
        <v>74</v>
      </c>
      <c r="H378" s="77" t="s">
        <v>108</v>
      </c>
      <c r="I378" s="77" t="s">
        <v>84</v>
      </c>
      <c r="J378" s="76">
        <v>4.0947713992508196E-3</v>
      </c>
    </row>
    <row r="379" spans="1:10" x14ac:dyDescent="0.35">
      <c r="A379" t="s">
        <v>13</v>
      </c>
      <c r="B379" t="s">
        <v>31</v>
      </c>
      <c r="C379" s="77" t="s">
        <v>92</v>
      </c>
      <c r="D379" t="s">
        <v>81</v>
      </c>
      <c r="E379" s="77" t="s">
        <v>121</v>
      </c>
      <c r="F379" s="77" t="s">
        <v>73</v>
      </c>
      <c r="G379" s="77" t="s">
        <v>74</v>
      </c>
      <c r="H379" s="77" t="s">
        <v>108</v>
      </c>
      <c r="I379" s="77" t="s">
        <v>84</v>
      </c>
      <c r="J379" s="76">
        <f>'SUT_EU27 total'!$K$93</f>
        <v>0</v>
      </c>
    </row>
    <row r="380" spans="1:10" x14ac:dyDescent="0.35">
      <c r="A380" t="s">
        <v>13</v>
      </c>
      <c r="B380" t="s">
        <v>31</v>
      </c>
      <c r="C380" s="77" t="s">
        <v>92</v>
      </c>
      <c r="D380" t="s">
        <v>81</v>
      </c>
      <c r="E380" s="77" t="s">
        <v>117</v>
      </c>
      <c r="F380" s="77" t="s">
        <v>73</v>
      </c>
      <c r="G380" s="77" t="s">
        <v>74</v>
      </c>
      <c r="H380" s="77" t="s">
        <v>108</v>
      </c>
      <c r="I380" s="77" t="s">
        <v>84</v>
      </c>
      <c r="J380" s="76">
        <f>'SUT_EU27 total'!$K$95</f>
        <v>0</v>
      </c>
    </row>
    <row r="381" spans="1:10" x14ac:dyDescent="0.35">
      <c r="A381" t="s">
        <v>13</v>
      </c>
      <c r="B381" t="s">
        <v>31</v>
      </c>
      <c r="C381" s="77" t="s">
        <v>92</v>
      </c>
      <c r="D381" t="s">
        <v>81</v>
      </c>
      <c r="E381" s="77" t="s">
        <v>122</v>
      </c>
      <c r="F381" s="77" t="s">
        <v>73</v>
      </c>
      <c r="G381" s="77" t="s">
        <v>74</v>
      </c>
      <c r="H381" s="77" t="s">
        <v>108</v>
      </c>
      <c r="I381" s="77" t="s">
        <v>84</v>
      </c>
      <c r="J381" s="76">
        <f>'SUT_EU27 total'!$K$98</f>
        <v>0</v>
      </c>
    </row>
    <row r="382" spans="1:10" x14ac:dyDescent="0.35">
      <c r="A382" t="s">
        <v>13</v>
      </c>
      <c r="B382" t="s">
        <v>31</v>
      </c>
      <c r="C382" s="77" t="s">
        <v>92</v>
      </c>
      <c r="D382" t="s">
        <v>81</v>
      </c>
      <c r="E382" s="77" t="s">
        <v>101</v>
      </c>
      <c r="F382" s="77" t="s">
        <v>73</v>
      </c>
      <c r="G382" s="77" t="s">
        <v>74</v>
      </c>
      <c r="H382" s="77" t="s">
        <v>108</v>
      </c>
      <c r="I382" s="77" t="s">
        <v>84</v>
      </c>
      <c r="J382" s="76" cm="1">
        <f t="array" ref="J382:J384">'SUT_EU27 total'!$K$100:$K$102</f>
        <v>0</v>
      </c>
    </row>
    <row r="383" spans="1:10" x14ac:dyDescent="0.35">
      <c r="A383" t="s">
        <v>13</v>
      </c>
      <c r="B383" t="s">
        <v>31</v>
      </c>
      <c r="C383" s="77" t="s">
        <v>92</v>
      </c>
      <c r="D383" t="s">
        <v>81</v>
      </c>
      <c r="E383" s="77" t="s">
        <v>104</v>
      </c>
      <c r="F383" s="77" t="s">
        <v>73</v>
      </c>
      <c r="G383" s="77" t="s">
        <v>74</v>
      </c>
      <c r="H383" s="77" t="s">
        <v>108</v>
      </c>
      <c r="I383" s="77" t="s">
        <v>84</v>
      </c>
      <c r="J383" s="76">
        <v>0</v>
      </c>
    </row>
    <row r="384" spans="1:10" x14ac:dyDescent="0.35">
      <c r="A384" t="s">
        <v>13</v>
      </c>
      <c r="B384" t="s">
        <v>31</v>
      </c>
      <c r="C384" s="77" t="s">
        <v>92</v>
      </c>
      <c r="D384" t="s">
        <v>81</v>
      </c>
      <c r="E384" s="77" t="s">
        <v>106</v>
      </c>
      <c r="F384" s="77" t="s">
        <v>73</v>
      </c>
      <c r="G384" s="77" t="s">
        <v>74</v>
      </c>
      <c r="H384" s="77" t="s">
        <v>108</v>
      </c>
      <c r="I384" s="77" t="s">
        <v>84</v>
      </c>
      <c r="J384" s="76">
        <v>0</v>
      </c>
    </row>
    <row r="385" spans="1:10" x14ac:dyDescent="0.35">
      <c r="A385" t="s">
        <v>13</v>
      </c>
      <c r="B385" t="s">
        <v>31</v>
      </c>
      <c r="C385" s="77" t="s">
        <v>93</v>
      </c>
      <c r="D385" t="s">
        <v>81</v>
      </c>
      <c r="E385" s="77" t="s">
        <v>118</v>
      </c>
      <c r="F385" s="77" t="s">
        <v>73</v>
      </c>
      <c r="G385" s="77" t="s">
        <v>74</v>
      </c>
      <c r="H385" s="77" t="s">
        <v>108</v>
      </c>
      <c r="I385" s="77" t="s">
        <v>84</v>
      </c>
      <c r="J385" s="76" cm="1">
        <f t="array" ref="J385:J387">'SUT_EU27 total'!$K$106:$K$108</f>
        <v>1.4980971667560324E-2</v>
      </c>
    </row>
    <row r="386" spans="1:10" x14ac:dyDescent="0.35">
      <c r="A386" t="s">
        <v>13</v>
      </c>
      <c r="B386" t="s">
        <v>31</v>
      </c>
      <c r="C386" s="77" t="s">
        <v>93</v>
      </c>
      <c r="D386" t="s">
        <v>81</v>
      </c>
      <c r="E386" s="77" t="s">
        <v>119</v>
      </c>
      <c r="F386" s="77" t="s">
        <v>73</v>
      </c>
      <c r="G386" s="77" t="s">
        <v>74</v>
      </c>
      <c r="H386" s="77" t="s">
        <v>108</v>
      </c>
      <c r="I386" s="77" t="s">
        <v>84</v>
      </c>
      <c r="J386" s="76">
        <v>4.3405477873147885E-2</v>
      </c>
    </row>
    <row r="387" spans="1:10" x14ac:dyDescent="0.35">
      <c r="A387" t="s">
        <v>13</v>
      </c>
      <c r="B387" t="s">
        <v>31</v>
      </c>
      <c r="C387" s="77" t="s">
        <v>93</v>
      </c>
      <c r="D387" t="s">
        <v>81</v>
      </c>
      <c r="E387" s="77" t="s">
        <v>120</v>
      </c>
      <c r="F387" s="77" t="s">
        <v>73</v>
      </c>
      <c r="G387" s="77" t="s">
        <v>74</v>
      </c>
      <c r="H387" s="77" t="s">
        <v>108</v>
      </c>
      <c r="I387" s="77" t="s">
        <v>84</v>
      </c>
      <c r="J387" s="76">
        <v>2.1237093113781802E-2</v>
      </c>
    </row>
    <row r="388" spans="1:10" x14ac:dyDescent="0.35">
      <c r="A388" t="s">
        <v>13</v>
      </c>
      <c r="B388" t="s">
        <v>31</v>
      </c>
      <c r="C388" s="77" t="s">
        <v>93</v>
      </c>
      <c r="D388" t="s">
        <v>81</v>
      </c>
      <c r="E388" s="77" t="s">
        <v>121</v>
      </c>
      <c r="F388" s="77" t="s">
        <v>73</v>
      </c>
      <c r="G388" s="77" t="s">
        <v>74</v>
      </c>
      <c r="H388" s="77" t="s">
        <v>108</v>
      </c>
      <c r="I388" s="77" t="s">
        <v>84</v>
      </c>
      <c r="J388" s="76">
        <f>'SUT_EU27 total'!$K$110</f>
        <v>0</v>
      </c>
    </row>
    <row r="389" spans="1:10" x14ac:dyDescent="0.35">
      <c r="A389" t="s">
        <v>13</v>
      </c>
      <c r="B389" t="s">
        <v>31</v>
      </c>
      <c r="C389" s="77" t="s">
        <v>93</v>
      </c>
      <c r="D389" t="s">
        <v>81</v>
      </c>
      <c r="E389" s="77" t="s">
        <v>117</v>
      </c>
      <c r="F389" s="77" t="s">
        <v>73</v>
      </c>
      <c r="G389" s="77" t="s">
        <v>74</v>
      </c>
      <c r="H389" s="77" t="s">
        <v>108</v>
      </c>
      <c r="I389" s="77" t="s">
        <v>84</v>
      </c>
      <c r="J389" s="76">
        <f>'SUT_EU27 total'!$K$112</f>
        <v>1.1930984723440377E-3</v>
      </c>
    </row>
    <row r="390" spans="1:10" x14ac:dyDescent="0.35">
      <c r="A390" t="s">
        <v>13</v>
      </c>
      <c r="B390" t="s">
        <v>31</v>
      </c>
      <c r="C390" s="77" t="s">
        <v>93</v>
      </c>
      <c r="D390" t="s">
        <v>81</v>
      </c>
      <c r="E390" s="77" t="s">
        <v>122</v>
      </c>
      <c r="F390" s="77" t="s">
        <v>73</v>
      </c>
      <c r="G390" s="77" t="s">
        <v>74</v>
      </c>
      <c r="H390" s="77" t="s">
        <v>108</v>
      </c>
      <c r="I390" s="77" t="s">
        <v>84</v>
      </c>
      <c r="J390" s="76">
        <f>'SUT_EU27 total'!$K$115</f>
        <v>8.7987828585017833E-3</v>
      </c>
    </row>
    <row r="391" spans="1:10" x14ac:dyDescent="0.35">
      <c r="A391" t="s">
        <v>13</v>
      </c>
      <c r="B391" t="s">
        <v>31</v>
      </c>
      <c r="C391" s="77" t="s">
        <v>93</v>
      </c>
      <c r="D391" t="s">
        <v>81</v>
      </c>
      <c r="E391" s="77" t="s">
        <v>101</v>
      </c>
      <c r="F391" s="77" t="s">
        <v>73</v>
      </c>
      <c r="G391" s="77" t="s">
        <v>74</v>
      </c>
      <c r="H391" s="77" t="s">
        <v>108</v>
      </c>
      <c r="I391" s="77" t="s">
        <v>84</v>
      </c>
      <c r="J391" s="76" cm="1">
        <f t="array" ref="J391:J393">'SUT_EU27 total'!$K$117:$K$119</f>
        <v>0</v>
      </c>
    </row>
    <row r="392" spans="1:10" x14ac:dyDescent="0.35">
      <c r="A392" t="s">
        <v>13</v>
      </c>
      <c r="B392" t="s">
        <v>31</v>
      </c>
      <c r="C392" s="77" t="s">
        <v>93</v>
      </c>
      <c r="D392" t="s">
        <v>81</v>
      </c>
      <c r="E392" s="77" t="s">
        <v>104</v>
      </c>
      <c r="F392" s="77" t="s">
        <v>73</v>
      </c>
      <c r="G392" s="77" t="s">
        <v>74</v>
      </c>
      <c r="H392" s="77" t="s">
        <v>108</v>
      </c>
      <c r="I392" s="77" t="s">
        <v>84</v>
      </c>
      <c r="J392" s="76">
        <v>0</v>
      </c>
    </row>
    <row r="393" spans="1:10" x14ac:dyDescent="0.35">
      <c r="A393" t="s">
        <v>13</v>
      </c>
      <c r="B393" t="s">
        <v>31</v>
      </c>
      <c r="C393" s="77" t="s">
        <v>93</v>
      </c>
      <c r="D393" t="s">
        <v>81</v>
      </c>
      <c r="E393" s="77" t="s">
        <v>106</v>
      </c>
      <c r="F393" s="77" t="s">
        <v>73</v>
      </c>
      <c r="G393" s="77" t="s">
        <v>74</v>
      </c>
      <c r="H393" s="77" t="s">
        <v>108</v>
      </c>
      <c r="I393" s="77" t="s">
        <v>84</v>
      </c>
      <c r="J393" s="76">
        <v>0</v>
      </c>
    </row>
    <row r="394" spans="1:10" x14ac:dyDescent="0.35">
      <c r="A394" t="s">
        <v>13</v>
      </c>
      <c r="B394" t="s">
        <v>31</v>
      </c>
      <c r="C394" s="77" t="s">
        <v>73</v>
      </c>
      <c r="D394" t="s">
        <v>81</v>
      </c>
      <c r="E394" s="77" t="s">
        <v>119</v>
      </c>
      <c r="F394" s="77" t="s">
        <v>73</v>
      </c>
      <c r="G394" s="77" t="s">
        <v>74</v>
      </c>
      <c r="H394" s="77" t="s">
        <v>123</v>
      </c>
      <c r="I394" s="77" t="s">
        <v>84</v>
      </c>
      <c r="J394" s="76">
        <f>'SUT_EU27 total'!$L$22</f>
        <v>1.9500181678711294E-2</v>
      </c>
    </row>
    <row r="395" spans="1:10" x14ac:dyDescent="0.35">
      <c r="A395" t="s">
        <v>13</v>
      </c>
      <c r="B395" t="s">
        <v>31</v>
      </c>
      <c r="C395" s="77" t="s">
        <v>73</v>
      </c>
      <c r="D395" t="s">
        <v>81</v>
      </c>
      <c r="E395" s="77" t="s">
        <v>124</v>
      </c>
      <c r="F395" s="77" t="s">
        <v>73</v>
      </c>
      <c r="G395" s="77" t="s">
        <v>74</v>
      </c>
      <c r="H395" s="77" t="s">
        <v>123</v>
      </c>
      <c r="I395" s="77" t="s">
        <v>84</v>
      </c>
      <c r="J395" s="76" cm="1">
        <f t="array" ref="J395:J403">'SUT_EU27 total'!$L$26:$L$34</f>
        <v>1.9404661061278542E-3</v>
      </c>
    </row>
    <row r="396" spans="1:10" x14ac:dyDescent="0.35">
      <c r="A396" t="s">
        <v>13</v>
      </c>
      <c r="B396" t="s">
        <v>31</v>
      </c>
      <c r="C396" s="77" t="s">
        <v>73</v>
      </c>
      <c r="D396" t="s">
        <v>81</v>
      </c>
      <c r="E396" s="77" t="s">
        <v>117</v>
      </c>
      <c r="F396" s="77" t="s">
        <v>73</v>
      </c>
      <c r="G396" s="77" t="s">
        <v>74</v>
      </c>
      <c r="H396" s="77" t="s">
        <v>123</v>
      </c>
      <c r="I396" s="77" t="s">
        <v>84</v>
      </c>
      <c r="J396" s="76">
        <v>5.8423628191201782E-3</v>
      </c>
    </row>
    <row r="397" spans="1:10" x14ac:dyDescent="0.35">
      <c r="A397" t="s">
        <v>13</v>
      </c>
      <c r="B397" t="s">
        <v>31</v>
      </c>
      <c r="C397" s="77" t="s">
        <v>73</v>
      </c>
      <c r="D397" t="s">
        <v>81</v>
      </c>
      <c r="E397" s="77" t="s">
        <v>82</v>
      </c>
      <c r="F397" s="77" t="s">
        <v>73</v>
      </c>
      <c r="G397" s="77" t="s">
        <v>74</v>
      </c>
      <c r="H397" s="77" t="s">
        <v>123</v>
      </c>
      <c r="I397" s="77" t="s">
        <v>84</v>
      </c>
      <c r="J397" s="76">
        <v>4.8981233243967828E-4</v>
      </c>
    </row>
    <row r="398" spans="1:10" x14ac:dyDescent="0.35">
      <c r="A398" t="s">
        <v>13</v>
      </c>
      <c r="B398" t="s">
        <v>31</v>
      </c>
      <c r="C398" s="77" t="s">
        <v>73</v>
      </c>
      <c r="D398" t="s">
        <v>81</v>
      </c>
      <c r="E398" s="77" t="s">
        <v>125</v>
      </c>
      <c r="F398" s="77" t="s">
        <v>73</v>
      </c>
      <c r="G398" s="77" t="s">
        <v>74</v>
      </c>
      <c r="H398" s="77" t="s">
        <v>123</v>
      </c>
      <c r="I398" s="77" t="s">
        <v>84</v>
      </c>
      <c r="J398" s="76">
        <v>2.4658201215687387E-3</v>
      </c>
    </row>
    <row r="399" spans="1:10" x14ac:dyDescent="0.35">
      <c r="A399" t="s">
        <v>13</v>
      </c>
      <c r="B399" t="s">
        <v>31</v>
      </c>
      <c r="C399" s="77" t="s">
        <v>73</v>
      </c>
      <c r="D399" t="s">
        <v>81</v>
      </c>
      <c r="E399" s="77" t="s">
        <v>122</v>
      </c>
      <c r="F399" s="77" t="s">
        <v>73</v>
      </c>
      <c r="G399" s="77" t="s">
        <v>74</v>
      </c>
      <c r="H399" s="77" t="s">
        <v>123</v>
      </c>
      <c r="I399" s="77" t="s">
        <v>84</v>
      </c>
      <c r="J399" s="76">
        <v>4.922711058263972E-4</v>
      </c>
    </row>
    <row r="400" spans="1:10" x14ac:dyDescent="0.35">
      <c r="A400" t="s">
        <v>13</v>
      </c>
      <c r="B400" t="s">
        <v>31</v>
      </c>
      <c r="C400" s="77" t="s">
        <v>73</v>
      </c>
      <c r="D400" t="s">
        <v>81</v>
      </c>
      <c r="E400" s="77" t="s">
        <v>126</v>
      </c>
      <c r="F400" s="77" t="s">
        <v>73</v>
      </c>
      <c r="G400" s="77" t="s">
        <v>74</v>
      </c>
      <c r="H400" s="77" t="s">
        <v>123</v>
      </c>
      <c r="I400" s="77" t="s">
        <v>84</v>
      </c>
      <c r="J400" s="76">
        <v>0</v>
      </c>
    </row>
    <row r="401" spans="1:10" x14ac:dyDescent="0.35">
      <c r="A401" t="s">
        <v>13</v>
      </c>
      <c r="B401" t="s">
        <v>31</v>
      </c>
      <c r="C401" s="77" t="s">
        <v>73</v>
      </c>
      <c r="D401" t="s">
        <v>81</v>
      </c>
      <c r="E401" s="77" t="s">
        <v>101</v>
      </c>
      <c r="F401" s="77" t="s">
        <v>73</v>
      </c>
      <c r="G401" s="77" t="s">
        <v>74</v>
      </c>
      <c r="H401" s="77" t="s">
        <v>123</v>
      </c>
      <c r="I401" s="77" t="s">
        <v>84</v>
      </c>
      <c r="J401" s="76">
        <v>3.7860913795851507E-4</v>
      </c>
    </row>
    <row r="402" spans="1:10" x14ac:dyDescent="0.35">
      <c r="A402" t="s">
        <v>13</v>
      </c>
      <c r="B402" t="s">
        <v>31</v>
      </c>
      <c r="C402" s="77" t="s">
        <v>73</v>
      </c>
      <c r="D402" t="s">
        <v>81</v>
      </c>
      <c r="E402" s="77" t="s">
        <v>104</v>
      </c>
      <c r="F402" s="77" t="s">
        <v>73</v>
      </c>
      <c r="G402" s="77" t="s">
        <v>74</v>
      </c>
      <c r="H402" s="77" t="s">
        <v>123</v>
      </c>
      <c r="I402" s="77" t="s">
        <v>84</v>
      </c>
      <c r="J402" s="76">
        <v>7.1686251377883477E-4</v>
      </c>
    </row>
    <row r="403" spans="1:10" x14ac:dyDescent="0.35">
      <c r="A403" t="s">
        <v>13</v>
      </c>
      <c r="B403" t="s">
        <v>31</v>
      </c>
      <c r="C403" s="77" t="s">
        <v>73</v>
      </c>
      <c r="D403" t="s">
        <v>81</v>
      </c>
      <c r="E403" s="77" t="s">
        <v>106</v>
      </c>
      <c r="F403" s="77" t="s">
        <v>73</v>
      </c>
      <c r="G403" s="77" t="s">
        <v>74</v>
      </c>
      <c r="H403" s="77" t="s">
        <v>123</v>
      </c>
      <c r="I403" s="77" t="s">
        <v>84</v>
      </c>
      <c r="J403" s="76">
        <v>2.438307869996036E-3</v>
      </c>
    </row>
    <row r="404" spans="1:10" x14ac:dyDescent="0.35">
      <c r="A404" t="s">
        <v>13</v>
      </c>
      <c r="B404" t="s">
        <v>31</v>
      </c>
      <c r="C404" s="77" t="s">
        <v>88</v>
      </c>
      <c r="D404" t="s">
        <v>81</v>
      </c>
      <c r="E404" s="77" t="s">
        <v>119</v>
      </c>
      <c r="F404" s="77" t="s">
        <v>73</v>
      </c>
      <c r="G404" s="77" t="s">
        <v>74</v>
      </c>
      <c r="H404" s="77" t="s">
        <v>123</v>
      </c>
      <c r="I404" s="77" t="s">
        <v>84</v>
      </c>
      <c r="J404" s="76">
        <f>'SUT_EU27 total'!$L$39</f>
        <v>0.16108845734587587</v>
      </c>
    </row>
    <row r="405" spans="1:10" x14ac:dyDescent="0.35">
      <c r="A405" t="s">
        <v>13</v>
      </c>
      <c r="B405" t="s">
        <v>31</v>
      </c>
      <c r="C405" s="77" t="s">
        <v>88</v>
      </c>
      <c r="D405" t="s">
        <v>81</v>
      </c>
      <c r="E405" s="77" t="s">
        <v>124</v>
      </c>
      <c r="F405" s="77" t="s">
        <v>73</v>
      </c>
      <c r="G405" s="77" t="s">
        <v>74</v>
      </c>
      <c r="H405" s="77" t="s">
        <v>123</v>
      </c>
      <c r="I405" s="77" t="s">
        <v>84</v>
      </c>
      <c r="J405" s="76" cm="1">
        <f t="array" ref="J405:J413">'SUT_EU27 total'!$M$43:$M$51</f>
        <v>5.0558836222750793E-4</v>
      </c>
    </row>
    <row r="406" spans="1:10" x14ac:dyDescent="0.35">
      <c r="A406" t="s">
        <v>13</v>
      </c>
      <c r="B406" t="s">
        <v>31</v>
      </c>
      <c r="C406" s="77" t="s">
        <v>88</v>
      </c>
      <c r="D406" t="s">
        <v>81</v>
      </c>
      <c r="E406" s="77" t="s">
        <v>117</v>
      </c>
      <c r="F406" s="77" t="s">
        <v>73</v>
      </c>
      <c r="G406" s="77" t="s">
        <v>74</v>
      </c>
      <c r="H406" s="77" t="s">
        <v>123</v>
      </c>
      <c r="I406" s="77" t="s">
        <v>84</v>
      </c>
      <c r="J406" s="76">
        <v>4.8514464106651379E-3</v>
      </c>
    </row>
    <row r="407" spans="1:10" x14ac:dyDescent="0.35">
      <c r="A407" t="s">
        <v>13</v>
      </c>
      <c r="B407" t="s">
        <v>31</v>
      </c>
      <c r="C407" s="77" t="s">
        <v>88</v>
      </c>
      <c r="D407" t="s">
        <v>81</v>
      </c>
      <c r="E407" s="77" t="s">
        <v>82</v>
      </c>
      <c r="F407" s="77" t="s">
        <v>73</v>
      </c>
      <c r="G407" s="77" t="s">
        <v>74</v>
      </c>
      <c r="H407" s="77" t="s">
        <v>123</v>
      </c>
      <c r="I407" s="77" t="s">
        <v>84</v>
      </c>
      <c r="J407" s="76">
        <v>1.109418436791091E-2</v>
      </c>
    </row>
    <row r="408" spans="1:10" x14ac:dyDescent="0.35">
      <c r="A408" t="s">
        <v>13</v>
      </c>
      <c r="B408" t="s">
        <v>31</v>
      </c>
      <c r="C408" s="77" t="s">
        <v>88</v>
      </c>
      <c r="D408" t="s">
        <v>81</v>
      </c>
      <c r="E408" s="77" t="s">
        <v>125</v>
      </c>
      <c r="F408" s="77" t="s">
        <v>73</v>
      </c>
      <c r="G408" s="77" t="s">
        <v>74</v>
      </c>
      <c r="H408" s="77" t="s">
        <v>123</v>
      </c>
      <c r="I408" s="77" t="s">
        <v>84</v>
      </c>
      <c r="J408" s="76">
        <v>2.890870278990243E-5</v>
      </c>
    </row>
    <row r="409" spans="1:10" x14ac:dyDescent="0.35">
      <c r="A409" t="s">
        <v>13</v>
      </c>
      <c r="B409" t="s">
        <v>31</v>
      </c>
      <c r="C409" s="77" t="s">
        <v>88</v>
      </c>
      <c r="D409" t="s">
        <v>81</v>
      </c>
      <c r="E409" s="77" t="s">
        <v>122</v>
      </c>
      <c r="F409" s="77" t="s">
        <v>73</v>
      </c>
      <c r="G409" s="77" t="s">
        <v>74</v>
      </c>
      <c r="H409" s="77" t="s">
        <v>123</v>
      </c>
      <c r="I409" s="77" t="s">
        <v>84</v>
      </c>
      <c r="J409" s="76">
        <v>0</v>
      </c>
    </row>
    <row r="410" spans="1:10" x14ac:dyDescent="0.35">
      <c r="A410" t="s">
        <v>13</v>
      </c>
      <c r="B410" t="s">
        <v>31</v>
      </c>
      <c r="C410" s="77" t="s">
        <v>88</v>
      </c>
      <c r="D410" t="s">
        <v>81</v>
      </c>
      <c r="E410" s="77" t="s">
        <v>126</v>
      </c>
      <c r="F410" s="77" t="s">
        <v>73</v>
      </c>
      <c r="G410" s="77" t="s">
        <v>74</v>
      </c>
      <c r="H410" s="77" t="s">
        <v>123</v>
      </c>
      <c r="I410" s="77" t="s">
        <v>84</v>
      </c>
      <c r="J410" s="76">
        <v>2.8514320987501449E-3</v>
      </c>
    </row>
    <row r="411" spans="1:10" x14ac:dyDescent="0.35">
      <c r="A411" t="s">
        <v>13</v>
      </c>
      <c r="B411" t="s">
        <v>31</v>
      </c>
      <c r="C411" s="77" t="s">
        <v>88</v>
      </c>
      <c r="D411" t="s">
        <v>81</v>
      </c>
      <c r="E411" s="77" t="s">
        <v>101</v>
      </c>
      <c r="F411" s="77" t="s">
        <v>73</v>
      </c>
      <c r="G411" s="77" t="s">
        <v>74</v>
      </c>
      <c r="H411" s="77" t="s">
        <v>123</v>
      </c>
      <c r="I411" s="77" t="s">
        <v>84</v>
      </c>
      <c r="J411" s="76">
        <v>0</v>
      </c>
    </row>
    <row r="412" spans="1:10" x14ac:dyDescent="0.35">
      <c r="A412" t="s">
        <v>13</v>
      </c>
      <c r="B412" t="s">
        <v>31</v>
      </c>
      <c r="C412" s="77" t="s">
        <v>88</v>
      </c>
      <c r="D412" t="s">
        <v>81</v>
      </c>
      <c r="E412" s="77" t="s">
        <v>104</v>
      </c>
      <c r="F412" s="77" t="s">
        <v>73</v>
      </c>
      <c r="G412" s="77" t="s">
        <v>74</v>
      </c>
      <c r="H412" s="77" t="s">
        <v>123</v>
      </c>
      <c r="I412" s="77" t="s">
        <v>84</v>
      </c>
      <c r="J412" s="76">
        <v>0</v>
      </c>
    </row>
    <row r="413" spans="1:10" x14ac:dyDescent="0.35">
      <c r="A413" t="s">
        <v>13</v>
      </c>
      <c r="B413" t="s">
        <v>31</v>
      </c>
      <c r="C413" s="77" t="s">
        <v>88</v>
      </c>
      <c r="D413" t="s">
        <v>81</v>
      </c>
      <c r="E413" s="77" t="s">
        <v>106</v>
      </c>
      <c r="F413" s="77" t="s">
        <v>73</v>
      </c>
      <c r="G413" s="77" t="s">
        <v>74</v>
      </c>
      <c r="H413" s="77" t="s">
        <v>123</v>
      </c>
      <c r="I413" s="77" t="s">
        <v>84</v>
      </c>
      <c r="J413" s="76">
        <v>0</v>
      </c>
    </row>
    <row r="414" spans="1:10" x14ac:dyDescent="0.35">
      <c r="A414" t="s">
        <v>13</v>
      </c>
      <c r="B414" t="s">
        <v>31</v>
      </c>
      <c r="C414" s="77" t="s">
        <v>90</v>
      </c>
      <c r="D414" t="s">
        <v>81</v>
      </c>
      <c r="E414" s="77" t="s">
        <v>119</v>
      </c>
      <c r="F414" s="77" t="s">
        <v>73</v>
      </c>
      <c r="G414" s="77" t="s">
        <v>74</v>
      </c>
      <c r="H414" s="77" t="s">
        <v>123</v>
      </c>
      <c r="I414" s="77" t="s">
        <v>84</v>
      </c>
      <c r="J414" s="76">
        <f>'SUT_EU27 total'!$M$56</f>
        <v>2.949251079979006E-2</v>
      </c>
    </row>
    <row r="415" spans="1:10" x14ac:dyDescent="0.35">
      <c r="A415" t="s">
        <v>13</v>
      </c>
      <c r="B415" t="s">
        <v>31</v>
      </c>
      <c r="C415" s="77" t="s">
        <v>90</v>
      </c>
      <c r="D415" t="s">
        <v>81</v>
      </c>
      <c r="E415" s="77" t="s">
        <v>124</v>
      </c>
      <c r="F415" s="77" t="s">
        <v>73</v>
      </c>
      <c r="G415" s="77" t="s">
        <v>74</v>
      </c>
      <c r="H415" s="77" t="s">
        <v>123</v>
      </c>
      <c r="I415" s="77" t="s">
        <v>84</v>
      </c>
      <c r="J415" s="76" cm="1">
        <f t="array" ref="J415:J423">'SUT_EU27 total'!$L$60:$L$68</f>
        <v>2.1047443073980527E-5</v>
      </c>
    </row>
    <row r="416" spans="1:10" x14ac:dyDescent="0.35">
      <c r="A416" t="s">
        <v>13</v>
      </c>
      <c r="B416" t="s">
        <v>31</v>
      </c>
      <c r="C416" s="77" t="s">
        <v>90</v>
      </c>
      <c r="D416" t="s">
        <v>81</v>
      </c>
      <c r="E416" s="77" t="s">
        <v>117</v>
      </c>
      <c r="F416" s="77" t="s">
        <v>73</v>
      </c>
      <c r="G416" s="77" t="s">
        <v>74</v>
      </c>
      <c r="H416" s="77" t="s">
        <v>123</v>
      </c>
      <c r="I416" s="77" t="s">
        <v>84</v>
      </c>
      <c r="J416" s="76">
        <v>5.8414015621608938E-3</v>
      </c>
    </row>
    <row r="417" spans="1:10" x14ac:dyDescent="0.35">
      <c r="A417" t="s">
        <v>13</v>
      </c>
      <c r="B417" t="s">
        <v>31</v>
      </c>
      <c r="C417" s="77" t="s">
        <v>90</v>
      </c>
      <c r="D417" t="s">
        <v>81</v>
      </c>
      <c r="E417" s="77" t="s">
        <v>82</v>
      </c>
      <c r="F417" s="77" t="s">
        <v>73</v>
      </c>
      <c r="G417" s="77" t="s">
        <v>74</v>
      </c>
      <c r="H417" s="77" t="s">
        <v>123</v>
      </c>
      <c r="I417" s="77" t="s">
        <v>84</v>
      </c>
      <c r="J417" s="76">
        <v>1.4521138379047227E-3</v>
      </c>
    </row>
    <row r="418" spans="1:10" x14ac:dyDescent="0.35">
      <c r="A418" t="s">
        <v>13</v>
      </c>
      <c r="B418" t="s">
        <v>31</v>
      </c>
      <c r="C418" s="77" t="s">
        <v>90</v>
      </c>
      <c r="D418" t="s">
        <v>81</v>
      </c>
      <c r="E418" s="77" t="s">
        <v>125</v>
      </c>
      <c r="F418" s="77" t="s">
        <v>73</v>
      </c>
      <c r="G418" s="77" t="s">
        <v>74</v>
      </c>
      <c r="H418" s="77" t="s">
        <v>123</v>
      </c>
      <c r="I418" s="77" t="s">
        <v>84</v>
      </c>
      <c r="J418" s="76">
        <v>6.5130870114372285E-5</v>
      </c>
    </row>
    <row r="419" spans="1:10" x14ac:dyDescent="0.35">
      <c r="A419" t="s">
        <v>13</v>
      </c>
      <c r="B419" t="s">
        <v>31</v>
      </c>
      <c r="C419" s="77" t="s">
        <v>90</v>
      </c>
      <c r="D419" t="s">
        <v>81</v>
      </c>
      <c r="E419" s="77" t="s">
        <v>122</v>
      </c>
      <c r="F419" s="77" t="s">
        <v>73</v>
      </c>
      <c r="G419" s="77" t="s">
        <v>74</v>
      </c>
      <c r="H419" s="77" t="s">
        <v>123</v>
      </c>
      <c r="I419" s="77" t="s">
        <v>84</v>
      </c>
      <c r="J419" s="76">
        <v>7.9476813317479189E-4</v>
      </c>
    </row>
    <row r="420" spans="1:10" x14ac:dyDescent="0.35">
      <c r="A420" t="s">
        <v>13</v>
      </c>
      <c r="B420" t="s">
        <v>31</v>
      </c>
      <c r="C420" s="77" t="s">
        <v>90</v>
      </c>
      <c r="D420" t="s">
        <v>81</v>
      </c>
      <c r="E420" s="77" t="s">
        <v>126</v>
      </c>
      <c r="F420" s="77" t="s">
        <v>73</v>
      </c>
      <c r="G420" s="77" t="s">
        <v>74</v>
      </c>
      <c r="H420" s="77" t="s">
        <v>123</v>
      </c>
      <c r="I420" s="77" t="s">
        <v>84</v>
      </c>
      <c r="J420" s="76">
        <v>8.4821183458843076E-3</v>
      </c>
    </row>
    <row r="421" spans="1:10" x14ac:dyDescent="0.35">
      <c r="A421" t="s">
        <v>13</v>
      </c>
      <c r="B421" t="s">
        <v>31</v>
      </c>
      <c r="C421" s="77" t="s">
        <v>90</v>
      </c>
      <c r="D421" t="s">
        <v>81</v>
      </c>
      <c r="E421" s="77" t="s">
        <v>101</v>
      </c>
      <c r="F421" s="77" t="s">
        <v>73</v>
      </c>
      <c r="G421" s="77" t="s">
        <v>74</v>
      </c>
      <c r="H421" s="77" t="s">
        <v>123</v>
      </c>
      <c r="I421" s="77" t="s">
        <v>84</v>
      </c>
      <c r="J421" s="76">
        <v>0</v>
      </c>
    </row>
    <row r="422" spans="1:10" x14ac:dyDescent="0.35">
      <c r="A422" t="s">
        <v>13</v>
      </c>
      <c r="B422" t="s">
        <v>31</v>
      </c>
      <c r="C422" s="77" t="s">
        <v>90</v>
      </c>
      <c r="D422" t="s">
        <v>81</v>
      </c>
      <c r="E422" s="77" t="s">
        <v>104</v>
      </c>
      <c r="F422" s="77" t="s">
        <v>73</v>
      </c>
      <c r="G422" s="77" t="s">
        <v>74</v>
      </c>
      <c r="H422" s="77" t="s">
        <v>123</v>
      </c>
      <c r="I422" s="77" t="s">
        <v>84</v>
      </c>
      <c r="J422" s="76">
        <v>0</v>
      </c>
    </row>
    <row r="423" spans="1:10" x14ac:dyDescent="0.35">
      <c r="A423" t="s">
        <v>13</v>
      </c>
      <c r="B423" t="s">
        <v>31</v>
      </c>
      <c r="C423" s="77" t="s">
        <v>90</v>
      </c>
      <c r="D423" t="s">
        <v>81</v>
      </c>
      <c r="E423" s="77" t="s">
        <v>106</v>
      </c>
      <c r="F423" s="77" t="s">
        <v>73</v>
      </c>
      <c r="G423" s="77" t="s">
        <v>74</v>
      </c>
      <c r="H423" s="77" t="s">
        <v>123</v>
      </c>
      <c r="I423" s="77" t="s">
        <v>84</v>
      </c>
      <c r="J423" s="76">
        <v>0</v>
      </c>
    </row>
    <row r="424" spans="1:10" x14ac:dyDescent="0.35">
      <c r="A424" t="s">
        <v>13</v>
      </c>
      <c r="B424" t="s">
        <v>31</v>
      </c>
      <c r="C424" s="77" t="s">
        <v>91</v>
      </c>
      <c r="D424" t="s">
        <v>81</v>
      </c>
      <c r="E424" s="77" t="s">
        <v>119</v>
      </c>
      <c r="F424" s="77" t="s">
        <v>73</v>
      </c>
      <c r="G424" s="77" t="s">
        <v>74</v>
      </c>
      <c r="H424" s="77" t="s">
        <v>123</v>
      </c>
      <c r="I424" s="77" t="s">
        <v>84</v>
      </c>
      <c r="J424" s="76">
        <f>'SUT_EU27 total'!$L$73</f>
        <v>0.15097500908393557</v>
      </c>
    </row>
    <row r="425" spans="1:10" x14ac:dyDescent="0.35">
      <c r="A425" t="s">
        <v>13</v>
      </c>
      <c r="B425" t="s">
        <v>31</v>
      </c>
      <c r="C425" s="77" t="s">
        <v>91</v>
      </c>
      <c r="D425" t="s">
        <v>81</v>
      </c>
      <c r="E425" s="77" t="s">
        <v>124</v>
      </c>
      <c r="F425" s="77" t="s">
        <v>73</v>
      </c>
      <c r="G425" s="77" t="s">
        <v>74</v>
      </c>
      <c r="H425" s="77" t="s">
        <v>123</v>
      </c>
      <c r="I425" s="77" t="s">
        <v>84</v>
      </c>
      <c r="J425" s="76" cm="1">
        <f t="array" ref="J425:J433">'SUT_EU27 total'!$L$77:$L$85</f>
        <v>6.7728942399646885E-5</v>
      </c>
    </row>
    <row r="426" spans="1:10" x14ac:dyDescent="0.35">
      <c r="A426" t="s">
        <v>13</v>
      </c>
      <c r="B426" t="s">
        <v>31</v>
      </c>
      <c r="C426" s="77" t="s">
        <v>91</v>
      </c>
      <c r="D426" t="s">
        <v>81</v>
      </c>
      <c r="E426" s="77" t="s">
        <v>117</v>
      </c>
      <c r="F426" s="77" t="s">
        <v>73</v>
      </c>
      <c r="G426" s="77" t="s">
        <v>74</v>
      </c>
      <c r="H426" s="77" t="s">
        <v>123</v>
      </c>
      <c r="I426" s="77" t="s">
        <v>84</v>
      </c>
      <c r="J426" s="76">
        <v>5.6233849622410815E-3</v>
      </c>
    </row>
    <row r="427" spans="1:10" x14ac:dyDescent="0.35">
      <c r="A427" t="s">
        <v>13</v>
      </c>
      <c r="B427" t="s">
        <v>31</v>
      </c>
      <c r="C427" s="77" t="s">
        <v>91</v>
      </c>
      <c r="D427" t="s">
        <v>81</v>
      </c>
      <c r="E427" s="77" t="s">
        <v>82</v>
      </c>
      <c r="F427" s="77" t="s">
        <v>73</v>
      </c>
      <c r="G427" s="77" t="s">
        <v>74</v>
      </c>
      <c r="H427" s="77" t="s">
        <v>123</v>
      </c>
      <c r="I427" s="77" t="s">
        <v>84</v>
      </c>
      <c r="J427" s="76">
        <v>1.8068055269127655E-3</v>
      </c>
    </row>
    <row r="428" spans="1:10" x14ac:dyDescent="0.35">
      <c r="A428" t="s">
        <v>13</v>
      </c>
      <c r="B428" t="s">
        <v>31</v>
      </c>
      <c r="C428" s="77" t="s">
        <v>91</v>
      </c>
      <c r="D428" t="s">
        <v>81</v>
      </c>
      <c r="E428" s="77" t="s">
        <v>125</v>
      </c>
      <c r="F428" s="77" t="s">
        <v>73</v>
      </c>
      <c r="G428" s="77" t="s">
        <v>74</v>
      </c>
      <c r="H428" s="77" t="s">
        <v>123</v>
      </c>
      <c r="I428" s="77" t="s">
        <v>84</v>
      </c>
      <c r="J428" s="76">
        <v>5.6492118062760293E-6</v>
      </c>
    </row>
    <row r="429" spans="1:10" x14ac:dyDescent="0.35">
      <c r="A429" t="s">
        <v>13</v>
      </c>
      <c r="B429" t="s">
        <v>31</v>
      </c>
      <c r="C429" s="77" t="s">
        <v>91</v>
      </c>
      <c r="D429" t="s">
        <v>81</v>
      </c>
      <c r="E429" s="77" t="s">
        <v>122</v>
      </c>
      <c r="F429" s="77" t="s">
        <v>73</v>
      </c>
      <c r="G429" s="77" t="s">
        <v>74</v>
      </c>
      <c r="H429" s="77" t="s">
        <v>123</v>
      </c>
      <c r="I429" s="77" t="s">
        <v>84</v>
      </c>
      <c r="J429" s="76">
        <v>0</v>
      </c>
    </row>
    <row r="430" spans="1:10" x14ac:dyDescent="0.35">
      <c r="A430" t="s">
        <v>13</v>
      </c>
      <c r="B430" t="s">
        <v>31</v>
      </c>
      <c r="C430" s="77" t="s">
        <v>91</v>
      </c>
      <c r="D430" t="s">
        <v>81</v>
      </c>
      <c r="E430" s="77" t="s">
        <v>126</v>
      </c>
      <c r="F430" s="77" t="s">
        <v>73</v>
      </c>
      <c r="G430" s="77" t="s">
        <v>74</v>
      </c>
      <c r="H430" s="77" t="s">
        <v>123</v>
      </c>
      <c r="I430" s="77" t="s">
        <v>84</v>
      </c>
      <c r="J430" s="76">
        <v>8.1093795177776388E-4</v>
      </c>
    </row>
    <row r="431" spans="1:10" x14ac:dyDescent="0.35">
      <c r="A431" t="s">
        <v>13</v>
      </c>
      <c r="B431" t="s">
        <v>31</v>
      </c>
      <c r="C431" s="77" t="s">
        <v>91</v>
      </c>
      <c r="D431" t="s">
        <v>81</v>
      </c>
      <c r="E431" s="77" t="s">
        <v>101</v>
      </c>
      <c r="F431" s="77" t="s">
        <v>73</v>
      </c>
      <c r="G431" s="77" t="s">
        <v>74</v>
      </c>
      <c r="H431" s="77" t="s">
        <v>123</v>
      </c>
      <c r="I431" s="77" t="s">
        <v>84</v>
      </c>
      <c r="J431" s="76">
        <v>0</v>
      </c>
    </row>
    <row r="432" spans="1:10" x14ac:dyDescent="0.35">
      <c r="A432" t="s">
        <v>13</v>
      </c>
      <c r="B432" t="s">
        <v>31</v>
      </c>
      <c r="C432" s="77" t="s">
        <v>91</v>
      </c>
      <c r="D432" t="s">
        <v>81</v>
      </c>
      <c r="E432" s="77" t="s">
        <v>104</v>
      </c>
      <c r="F432" s="77" t="s">
        <v>73</v>
      </c>
      <c r="G432" s="77" t="s">
        <v>74</v>
      </c>
      <c r="H432" s="77" t="s">
        <v>123</v>
      </c>
      <c r="I432" s="77" t="s">
        <v>84</v>
      </c>
      <c r="J432" s="76">
        <v>0</v>
      </c>
    </row>
    <row r="433" spans="1:10" x14ac:dyDescent="0.35">
      <c r="A433" t="s">
        <v>13</v>
      </c>
      <c r="B433" t="s">
        <v>31</v>
      </c>
      <c r="C433" s="77" t="s">
        <v>91</v>
      </c>
      <c r="D433" t="s">
        <v>81</v>
      </c>
      <c r="E433" s="77" t="s">
        <v>106</v>
      </c>
      <c r="F433" s="77" t="s">
        <v>73</v>
      </c>
      <c r="G433" s="77" t="s">
        <v>74</v>
      </c>
      <c r="H433" s="77" t="s">
        <v>123</v>
      </c>
      <c r="I433" s="77" t="s">
        <v>84</v>
      </c>
      <c r="J433" s="76">
        <v>0</v>
      </c>
    </row>
    <row r="434" spans="1:10" x14ac:dyDescent="0.35">
      <c r="A434" t="s">
        <v>13</v>
      </c>
      <c r="B434" t="s">
        <v>31</v>
      </c>
      <c r="C434" s="77" t="s">
        <v>92</v>
      </c>
      <c r="D434" t="s">
        <v>81</v>
      </c>
      <c r="E434" s="77" t="s">
        <v>119</v>
      </c>
      <c r="F434" s="77" t="s">
        <v>73</v>
      </c>
      <c r="G434" s="77" t="s">
        <v>74</v>
      </c>
      <c r="H434" s="77" t="s">
        <v>123</v>
      </c>
      <c r="I434" s="77" t="s">
        <v>84</v>
      </c>
      <c r="J434" s="76">
        <f>'SUT_EU27 total'!$L$90</f>
        <v>0.13886309499777949</v>
      </c>
    </row>
    <row r="435" spans="1:10" x14ac:dyDescent="0.35">
      <c r="A435" t="s">
        <v>13</v>
      </c>
      <c r="B435" t="s">
        <v>31</v>
      </c>
      <c r="C435" s="77" t="s">
        <v>92</v>
      </c>
      <c r="D435" t="s">
        <v>81</v>
      </c>
      <c r="E435" s="77" t="s">
        <v>124</v>
      </c>
      <c r="F435" s="77" t="s">
        <v>73</v>
      </c>
      <c r="G435" s="77" t="s">
        <v>74</v>
      </c>
      <c r="H435" s="77" t="s">
        <v>123</v>
      </c>
      <c r="I435" s="77" t="s">
        <v>84</v>
      </c>
      <c r="J435" s="76" cm="1">
        <f t="array" ref="J435:J443">'SUT_EU27 total'!$L$94:$L$102</f>
        <v>9.2968907089085616E-5</v>
      </c>
    </row>
    <row r="436" spans="1:10" x14ac:dyDescent="0.35">
      <c r="A436" t="s">
        <v>13</v>
      </c>
      <c r="B436" t="s">
        <v>31</v>
      </c>
      <c r="C436" s="77" t="s">
        <v>92</v>
      </c>
      <c r="D436" t="s">
        <v>81</v>
      </c>
      <c r="E436" s="77" t="s">
        <v>117</v>
      </c>
      <c r="F436" s="77" t="s">
        <v>73</v>
      </c>
      <c r="G436" s="77" t="s">
        <v>74</v>
      </c>
      <c r="H436" s="77" t="s">
        <v>123</v>
      </c>
      <c r="I436" s="77" t="s">
        <v>84</v>
      </c>
      <c r="J436" s="76">
        <v>0</v>
      </c>
    </row>
    <row r="437" spans="1:10" x14ac:dyDescent="0.35">
      <c r="A437" t="s">
        <v>13</v>
      </c>
      <c r="B437" t="s">
        <v>31</v>
      </c>
      <c r="C437" s="77" t="s">
        <v>92</v>
      </c>
      <c r="D437" t="s">
        <v>81</v>
      </c>
      <c r="E437" s="77" t="s">
        <v>82</v>
      </c>
      <c r="F437" s="77" t="s">
        <v>73</v>
      </c>
      <c r="G437" s="77" t="s">
        <v>74</v>
      </c>
      <c r="H437" s="77" t="s">
        <v>123</v>
      </c>
      <c r="I437" s="77" t="s">
        <v>84</v>
      </c>
      <c r="J437" s="76">
        <v>1.1251392039595793E-3</v>
      </c>
    </row>
    <row r="438" spans="1:10" x14ac:dyDescent="0.35">
      <c r="A438" t="s">
        <v>13</v>
      </c>
      <c r="B438" t="s">
        <v>31</v>
      </c>
      <c r="C438" s="77" t="s">
        <v>92</v>
      </c>
      <c r="D438" t="s">
        <v>81</v>
      </c>
      <c r="E438" s="77" t="s">
        <v>125</v>
      </c>
      <c r="F438" s="77" t="s">
        <v>73</v>
      </c>
      <c r="G438" s="77" t="s">
        <v>74</v>
      </c>
      <c r="H438" s="77" t="s">
        <v>123</v>
      </c>
      <c r="I438" s="77" t="s">
        <v>84</v>
      </c>
      <c r="J438" s="76">
        <v>5.0048817841215026E-7</v>
      </c>
    </row>
    <row r="439" spans="1:10" x14ac:dyDescent="0.35">
      <c r="A439" t="s">
        <v>13</v>
      </c>
      <c r="B439" t="s">
        <v>31</v>
      </c>
      <c r="C439" s="77" t="s">
        <v>92</v>
      </c>
      <c r="D439" t="s">
        <v>81</v>
      </c>
      <c r="E439" s="77" t="s">
        <v>122</v>
      </c>
      <c r="F439" s="77" t="s">
        <v>73</v>
      </c>
      <c r="G439" s="77" t="s">
        <v>74</v>
      </c>
      <c r="H439" s="77" t="s">
        <v>123</v>
      </c>
      <c r="I439" s="77" t="s">
        <v>84</v>
      </c>
      <c r="J439" s="76">
        <v>0</v>
      </c>
    </row>
    <row r="440" spans="1:10" x14ac:dyDescent="0.35">
      <c r="A440" t="s">
        <v>13</v>
      </c>
      <c r="B440" t="s">
        <v>31</v>
      </c>
      <c r="C440" s="77" t="s">
        <v>92</v>
      </c>
      <c r="D440" t="s">
        <v>81</v>
      </c>
      <c r="E440" s="77" t="s">
        <v>126</v>
      </c>
      <c r="F440" s="77" t="s">
        <v>73</v>
      </c>
      <c r="G440" s="77" t="s">
        <v>74</v>
      </c>
      <c r="H440" s="77" t="s">
        <v>123</v>
      </c>
      <c r="I440" s="77" t="s">
        <v>84</v>
      </c>
      <c r="J440" s="76">
        <v>0</v>
      </c>
    </row>
    <row r="441" spans="1:10" x14ac:dyDescent="0.35">
      <c r="A441" t="s">
        <v>13</v>
      </c>
      <c r="B441" t="s">
        <v>31</v>
      </c>
      <c r="C441" s="77" t="s">
        <v>92</v>
      </c>
      <c r="D441" t="s">
        <v>81</v>
      </c>
      <c r="E441" s="77" t="s">
        <v>101</v>
      </c>
      <c r="F441" s="77" t="s">
        <v>73</v>
      </c>
      <c r="G441" s="77" t="s">
        <v>74</v>
      </c>
      <c r="H441" s="77" t="s">
        <v>123</v>
      </c>
      <c r="I441" s="77" t="s">
        <v>84</v>
      </c>
      <c r="J441" s="76">
        <v>0</v>
      </c>
    </row>
    <row r="442" spans="1:10" x14ac:dyDescent="0.35">
      <c r="A442" t="s">
        <v>13</v>
      </c>
      <c r="B442" t="s">
        <v>31</v>
      </c>
      <c r="C442" s="77" t="s">
        <v>92</v>
      </c>
      <c r="D442" t="s">
        <v>81</v>
      </c>
      <c r="E442" s="77" t="s">
        <v>104</v>
      </c>
      <c r="F442" s="77" t="s">
        <v>73</v>
      </c>
      <c r="G442" s="77" t="s">
        <v>74</v>
      </c>
      <c r="H442" s="77" t="s">
        <v>123</v>
      </c>
      <c r="I442" s="77" t="s">
        <v>84</v>
      </c>
      <c r="J442" s="76">
        <v>0</v>
      </c>
    </row>
    <row r="443" spans="1:10" x14ac:dyDescent="0.35">
      <c r="A443" t="s">
        <v>13</v>
      </c>
      <c r="B443" t="s">
        <v>31</v>
      </c>
      <c r="C443" s="77" t="s">
        <v>92</v>
      </c>
      <c r="D443" t="s">
        <v>81</v>
      </c>
      <c r="E443" s="77" t="s">
        <v>106</v>
      </c>
      <c r="F443" s="77" t="s">
        <v>73</v>
      </c>
      <c r="G443" s="77" t="s">
        <v>74</v>
      </c>
      <c r="H443" s="77" t="s">
        <v>123</v>
      </c>
      <c r="I443" s="77" t="s">
        <v>84</v>
      </c>
      <c r="J443" s="76">
        <v>0</v>
      </c>
    </row>
    <row r="444" spans="1:10" x14ac:dyDescent="0.35">
      <c r="A444" t="s">
        <v>13</v>
      </c>
      <c r="B444" t="s">
        <v>31</v>
      </c>
      <c r="C444" s="77" t="s">
        <v>93</v>
      </c>
      <c r="D444" t="s">
        <v>81</v>
      </c>
      <c r="E444" s="77" t="s">
        <v>119</v>
      </c>
      <c r="F444" s="77" t="s">
        <v>73</v>
      </c>
      <c r="G444" s="77" t="s">
        <v>74</v>
      </c>
      <c r="H444" s="77" t="s">
        <v>123</v>
      </c>
      <c r="I444" s="77" t="s">
        <v>84</v>
      </c>
      <c r="J444" s="76">
        <f>'SUT_EU27 total'!$L$107</f>
        <v>1.0000807460939076</v>
      </c>
    </row>
    <row r="445" spans="1:10" x14ac:dyDescent="0.35">
      <c r="A445" t="s">
        <v>13</v>
      </c>
      <c r="B445" t="s">
        <v>31</v>
      </c>
      <c r="C445" s="77" t="s">
        <v>93</v>
      </c>
      <c r="D445" t="s">
        <v>81</v>
      </c>
      <c r="E445" s="77" t="s">
        <v>124</v>
      </c>
      <c r="F445" s="77" t="s">
        <v>73</v>
      </c>
      <c r="G445" s="77" t="s">
        <v>74</v>
      </c>
      <c r="H445" s="77" t="s">
        <v>123</v>
      </c>
      <c r="I445" s="77" t="s">
        <v>84</v>
      </c>
      <c r="J445" s="76" cm="1">
        <f t="array" ref="J445:J453">'SUT_EU27 total'!$L$111:$L$119</f>
        <v>3.7052409430862396E-4</v>
      </c>
    </row>
    <row r="446" spans="1:10" x14ac:dyDescent="0.35">
      <c r="A446" t="s">
        <v>13</v>
      </c>
      <c r="B446" t="s">
        <v>31</v>
      </c>
      <c r="C446" s="77" t="s">
        <v>93</v>
      </c>
      <c r="D446" t="s">
        <v>81</v>
      </c>
      <c r="E446" s="77" t="s">
        <v>117</v>
      </c>
      <c r="F446" s="77" t="s">
        <v>73</v>
      </c>
      <c r="G446" s="77" t="s">
        <v>74</v>
      </c>
      <c r="H446" s="77" t="s">
        <v>123</v>
      </c>
      <c r="I446" s="77" t="s">
        <v>84</v>
      </c>
      <c r="J446" s="76">
        <v>5.8414042458127093E-3</v>
      </c>
    </row>
    <row r="447" spans="1:10" x14ac:dyDescent="0.35">
      <c r="A447" t="s">
        <v>13</v>
      </c>
      <c r="B447" t="s">
        <v>31</v>
      </c>
      <c r="C447" s="77" t="s">
        <v>93</v>
      </c>
      <c r="D447" t="s">
        <v>81</v>
      </c>
      <c r="E447" s="77" t="s">
        <v>82</v>
      </c>
      <c r="F447" s="77" t="s">
        <v>73</v>
      </c>
      <c r="G447" s="77" t="s">
        <v>74</v>
      </c>
      <c r="H447" s="77" t="s">
        <v>123</v>
      </c>
      <c r="I447" s="77" t="s">
        <v>84</v>
      </c>
      <c r="J447" s="76">
        <v>5.0319447308723453E-3</v>
      </c>
    </row>
    <row r="448" spans="1:10" x14ac:dyDescent="0.35">
      <c r="A448" t="s">
        <v>13</v>
      </c>
      <c r="B448" t="s">
        <v>31</v>
      </c>
      <c r="C448" s="77" t="s">
        <v>93</v>
      </c>
      <c r="D448" t="s">
        <v>81</v>
      </c>
      <c r="E448" s="77" t="s">
        <v>125</v>
      </c>
      <c r="F448" s="77" t="s">
        <v>73</v>
      </c>
      <c r="G448" s="77" t="s">
        <v>74</v>
      </c>
      <c r="H448" s="77" t="s">
        <v>123</v>
      </c>
      <c r="I448" s="77" t="s">
        <v>84</v>
      </c>
      <c r="J448" s="76">
        <v>4.336096678710085E-4</v>
      </c>
    </row>
    <row r="449" spans="1:10" x14ac:dyDescent="0.35">
      <c r="A449" t="s">
        <v>13</v>
      </c>
      <c r="B449" t="s">
        <v>31</v>
      </c>
      <c r="C449" s="77" t="s">
        <v>93</v>
      </c>
      <c r="D449" t="s">
        <v>81</v>
      </c>
      <c r="E449" s="77" t="s">
        <v>122</v>
      </c>
      <c r="F449" s="77" t="s">
        <v>73</v>
      </c>
      <c r="G449" s="77" t="s">
        <v>74</v>
      </c>
      <c r="H449" s="77" t="s">
        <v>123</v>
      </c>
      <c r="I449" s="77" t="s">
        <v>84</v>
      </c>
      <c r="J449" s="76">
        <v>2.7129607609988112E-3</v>
      </c>
    </row>
    <row r="450" spans="1:10" x14ac:dyDescent="0.35">
      <c r="A450" t="s">
        <v>13</v>
      </c>
      <c r="B450" t="s">
        <v>31</v>
      </c>
      <c r="C450" s="77" t="s">
        <v>93</v>
      </c>
      <c r="D450" t="s">
        <v>81</v>
      </c>
      <c r="E450" s="77" t="s">
        <v>126</v>
      </c>
      <c r="F450" s="77" t="s">
        <v>73</v>
      </c>
      <c r="G450" s="77" t="s">
        <v>74</v>
      </c>
      <c r="H450" s="77" t="s">
        <v>123</v>
      </c>
      <c r="I450" s="77" t="s">
        <v>84</v>
      </c>
      <c r="J450" s="76">
        <v>4.3855511603587784E-2</v>
      </c>
    </row>
    <row r="451" spans="1:10" x14ac:dyDescent="0.35">
      <c r="A451" t="s">
        <v>13</v>
      </c>
      <c r="B451" t="s">
        <v>31</v>
      </c>
      <c r="C451" s="77" t="s">
        <v>93</v>
      </c>
      <c r="D451" t="s">
        <v>81</v>
      </c>
      <c r="E451" s="77" t="s">
        <v>101</v>
      </c>
      <c r="F451" s="77" t="s">
        <v>73</v>
      </c>
      <c r="G451" s="77" t="s">
        <v>74</v>
      </c>
      <c r="H451" s="77" t="s">
        <v>123</v>
      </c>
      <c r="I451" s="77" t="s">
        <v>84</v>
      </c>
      <c r="J451" s="76">
        <v>0</v>
      </c>
    </row>
    <row r="452" spans="1:10" x14ac:dyDescent="0.35">
      <c r="A452" t="s">
        <v>13</v>
      </c>
      <c r="B452" t="s">
        <v>31</v>
      </c>
      <c r="C452" s="77" t="s">
        <v>93</v>
      </c>
      <c r="D452" t="s">
        <v>81</v>
      </c>
      <c r="E452" s="77" t="s">
        <v>104</v>
      </c>
      <c r="F452" s="77" t="s">
        <v>73</v>
      </c>
      <c r="G452" s="77" t="s">
        <v>74</v>
      </c>
      <c r="H452" s="77" t="s">
        <v>123</v>
      </c>
      <c r="I452" s="77" t="s">
        <v>84</v>
      </c>
      <c r="J452" s="76">
        <v>0</v>
      </c>
    </row>
    <row r="453" spans="1:10" x14ac:dyDescent="0.35">
      <c r="A453" t="s">
        <v>13</v>
      </c>
      <c r="B453" t="s">
        <v>31</v>
      </c>
      <c r="C453" s="77" t="s">
        <v>93</v>
      </c>
      <c r="D453" t="s">
        <v>81</v>
      </c>
      <c r="E453" s="77" t="s">
        <v>106</v>
      </c>
      <c r="F453" s="77" t="s">
        <v>73</v>
      </c>
      <c r="G453" s="77" t="s">
        <v>74</v>
      </c>
      <c r="H453" s="77" t="s">
        <v>123</v>
      </c>
      <c r="I453" s="77" t="s">
        <v>84</v>
      </c>
      <c r="J453" s="76">
        <v>0</v>
      </c>
    </row>
    <row r="454" spans="1:10" x14ac:dyDescent="0.35">
      <c r="A454" t="s">
        <v>13</v>
      </c>
      <c r="B454" t="s">
        <v>31</v>
      </c>
      <c r="C454" s="77" t="s">
        <v>73</v>
      </c>
      <c r="D454" t="s">
        <v>81</v>
      </c>
      <c r="E454" s="77" t="s">
        <v>119</v>
      </c>
      <c r="F454" s="77" t="s">
        <v>73</v>
      </c>
      <c r="G454" s="77" t="s">
        <v>74</v>
      </c>
      <c r="H454" s="77" t="s">
        <v>127</v>
      </c>
      <c r="I454" s="77" t="s">
        <v>84</v>
      </c>
      <c r="J454" s="76">
        <f>'SUT_EU27 total'!$M$22</f>
        <v>1.9500181678711294E-2</v>
      </c>
    </row>
    <row r="455" spans="1:10" x14ac:dyDescent="0.35">
      <c r="A455" t="s">
        <v>13</v>
      </c>
      <c r="B455" t="s">
        <v>31</v>
      </c>
      <c r="C455" s="77" t="s">
        <v>73</v>
      </c>
      <c r="D455" t="s">
        <v>81</v>
      </c>
      <c r="E455" s="77" t="s">
        <v>124</v>
      </c>
      <c r="F455" s="77" t="s">
        <v>73</v>
      </c>
      <c r="G455" s="77" t="s">
        <v>74</v>
      </c>
      <c r="H455" s="77" t="s">
        <v>127</v>
      </c>
      <c r="I455" s="77" t="s">
        <v>84</v>
      </c>
      <c r="J455" s="76" cm="1">
        <f t="array" ref="J455:J463">'SUT_EU27 total'!$M$26:$M$34</f>
        <v>1.9404661061278542E-3</v>
      </c>
    </row>
    <row r="456" spans="1:10" x14ac:dyDescent="0.35">
      <c r="A456" t="s">
        <v>13</v>
      </c>
      <c r="B456" t="s">
        <v>31</v>
      </c>
      <c r="C456" s="77" t="s">
        <v>73</v>
      </c>
      <c r="D456" t="s">
        <v>81</v>
      </c>
      <c r="E456" s="77" t="s">
        <v>117</v>
      </c>
      <c r="F456" s="77" t="s">
        <v>73</v>
      </c>
      <c r="G456" s="77" t="s">
        <v>74</v>
      </c>
      <c r="H456" s="77" t="s">
        <v>127</v>
      </c>
      <c r="I456" s="77" t="s">
        <v>84</v>
      </c>
      <c r="J456" s="76">
        <v>5.8423628191201782E-3</v>
      </c>
    </row>
    <row r="457" spans="1:10" x14ac:dyDescent="0.35">
      <c r="A457" t="s">
        <v>13</v>
      </c>
      <c r="B457" t="s">
        <v>31</v>
      </c>
      <c r="C457" s="77" t="s">
        <v>73</v>
      </c>
      <c r="D457" t="s">
        <v>81</v>
      </c>
      <c r="E457" s="77" t="s">
        <v>82</v>
      </c>
      <c r="F457" s="77" t="s">
        <v>73</v>
      </c>
      <c r="G457" s="77" t="s">
        <v>74</v>
      </c>
      <c r="H457" s="77" t="s">
        <v>127</v>
      </c>
      <c r="I457" s="77" t="s">
        <v>84</v>
      </c>
      <c r="J457" s="76">
        <v>4.8981233243967828E-4</v>
      </c>
    </row>
    <row r="458" spans="1:10" x14ac:dyDescent="0.35">
      <c r="A458" t="s">
        <v>13</v>
      </c>
      <c r="B458" t="s">
        <v>31</v>
      </c>
      <c r="C458" s="77" t="s">
        <v>73</v>
      </c>
      <c r="D458" t="s">
        <v>81</v>
      </c>
      <c r="E458" s="77" t="s">
        <v>125</v>
      </c>
      <c r="F458" s="77" t="s">
        <v>73</v>
      </c>
      <c r="G458" s="77" t="s">
        <v>74</v>
      </c>
      <c r="H458" s="77" t="s">
        <v>127</v>
      </c>
      <c r="I458" s="77" t="s">
        <v>84</v>
      </c>
      <c r="J458" s="76">
        <v>2.4658201215687387E-3</v>
      </c>
    </row>
    <row r="459" spans="1:10" x14ac:dyDescent="0.35">
      <c r="A459" t="s">
        <v>13</v>
      </c>
      <c r="B459" t="s">
        <v>31</v>
      </c>
      <c r="C459" s="77" t="s">
        <v>73</v>
      </c>
      <c r="D459" t="s">
        <v>81</v>
      </c>
      <c r="E459" s="77" t="s">
        <v>122</v>
      </c>
      <c r="F459" s="77" t="s">
        <v>73</v>
      </c>
      <c r="G459" s="77" t="s">
        <v>74</v>
      </c>
      <c r="H459" s="77" t="s">
        <v>127</v>
      </c>
      <c r="I459" s="77" t="s">
        <v>84</v>
      </c>
      <c r="J459" s="76">
        <v>4.922711058263972E-4</v>
      </c>
    </row>
    <row r="460" spans="1:10" x14ac:dyDescent="0.35">
      <c r="A460" t="s">
        <v>13</v>
      </c>
      <c r="B460" t="s">
        <v>31</v>
      </c>
      <c r="C460" s="77" t="s">
        <v>73</v>
      </c>
      <c r="D460" t="s">
        <v>81</v>
      </c>
      <c r="E460" s="77" t="s">
        <v>126</v>
      </c>
      <c r="F460" s="77" t="s">
        <v>73</v>
      </c>
      <c r="G460" s="77" t="s">
        <v>74</v>
      </c>
      <c r="H460" s="77" t="s">
        <v>127</v>
      </c>
      <c r="I460" s="77" t="s">
        <v>84</v>
      </c>
      <c r="J460" s="76">
        <v>0</v>
      </c>
    </row>
    <row r="461" spans="1:10" x14ac:dyDescent="0.35">
      <c r="A461" t="s">
        <v>13</v>
      </c>
      <c r="B461" t="s">
        <v>31</v>
      </c>
      <c r="C461" s="77" t="s">
        <v>73</v>
      </c>
      <c r="D461" t="s">
        <v>81</v>
      </c>
      <c r="E461" s="77" t="s">
        <v>101</v>
      </c>
      <c r="F461" s="77" t="s">
        <v>73</v>
      </c>
      <c r="G461" s="77" t="s">
        <v>74</v>
      </c>
      <c r="H461" s="77" t="s">
        <v>127</v>
      </c>
      <c r="I461" s="77" t="s">
        <v>84</v>
      </c>
      <c r="J461" s="76">
        <v>3.6586167200000007E-4</v>
      </c>
    </row>
    <row r="462" spans="1:10" x14ac:dyDescent="0.35">
      <c r="A462" t="s">
        <v>13</v>
      </c>
      <c r="B462" t="s">
        <v>31</v>
      </c>
      <c r="C462" s="77" t="s">
        <v>73</v>
      </c>
      <c r="D462" t="s">
        <v>81</v>
      </c>
      <c r="E462" s="77" t="s">
        <v>104</v>
      </c>
      <c r="F462" s="77" t="s">
        <v>73</v>
      </c>
      <c r="G462" s="77" t="s">
        <v>74</v>
      </c>
      <c r="H462" s="77" t="s">
        <v>127</v>
      </c>
      <c r="I462" s="77" t="s">
        <v>84</v>
      </c>
      <c r="J462" s="76">
        <v>6.9272632800000005E-4</v>
      </c>
    </row>
    <row r="463" spans="1:10" x14ac:dyDescent="0.35">
      <c r="A463" t="s">
        <v>13</v>
      </c>
      <c r="B463" t="s">
        <v>31</v>
      </c>
      <c r="C463" s="77" t="s">
        <v>73</v>
      </c>
      <c r="D463" t="s">
        <v>81</v>
      </c>
      <c r="E463" s="77" t="s">
        <v>106</v>
      </c>
      <c r="F463" s="77" t="s">
        <v>73</v>
      </c>
      <c r="G463" s="77" t="s">
        <v>74</v>
      </c>
      <c r="H463" s="77" t="s">
        <v>127</v>
      </c>
      <c r="I463" s="77" t="s">
        <v>84</v>
      </c>
      <c r="J463" s="76">
        <v>2.3562119999999999E-3</v>
      </c>
    </row>
    <row r="464" spans="1:10" x14ac:dyDescent="0.35">
      <c r="A464" t="s">
        <v>13</v>
      </c>
      <c r="B464" t="s">
        <v>31</v>
      </c>
      <c r="C464" s="77" t="s">
        <v>88</v>
      </c>
      <c r="D464" t="s">
        <v>81</v>
      </c>
      <c r="E464" s="77" t="s">
        <v>119</v>
      </c>
      <c r="F464" s="77" t="s">
        <v>73</v>
      </c>
      <c r="G464" s="77" t="s">
        <v>74</v>
      </c>
      <c r="H464" s="77" t="s">
        <v>127</v>
      </c>
      <c r="I464" s="77" t="s">
        <v>84</v>
      </c>
      <c r="J464" s="76">
        <f>'SUT_EU27 total'!$M$39</f>
        <v>0.16108845734587587</v>
      </c>
    </row>
    <row r="465" spans="1:10" x14ac:dyDescent="0.35">
      <c r="A465" t="s">
        <v>13</v>
      </c>
      <c r="B465" t="s">
        <v>31</v>
      </c>
      <c r="C465" s="77" t="s">
        <v>88</v>
      </c>
      <c r="D465" t="s">
        <v>81</v>
      </c>
      <c r="E465" s="77" t="s">
        <v>124</v>
      </c>
      <c r="F465" s="77" t="s">
        <v>73</v>
      </c>
      <c r="G465" s="77" t="s">
        <v>74</v>
      </c>
      <c r="H465" s="77" t="s">
        <v>127</v>
      </c>
      <c r="I465" s="77" t="s">
        <v>84</v>
      </c>
      <c r="J465" s="76" cm="1">
        <f t="array" ref="J465:J473">'SUT_EU27 total'!$L$43:$L$51</f>
        <v>5.0558836222750793E-4</v>
      </c>
    </row>
    <row r="466" spans="1:10" x14ac:dyDescent="0.35">
      <c r="A466" t="s">
        <v>13</v>
      </c>
      <c r="B466" t="s">
        <v>31</v>
      </c>
      <c r="C466" s="77" t="s">
        <v>88</v>
      </c>
      <c r="D466" t="s">
        <v>81</v>
      </c>
      <c r="E466" s="77" t="s">
        <v>117</v>
      </c>
      <c r="F466" s="77" t="s">
        <v>73</v>
      </c>
      <c r="G466" s="77" t="s">
        <v>74</v>
      </c>
      <c r="H466" s="77" t="s">
        <v>127</v>
      </c>
      <c r="I466" s="77" t="s">
        <v>84</v>
      </c>
      <c r="J466" s="76">
        <v>4.8514464106651379E-3</v>
      </c>
    </row>
    <row r="467" spans="1:10" x14ac:dyDescent="0.35">
      <c r="A467" t="s">
        <v>13</v>
      </c>
      <c r="B467" t="s">
        <v>31</v>
      </c>
      <c r="C467" s="77" t="s">
        <v>88</v>
      </c>
      <c r="D467" t="s">
        <v>81</v>
      </c>
      <c r="E467" s="77" t="s">
        <v>82</v>
      </c>
      <c r="F467" s="77" t="s">
        <v>73</v>
      </c>
      <c r="G467" s="77" t="s">
        <v>74</v>
      </c>
      <c r="H467" s="77" t="s">
        <v>127</v>
      </c>
      <c r="I467" s="77" t="s">
        <v>84</v>
      </c>
      <c r="J467" s="76">
        <v>1.109418436791091E-2</v>
      </c>
    </row>
    <row r="468" spans="1:10" x14ac:dyDescent="0.35">
      <c r="A468" t="s">
        <v>13</v>
      </c>
      <c r="B468" t="s">
        <v>31</v>
      </c>
      <c r="C468" s="77" t="s">
        <v>88</v>
      </c>
      <c r="D468" t="s">
        <v>81</v>
      </c>
      <c r="E468" s="77" t="s">
        <v>125</v>
      </c>
      <c r="F468" s="77" t="s">
        <v>73</v>
      </c>
      <c r="G468" s="77" t="s">
        <v>74</v>
      </c>
      <c r="H468" s="77" t="s">
        <v>127</v>
      </c>
      <c r="I468" s="77" t="s">
        <v>84</v>
      </c>
      <c r="J468" s="76">
        <v>2.890870278990243E-5</v>
      </c>
    </row>
    <row r="469" spans="1:10" x14ac:dyDescent="0.35">
      <c r="A469" t="s">
        <v>13</v>
      </c>
      <c r="B469" t="s">
        <v>31</v>
      </c>
      <c r="C469" s="77" t="s">
        <v>88</v>
      </c>
      <c r="D469" t="s">
        <v>81</v>
      </c>
      <c r="E469" s="77" t="s">
        <v>122</v>
      </c>
      <c r="F469" s="77" t="s">
        <v>73</v>
      </c>
      <c r="G469" s="77" t="s">
        <v>74</v>
      </c>
      <c r="H469" s="77" t="s">
        <v>127</v>
      </c>
      <c r="I469" s="77" t="s">
        <v>84</v>
      </c>
      <c r="J469" s="76">
        <v>0</v>
      </c>
    </row>
    <row r="470" spans="1:10" x14ac:dyDescent="0.35">
      <c r="A470" t="s">
        <v>13</v>
      </c>
      <c r="B470" t="s">
        <v>31</v>
      </c>
      <c r="C470" s="77" t="s">
        <v>88</v>
      </c>
      <c r="D470" t="s">
        <v>81</v>
      </c>
      <c r="E470" s="77" t="s">
        <v>126</v>
      </c>
      <c r="F470" s="77" t="s">
        <v>73</v>
      </c>
      <c r="G470" s="77" t="s">
        <v>74</v>
      </c>
      <c r="H470" s="77" t="s">
        <v>127</v>
      </c>
      <c r="I470" s="77" t="s">
        <v>84</v>
      </c>
      <c r="J470" s="76">
        <v>2.8514320987501449E-3</v>
      </c>
    </row>
    <row r="471" spans="1:10" x14ac:dyDescent="0.35">
      <c r="A471" t="s">
        <v>13</v>
      </c>
      <c r="B471" t="s">
        <v>31</v>
      </c>
      <c r="C471" s="77" t="s">
        <v>88</v>
      </c>
      <c r="D471" t="s">
        <v>81</v>
      </c>
      <c r="E471" s="77" t="s">
        <v>101</v>
      </c>
      <c r="F471" s="77" t="s">
        <v>73</v>
      </c>
      <c r="G471" s="77" t="s">
        <v>74</v>
      </c>
      <c r="H471" s="77" t="s">
        <v>127</v>
      </c>
      <c r="I471" s="77" t="s">
        <v>84</v>
      </c>
      <c r="J471" s="76">
        <v>0</v>
      </c>
    </row>
    <row r="472" spans="1:10" x14ac:dyDescent="0.35">
      <c r="A472" t="s">
        <v>13</v>
      </c>
      <c r="B472" t="s">
        <v>31</v>
      </c>
      <c r="C472" s="77" t="s">
        <v>88</v>
      </c>
      <c r="D472" t="s">
        <v>81</v>
      </c>
      <c r="E472" s="77" t="s">
        <v>104</v>
      </c>
      <c r="F472" s="77" t="s">
        <v>73</v>
      </c>
      <c r="G472" s="77" t="s">
        <v>74</v>
      </c>
      <c r="H472" s="77" t="s">
        <v>127</v>
      </c>
      <c r="I472" s="77" t="s">
        <v>84</v>
      </c>
      <c r="J472" s="76">
        <v>0</v>
      </c>
    </row>
    <row r="473" spans="1:10" x14ac:dyDescent="0.35">
      <c r="A473" t="s">
        <v>13</v>
      </c>
      <c r="B473" t="s">
        <v>31</v>
      </c>
      <c r="C473" s="77" t="s">
        <v>88</v>
      </c>
      <c r="D473" t="s">
        <v>81</v>
      </c>
      <c r="E473" s="77" t="s">
        <v>106</v>
      </c>
      <c r="F473" s="77" t="s">
        <v>73</v>
      </c>
      <c r="G473" s="77" t="s">
        <v>74</v>
      </c>
      <c r="H473" s="77" t="s">
        <v>127</v>
      </c>
      <c r="I473" s="77" t="s">
        <v>84</v>
      </c>
      <c r="J473" s="76">
        <v>0</v>
      </c>
    </row>
    <row r="474" spans="1:10" x14ac:dyDescent="0.35">
      <c r="A474" t="s">
        <v>13</v>
      </c>
      <c r="B474" t="s">
        <v>31</v>
      </c>
      <c r="C474" s="77" t="s">
        <v>90</v>
      </c>
      <c r="D474" t="s">
        <v>81</v>
      </c>
      <c r="E474" s="77" t="s">
        <v>119</v>
      </c>
      <c r="F474" s="77" t="s">
        <v>73</v>
      </c>
      <c r="G474" s="77" t="s">
        <v>74</v>
      </c>
      <c r="H474" s="77" t="s">
        <v>127</v>
      </c>
      <c r="I474" s="77" t="s">
        <v>84</v>
      </c>
      <c r="J474" s="76">
        <f>'SUT_EU27 total'!$M$56</f>
        <v>2.949251079979006E-2</v>
      </c>
    </row>
    <row r="475" spans="1:10" x14ac:dyDescent="0.35">
      <c r="A475" t="s">
        <v>13</v>
      </c>
      <c r="B475" t="s">
        <v>31</v>
      </c>
      <c r="C475" s="77" t="s">
        <v>90</v>
      </c>
      <c r="D475" t="s">
        <v>81</v>
      </c>
      <c r="E475" s="77" t="s">
        <v>124</v>
      </c>
      <c r="F475" s="77" t="s">
        <v>73</v>
      </c>
      <c r="G475" s="77" t="s">
        <v>74</v>
      </c>
      <c r="H475" s="77" t="s">
        <v>127</v>
      </c>
      <c r="I475" s="77" t="s">
        <v>84</v>
      </c>
      <c r="J475" s="76" cm="1">
        <f t="array" ref="J475:J483">'SUT_EU27 total'!$M$60:$M$68</f>
        <v>2.1047443073980527E-5</v>
      </c>
    </row>
    <row r="476" spans="1:10" x14ac:dyDescent="0.35">
      <c r="A476" t="s">
        <v>13</v>
      </c>
      <c r="B476" t="s">
        <v>31</v>
      </c>
      <c r="C476" s="77" t="s">
        <v>90</v>
      </c>
      <c r="D476" t="s">
        <v>81</v>
      </c>
      <c r="E476" s="77" t="s">
        <v>117</v>
      </c>
      <c r="F476" s="77" t="s">
        <v>73</v>
      </c>
      <c r="G476" s="77" t="s">
        <v>74</v>
      </c>
      <c r="H476" s="77" t="s">
        <v>127</v>
      </c>
      <c r="I476" s="77" t="s">
        <v>84</v>
      </c>
      <c r="J476" s="76">
        <v>5.8414015621608938E-3</v>
      </c>
    </row>
    <row r="477" spans="1:10" x14ac:dyDescent="0.35">
      <c r="A477" t="s">
        <v>13</v>
      </c>
      <c r="B477" t="s">
        <v>31</v>
      </c>
      <c r="C477" s="77" t="s">
        <v>90</v>
      </c>
      <c r="D477" t="s">
        <v>81</v>
      </c>
      <c r="E477" s="77" t="s">
        <v>82</v>
      </c>
      <c r="F477" s="77" t="s">
        <v>73</v>
      </c>
      <c r="G477" s="77" t="s">
        <v>74</v>
      </c>
      <c r="H477" s="77" t="s">
        <v>127</v>
      </c>
      <c r="I477" s="77" t="s">
        <v>84</v>
      </c>
      <c r="J477" s="76">
        <v>1.4521138379047227E-3</v>
      </c>
    </row>
    <row r="478" spans="1:10" x14ac:dyDescent="0.35">
      <c r="A478" t="s">
        <v>13</v>
      </c>
      <c r="B478" t="s">
        <v>31</v>
      </c>
      <c r="C478" s="77" t="s">
        <v>90</v>
      </c>
      <c r="D478" t="s">
        <v>81</v>
      </c>
      <c r="E478" s="77" t="s">
        <v>125</v>
      </c>
      <c r="F478" s="77" t="s">
        <v>73</v>
      </c>
      <c r="G478" s="77" t="s">
        <v>74</v>
      </c>
      <c r="H478" s="77" t="s">
        <v>127</v>
      </c>
      <c r="I478" s="77" t="s">
        <v>84</v>
      </c>
      <c r="J478" s="76">
        <v>6.5130870114372285E-5</v>
      </c>
    </row>
    <row r="479" spans="1:10" x14ac:dyDescent="0.35">
      <c r="A479" t="s">
        <v>13</v>
      </c>
      <c r="B479" t="s">
        <v>31</v>
      </c>
      <c r="C479" s="77" t="s">
        <v>90</v>
      </c>
      <c r="D479" t="s">
        <v>81</v>
      </c>
      <c r="E479" s="77" t="s">
        <v>122</v>
      </c>
      <c r="F479" s="77" t="s">
        <v>73</v>
      </c>
      <c r="G479" s="77" t="s">
        <v>74</v>
      </c>
      <c r="H479" s="77" t="s">
        <v>127</v>
      </c>
      <c r="I479" s="77" t="s">
        <v>84</v>
      </c>
      <c r="J479" s="76">
        <v>7.9476813317479189E-4</v>
      </c>
    </row>
    <row r="480" spans="1:10" x14ac:dyDescent="0.35">
      <c r="A480" t="s">
        <v>13</v>
      </c>
      <c r="B480" t="s">
        <v>31</v>
      </c>
      <c r="C480" s="77" t="s">
        <v>90</v>
      </c>
      <c r="D480" t="s">
        <v>81</v>
      </c>
      <c r="E480" s="77" t="s">
        <v>126</v>
      </c>
      <c r="F480" s="77" t="s">
        <v>73</v>
      </c>
      <c r="G480" s="77" t="s">
        <v>74</v>
      </c>
      <c r="H480" s="77" t="s">
        <v>127</v>
      </c>
      <c r="I480" s="77" t="s">
        <v>84</v>
      </c>
      <c r="J480" s="76">
        <v>8.4821183458843076E-3</v>
      </c>
    </row>
    <row r="481" spans="1:10" x14ac:dyDescent="0.35">
      <c r="A481" t="s">
        <v>13</v>
      </c>
      <c r="B481" t="s">
        <v>31</v>
      </c>
      <c r="C481" s="77" t="s">
        <v>90</v>
      </c>
      <c r="D481" t="s">
        <v>81</v>
      </c>
      <c r="E481" s="77" t="s">
        <v>101</v>
      </c>
      <c r="F481" s="77" t="s">
        <v>73</v>
      </c>
      <c r="G481" s="77" t="s">
        <v>74</v>
      </c>
      <c r="H481" s="77" t="s">
        <v>127</v>
      </c>
      <c r="I481" s="77" t="s">
        <v>84</v>
      </c>
      <c r="J481" s="76">
        <v>0</v>
      </c>
    </row>
    <row r="482" spans="1:10" x14ac:dyDescent="0.35">
      <c r="A482" t="s">
        <v>13</v>
      </c>
      <c r="B482" t="s">
        <v>31</v>
      </c>
      <c r="C482" s="77" t="s">
        <v>90</v>
      </c>
      <c r="D482" t="s">
        <v>81</v>
      </c>
      <c r="E482" s="77" t="s">
        <v>104</v>
      </c>
      <c r="F482" s="77" t="s">
        <v>73</v>
      </c>
      <c r="G482" s="77" t="s">
        <v>74</v>
      </c>
      <c r="H482" s="77" t="s">
        <v>127</v>
      </c>
      <c r="I482" s="77" t="s">
        <v>84</v>
      </c>
      <c r="J482" s="76">
        <v>0</v>
      </c>
    </row>
    <row r="483" spans="1:10" x14ac:dyDescent="0.35">
      <c r="A483" t="s">
        <v>13</v>
      </c>
      <c r="B483" t="s">
        <v>31</v>
      </c>
      <c r="C483" s="77" t="s">
        <v>90</v>
      </c>
      <c r="D483" t="s">
        <v>81</v>
      </c>
      <c r="E483" s="77" t="s">
        <v>106</v>
      </c>
      <c r="F483" s="77" t="s">
        <v>73</v>
      </c>
      <c r="G483" s="77" t="s">
        <v>74</v>
      </c>
      <c r="H483" s="77" t="s">
        <v>127</v>
      </c>
      <c r="I483" s="77" t="s">
        <v>84</v>
      </c>
      <c r="J483" s="76">
        <v>0</v>
      </c>
    </row>
    <row r="484" spans="1:10" x14ac:dyDescent="0.35">
      <c r="A484" t="s">
        <v>13</v>
      </c>
      <c r="B484" t="s">
        <v>31</v>
      </c>
      <c r="C484" s="77" t="s">
        <v>91</v>
      </c>
      <c r="D484" t="s">
        <v>81</v>
      </c>
      <c r="E484" s="77" t="s">
        <v>119</v>
      </c>
      <c r="F484" s="77" t="s">
        <v>73</v>
      </c>
      <c r="G484" s="77" t="s">
        <v>74</v>
      </c>
      <c r="H484" s="77" t="s">
        <v>127</v>
      </c>
      <c r="I484" s="77" t="s">
        <v>84</v>
      </c>
      <c r="J484" s="76">
        <f>'SUT_EU27 total'!$M$73</f>
        <v>0.15097500908393557</v>
      </c>
    </row>
    <row r="485" spans="1:10" x14ac:dyDescent="0.35">
      <c r="A485" t="s">
        <v>13</v>
      </c>
      <c r="B485" t="s">
        <v>31</v>
      </c>
      <c r="C485" s="77" t="s">
        <v>91</v>
      </c>
      <c r="D485" t="s">
        <v>81</v>
      </c>
      <c r="E485" s="77" t="s">
        <v>124</v>
      </c>
      <c r="F485" s="77" t="s">
        <v>73</v>
      </c>
      <c r="G485" s="77" t="s">
        <v>74</v>
      </c>
      <c r="H485" s="77" t="s">
        <v>127</v>
      </c>
      <c r="I485" s="77" t="s">
        <v>84</v>
      </c>
      <c r="J485" s="76" cm="1">
        <f t="array" ref="J485:J493">'SUT_EU27 total'!$M$77:$M$85</f>
        <v>6.7728942399646885E-5</v>
      </c>
    </row>
    <row r="486" spans="1:10" x14ac:dyDescent="0.35">
      <c r="A486" t="s">
        <v>13</v>
      </c>
      <c r="B486" t="s">
        <v>31</v>
      </c>
      <c r="C486" s="77" t="s">
        <v>91</v>
      </c>
      <c r="D486" t="s">
        <v>81</v>
      </c>
      <c r="E486" s="77" t="s">
        <v>117</v>
      </c>
      <c r="F486" s="77" t="s">
        <v>73</v>
      </c>
      <c r="G486" s="77" t="s">
        <v>74</v>
      </c>
      <c r="H486" s="77" t="s">
        <v>127</v>
      </c>
      <c r="I486" s="77" t="s">
        <v>84</v>
      </c>
      <c r="J486" s="76">
        <v>5.6233849622410815E-3</v>
      </c>
    </row>
    <row r="487" spans="1:10" x14ac:dyDescent="0.35">
      <c r="A487" t="s">
        <v>13</v>
      </c>
      <c r="B487" t="s">
        <v>31</v>
      </c>
      <c r="C487" s="77" t="s">
        <v>91</v>
      </c>
      <c r="D487" t="s">
        <v>81</v>
      </c>
      <c r="E487" s="77" t="s">
        <v>82</v>
      </c>
      <c r="F487" s="77" t="s">
        <v>73</v>
      </c>
      <c r="G487" s="77" t="s">
        <v>74</v>
      </c>
      <c r="H487" s="77" t="s">
        <v>127</v>
      </c>
      <c r="I487" s="77" t="s">
        <v>84</v>
      </c>
      <c r="J487" s="76">
        <v>1.8068055269127655E-3</v>
      </c>
    </row>
    <row r="488" spans="1:10" x14ac:dyDescent="0.35">
      <c r="A488" t="s">
        <v>13</v>
      </c>
      <c r="B488" t="s">
        <v>31</v>
      </c>
      <c r="C488" s="77" t="s">
        <v>91</v>
      </c>
      <c r="D488" t="s">
        <v>81</v>
      </c>
      <c r="E488" s="77" t="s">
        <v>125</v>
      </c>
      <c r="F488" s="77" t="s">
        <v>73</v>
      </c>
      <c r="G488" s="77" t="s">
        <v>74</v>
      </c>
      <c r="H488" s="77" t="s">
        <v>127</v>
      </c>
      <c r="I488" s="77" t="s">
        <v>84</v>
      </c>
      <c r="J488" s="76">
        <v>5.6492118062760293E-6</v>
      </c>
    </row>
    <row r="489" spans="1:10" x14ac:dyDescent="0.35">
      <c r="A489" t="s">
        <v>13</v>
      </c>
      <c r="B489" t="s">
        <v>31</v>
      </c>
      <c r="C489" s="77" t="s">
        <v>91</v>
      </c>
      <c r="D489" t="s">
        <v>81</v>
      </c>
      <c r="E489" s="77" t="s">
        <v>122</v>
      </c>
      <c r="F489" s="77" t="s">
        <v>73</v>
      </c>
      <c r="G489" s="77" t="s">
        <v>74</v>
      </c>
      <c r="H489" s="77" t="s">
        <v>127</v>
      </c>
      <c r="I489" s="77" t="s">
        <v>84</v>
      </c>
      <c r="J489" s="76">
        <v>0</v>
      </c>
    </row>
    <row r="490" spans="1:10" x14ac:dyDescent="0.35">
      <c r="A490" t="s">
        <v>13</v>
      </c>
      <c r="B490" t="s">
        <v>31</v>
      </c>
      <c r="C490" s="77" t="s">
        <v>91</v>
      </c>
      <c r="D490" t="s">
        <v>81</v>
      </c>
      <c r="E490" s="77" t="s">
        <v>126</v>
      </c>
      <c r="F490" s="77" t="s">
        <v>73</v>
      </c>
      <c r="G490" s="77" t="s">
        <v>74</v>
      </c>
      <c r="H490" s="77" t="s">
        <v>127</v>
      </c>
      <c r="I490" s="77" t="s">
        <v>84</v>
      </c>
      <c r="J490" s="76">
        <v>8.1093795177776388E-4</v>
      </c>
    </row>
    <row r="491" spans="1:10" x14ac:dyDescent="0.35">
      <c r="A491" t="s">
        <v>13</v>
      </c>
      <c r="B491" t="s">
        <v>31</v>
      </c>
      <c r="C491" s="77" t="s">
        <v>91</v>
      </c>
      <c r="D491" t="s">
        <v>81</v>
      </c>
      <c r="E491" s="77" t="s">
        <v>101</v>
      </c>
      <c r="F491" s="77" t="s">
        <v>73</v>
      </c>
      <c r="G491" s="77" t="s">
        <v>74</v>
      </c>
      <c r="H491" s="77" t="s">
        <v>127</v>
      </c>
      <c r="I491" s="77" t="s">
        <v>84</v>
      </c>
      <c r="J491" s="76">
        <v>0</v>
      </c>
    </row>
    <row r="492" spans="1:10" x14ac:dyDescent="0.35">
      <c r="A492" t="s">
        <v>13</v>
      </c>
      <c r="B492" t="s">
        <v>31</v>
      </c>
      <c r="C492" s="77" t="s">
        <v>91</v>
      </c>
      <c r="D492" t="s">
        <v>81</v>
      </c>
      <c r="E492" s="77" t="s">
        <v>104</v>
      </c>
      <c r="F492" s="77" t="s">
        <v>73</v>
      </c>
      <c r="G492" s="77" t="s">
        <v>74</v>
      </c>
      <c r="H492" s="77" t="s">
        <v>127</v>
      </c>
      <c r="I492" s="77" t="s">
        <v>84</v>
      </c>
      <c r="J492" s="76">
        <v>0</v>
      </c>
    </row>
    <row r="493" spans="1:10" x14ac:dyDescent="0.35">
      <c r="A493" t="s">
        <v>13</v>
      </c>
      <c r="B493" t="s">
        <v>31</v>
      </c>
      <c r="C493" s="77" t="s">
        <v>91</v>
      </c>
      <c r="D493" t="s">
        <v>81</v>
      </c>
      <c r="E493" s="77" t="s">
        <v>106</v>
      </c>
      <c r="F493" s="77" t="s">
        <v>73</v>
      </c>
      <c r="G493" s="77" t="s">
        <v>74</v>
      </c>
      <c r="H493" s="77" t="s">
        <v>127</v>
      </c>
      <c r="I493" s="77" t="s">
        <v>84</v>
      </c>
      <c r="J493" s="76">
        <v>0</v>
      </c>
    </row>
    <row r="494" spans="1:10" x14ac:dyDescent="0.35">
      <c r="A494" t="s">
        <v>13</v>
      </c>
      <c r="B494" t="s">
        <v>31</v>
      </c>
      <c r="C494" s="77" t="s">
        <v>92</v>
      </c>
      <c r="D494" t="s">
        <v>81</v>
      </c>
      <c r="E494" s="77" t="s">
        <v>119</v>
      </c>
      <c r="F494" s="77" t="s">
        <v>73</v>
      </c>
      <c r="G494" s="77" t="s">
        <v>74</v>
      </c>
      <c r="H494" s="77" t="s">
        <v>127</v>
      </c>
      <c r="I494" s="77" t="s">
        <v>84</v>
      </c>
      <c r="J494" s="76">
        <f>'SUT_EU27 total'!$M$90</f>
        <v>0.13886309499777949</v>
      </c>
    </row>
    <row r="495" spans="1:10" x14ac:dyDescent="0.35">
      <c r="A495" t="s">
        <v>13</v>
      </c>
      <c r="B495" t="s">
        <v>31</v>
      </c>
      <c r="C495" s="77" t="s">
        <v>92</v>
      </c>
      <c r="D495" t="s">
        <v>81</v>
      </c>
      <c r="E495" s="77" t="s">
        <v>124</v>
      </c>
      <c r="F495" s="77" t="s">
        <v>73</v>
      </c>
      <c r="G495" s="77" t="s">
        <v>74</v>
      </c>
      <c r="H495" s="77" t="s">
        <v>127</v>
      </c>
      <c r="I495" s="77" t="s">
        <v>84</v>
      </c>
      <c r="J495" s="76" cm="1">
        <f t="array" ref="J495:J503">'SUT_EU27 total'!$M$94:$M$102</f>
        <v>9.2968907089085616E-5</v>
      </c>
    </row>
    <row r="496" spans="1:10" x14ac:dyDescent="0.35">
      <c r="A496" t="s">
        <v>13</v>
      </c>
      <c r="B496" t="s">
        <v>31</v>
      </c>
      <c r="C496" s="77" t="s">
        <v>92</v>
      </c>
      <c r="D496" t="s">
        <v>81</v>
      </c>
      <c r="E496" s="77" t="s">
        <v>117</v>
      </c>
      <c r="F496" s="77" t="s">
        <v>73</v>
      </c>
      <c r="G496" s="77" t="s">
        <v>74</v>
      </c>
      <c r="H496" s="77" t="s">
        <v>127</v>
      </c>
      <c r="I496" s="77" t="s">
        <v>84</v>
      </c>
      <c r="J496" s="76">
        <v>0</v>
      </c>
    </row>
    <row r="497" spans="1:10" x14ac:dyDescent="0.35">
      <c r="A497" t="s">
        <v>13</v>
      </c>
      <c r="B497" t="s">
        <v>31</v>
      </c>
      <c r="C497" s="77" t="s">
        <v>92</v>
      </c>
      <c r="D497" t="s">
        <v>81</v>
      </c>
      <c r="E497" s="77" t="s">
        <v>82</v>
      </c>
      <c r="F497" s="77" t="s">
        <v>73</v>
      </c>
      <c r="G497" s="77" t="s">
        <v>74</v>
      </c>
      <c r="H497" s="77" t="s">
        <v>127</v>
      </c>
      <c r="I497" s="77" t="s">
        <v>84</v>
      </c>
      <c r="J497" s="76">
        <v>1.1251392039595793E-3</v>
      </c>
    </row>
    <row r="498" spans="1:10" x14ac:dyDescent="0.35">
      <c r="A498" t="s">
        <v>13</v>
      </c>
      <c r="B498" t="s">
        <v>31</v>
      </c>
      <c r="C498" s="77" t="s">
        <v>92</v>
      </c>
      <c r="D498" t="s">
        <v>81</v>
      </c>
      <c r="E498" s="77" t="s">
        <v>125</v>
      </c>
      <c r="F498" s="77" t="s">
        <v>73</v>
      </c>
      <c r="G498" s="77" t="s">
        <v>74</v>
      </c>
      <c r="H498" s="77" t="s">
        <v>127</v>
      </c>
      <c r="I498" s="77" t="s">
        <v>84</v>
      </c>
      <c r="J498" s="76">
        <v>5.0048817841215026E-7</v>
      </c>
    </row>
    <row r="499" spans="1:10" x14ac:dyDescent="0.35">
      <c r="A499" t="s">
        <v>13</v>
      </c>
      <c r="B499" t="s">
        <v>31</v>
      </c>
      <c r="C499" s="77" t="s">
        <v>92</v>
      </c>
      <c r="D499" t="s">
        <v>81</v>
      </c>
      <c r="E499" s="77" t="s">
        <v>122</v>
      </c>
      <c r="F499" s="77" t="s">
        <v>73</v>
      </c>
      <c r="G499" s="77" t="s">
        <v>74</v>
      </c>
      <c r="H499" s="77" t="s">
        <v>127</v>
      </c>
      <c r="I499" s="77" t="s">
        <v>84</v>
      </c>
      <c r="J499" s="76">
        <v>0</v>
      </c>
    </row>
    <row r="500" spans="1:10" x14ac:dyDescent="0.35">
      <c r="A500" t="s">
        <v>13</v>
      </c>
      <c r="B500" t="s">
        <v>31</v>
      </c>
      <c r="C500" s="77" t="s">
        <v>92</v>
      </c>
      <c r="D500" t="s">
        <v>81</v>
      </c>
      <c r="E500" s="77" t="s">
        <v>126</v>
      </c>
      <c r="F500" s="77" t="s">
        <v>73</v>
      </c>
      <c r="G500" s="77" t="s">
        <v>74</v>
      </c>
      <c r="H500" s="77" t="s">
        <v>127</v>
      </c>
      <c r="I500" s="77" t="s">
        <v>84</v>
      </c>
      <c r="J500" s="76">
        <v>0</v>
      </c>
    </row>
    <row r="501" spans="1:10" x14ac:dyDescent="0.35">
      <c r="A501" t="s">
        <v>13</v>
      </c>
      <c r="B501" t="s">
        <v>31</v>
      </c>
      <c r="C501" s="77" t="s">
        <v>92</v>
      </c>
      <c r="D501" t="s">
        <v>81</v>
      </c>
      <c r="E501" s="77" t="s">
        <v>101</v>
      </c>
      <c r="F501" s="77" t="s">
        <v>73</v>
      </c>
      <c r="G501" s="77" t="s">
        <v>74</v>
      </c>
      <c r="H501" s="77" t="s">
        <v>127</v>
      </c>
      <c r="I501" s="77" t="s">
        <v>84</v>
      </c>
      <c r="J501" s="76">
        <v>0</v>
      </c>
    </row>
    <row r="502" spans="1:10" x14ac:dyDescent="0.35">
      <c r="A502" t="s">
        <v>13</v>
      </c>
      <c r="B502" t="s">
        <v>31</v>
      </c>
      <c r="C502" s="77" t="s">
        <v>92</v>
      </c>
      <c r="D502" t="s">
        <v>81</v>
      </c>
      <c r="E502" s="77" t="s">
        <v>104</v>
      </c>
      <c r="F502" s="77" t="s">
        <v>73</v>
      </c>
      <c r="G502" s="77" t="s">
        <v>74</v>
      </c>
      <c r="H502" s="77" t="s">
        <v>127</v>
      </c>
      <c r="I502" s="77" t="s">
        <v>84</v>
      </c>
      <c r="J502" s="76">
        <v>0</v>
      </c>
    </row>
    <row r="503" spans="1:10" x14ac:dyDescent="0.35">
      <c r="A503" t="s">
        <v>13</v>
      </c>
      <c r="B503" t="s">
        <v>31</v>
      </c>
      <c r="C503" s="77" t="s">
        <v>92</v>
      </c>
      <c r="D503" t="s">
        <v>81</v>
      </c>
      <c r="E503" s="77" t="s">
        <v>106</v>
      </c>
      <c r="F503" s="77" t="s">
        <v>73</v>
      </c>
      <c r="G503" s="77" t="s">
        <v>74</v>
      </c>
      <c r="H503" s="77" t="s">
        <v>127</v>
      </c>
      <c r="I503" s="77" t="s">
        <v>84</v>
      </c>
      <c r="J503" s="76">
        <v>0</v>
      </c>
    </row>
    <row r="504" spans="1:10" x14ac:dyDescent="0.35">
      <c r="A504" t="s">
        <v>13</v>
      </c>
      <c r="B504" t="s">
        <v>31</v>
      </c>
      <c r="C504" s="77" t="s">
        <v>93</v>
      </c>
      <c r="D504" t="s">
        <v>81</v>
      </c>
      <c r="E504" s="77" t="s">
        <v>119</v>
      </c>
      <c r="F504" s="77" t="s">
        <v>73</v>
      </c>
      <c r="G504" s="77" t="s">
        <v>74</v>
      </c>
      <c r="H504" s="77" t="s">
        <v>127</v>
      </c>
      <c r="I504" s="77" t="s">
        <v>84</v>
      </c>
      <c r="J504" s="76">
        <f>'SUT_EU27 total'!$M$107</f>
        <v>1.0000807460939076</v>
      </c>
    </row>
    <row r="505" spans="1:10" x14ac:dyDescent="0.35">
      <c r="A505" t="s">
        <v>13</v>
      </c>
      <c r="B505" t="s">
        <v>31</v>
      </c>
      <c r="C505" s="77" t="s">
        <v>93</v>
      </c>
      <c r="D505" t="s">
        <v>81</v>
      </c>
      <c r="E505" s="77" t="s">
        <v>124</v>
      </c>
      <c r="F505" s="77" t="s">
        <v>73</v>
      </c>
      <c r="G505" s="77" t="s">
        <v>74</v>
      </c>
      <c r="H505" s="77" t="s">
        <v>127</v>
      </c>
      <c r="I505" s="77" t="s">
        <v>84</v>
      </c>
      <c r="J505" s="76" cm="1">
        <f t="array" ref="J505:J513">'SUT_EU27 total'!$M$111:$M$119</f>
        <v>3.7052409430862396E-4</v>
      </c>
    </row>
    <row r="506" spans="1:10" x14ac:dyDescent="0.35">
      <c r="A506" t="s">
        <v>13</v>
      </c>
      <c r="B506" t="s">
        <v>31</v>
      </c>
      <c r="C506" s="77" t="s">
        <v>93</v>
      </c>
      <c r="D506" t="s">
        <v>81</v>
      </c>
      <c r="E506" s="77" t="s">
        <v>117</v>
      </c>
      <c r="F506" s="77" t="s">
        <v>73</v>
      </c>
      <c r="G506" s="77" t="s">
        <v>74</v>
      </c>
      <c r="H506" s="77" t="s">
        <v>127</v>
      </c>
      <c r="I506" s="77" t="s">
        <v>84</v>
      </c>
      <c r="J506" s="76">
        <v>5.8414042458127093E-3</v>
      </c>
    </row>
    <row r="507" spans="1:10" x14ac:dyDescent="0.35">
      <c r="A507" t="s">
        <v>13</v>
      </c>
      <c r="B507" t="s">
        <v>31</v>
      </c>
      <c r="C507" s="77" t="s">
        <v>93</v>
      </c>
      <c r="D507" t="s">
        <v>81</v>
      </c>
      <c r="E507" s="77" t="s">
        <v>82</v>
      </c>
      <c r="F507" s="77" t="s">
        <v>73</v>
      </c>
      <c r="G507" s="77" t="s">
        <v>74</v>
      </c>
      <c r="H507" s="77" t="s">
        <v>127</v>
      </c>
      <c r="I507" s="77" t="s">
        <v>84</v>
      </c>
      <c r="J507" s="76">
        <v>5.0319447308723453E-3</v>
      </c>
    </row>
    <row r="508" spans="1:10" x14ac:dyDescent="0.35">
      <c r="A508" t="s">
        <v>13</v>
      </c>
      <c r="B508" t="s">
        <v>31</v>
      </c>
      <c r="C508" s="77" t="s">
        <v>93</v>
      </c>
      <c r="D508" t="s">
        <v>81</v>
      </c>
      <c r="E508" s="77" t="s">
        <v>125</v>
      </c>
      <c r="F508" s="77" t="s">
        <v>73</v>
      </c>
      <c r="G508" s="77" t="s">
        <v>74</v>
      </c>
      <c r="H508" s="77" t="s">
        <v>127</v>
      </c>
      <c r="I508" s="77" t="s">
        <v>84</v>
      </c>
      <c r="J508" s="76">
        <v>4.336096678710085E-4</v>
      </c>
    </row>
    <row r="509" spans="1:10" x14ac:dyDescent="0.35">
      <c r="A509" t="s">
        <v>13</v>
      </c>
      <c r="B509" t="s">
        <v>31</v>
      </c>
      <c r="C509" s="77" t="s">
        <v>93</v>
      </c>
      <c r="D509" t="s">
        <v>81</v>
      </c>
      <c r="E509" s="77" t="s">
        <v>122</v>
      </c>
      <c r="F509" s="77" t="s">
        <v>73</v>
      </c>
      <c r="G509" s="77" t="s">
        <v>74</v>
      </c>
      <c r="H509" s="77" t="s">
        <v>127</v>
      </c>
      <c r="I509" s="77" t="s">
        <v>84</v>
      </c>
      <c r="J509" s="76">
        <v>2.7129607609988112E-3</v>
      </c>
    </row>
    <row r="510" spans="1:10" x14ac:dyDescent="0.35">
      <c r="A510" t="s">
        <v>13</v>
      </c>
      <c r="B510" t="s">
        <v>31</v>
      </c>
      <c r="C510" s="77" t="s">
        <v>93</v>
      </c>
      <c r="D510" t="s">
        <v>81</v>
      </c>
      <c r="E510" s="77" t="s">
        <v>126</v>
      </c>
      <c r="F510" s="77" t="s">
        <v>73</v>
      </c>
      <c r="G510" s="77" t="s">
        <v>74</v>
      </c>
      <c r="H510" s="77" t="s">
        <v>127</v>
      </c>
      <c r="I510" s="77" t="s">
        <v>84</v>
      </c>
      <c r="J510" s="76">
        <v>4.3855511603587784E-2</v>
      </c>
    </row>
    <row r="511" spans="1:10" x14ac:dyDescent="0.35">
      <c r="A511" t="s">
        <v>13</v>
      </c>
      <c r="B511" t="s">
        <v>31</v>
      </c>
      <c r="C511" s="77" t="s">
        <v>93</v>
      </c>
      <c r="D511" t="s">
        <v>81</v>
      </c>
      <c r="E511" s="77" t="s">
        <v>101</v>
      </c>
      <c r="F511" s="77" t="s">
        <v>73</v>
      </c>
      <c r="G511" s="77" t="s">
        <v>74</v>
      </c>
      <c r="H511" s="77" t="s">
        <v>127</v>
      </c>
      <c r="I511" s="77" t="s">
        <v>84</v>
      </c>
      <c r="J511" s="76">
        <v>0</v>
      </c>
    </row>
    <row r="512" spans="1:10" x14ac:dyDescent="0.35">
      <c r="A512" t="s">
        <v>13</v>
      </c>
      <c r="B512" t="s">
        <v>31</v>
      </c>
      <c r="C512" s="77" t="s">
        <v>93</v>
      </c>
      <c r="D512" t="s">
        <v>81</v>
      </c>
      <c r="E512" s="77" t="s">
        <v>104</v>
      </c>
      <c r="F512" s="77" t="s">
        <v>73</v>
      </c>
      <c r="G512" s="77" t="s">
        <v>74</v>
      </c>
      <c r="H512" s="77" t="s">
        <v>127</v>
      </c>
      <c r="I512" s="77" t="s">
        <v>84</v>
      </c>
      <c r="J512" s="76">
        <v>0</v>
      </c>
    </row>
    <row r="513" spans="1:10" x14ac:dyDescent="0.35">
      <c r="A513" t="s">
        <v>13</v>
      </c>
      <c r="B513" t="s">
        <v>31</v>
      </c>
      <c r="C513" s="77" t="s">
        <v>93</v>
      </c>
      <c r="D513" t="s">
        <v>81</v>
      </c>
      <c r="E513" s="77" t="s">
        <v>106</v>
      </c>
      <c r="F513" s="77" t="s">
        <v>73</v>
      </c>
      <c r="G513" s="77" t="s">
        <v>74</v>
      </c>
      <c r="H513" s="77" t="s">
        <v>127</v>
      </c>
      <c r="I513" s="77" t="s">
        <v>84</v>
      </c>
      <c r="J513" s="76">
        <v>0</v>
      </c>
    </row>
    <row r="514" spans="1:10" x14ac:dyDescent="0.35">
      <c r="A514" t="s">
        <v>13</v>
      </c>
      <c r="B514" t="s">
        <v>31</v>
      </c>
      <c r="C514" s="77" t="s">
        <v>73</v>
      </c>
      <c r="D514" t="s">
        <v>81</v>
      </c>
      <c r="E514" s="77" t="s">
        <v>82</v>
      </c>
      <c r="F514" s="77" t="s">
        <v>73</v>
      </c>
      <c r="G514" s="77" t="s">
        <v>74</v>
      </c>
      <c r="H514" s="77" t="s">
        <v>128</v>
      </c>
      <c r="I514" s="77" t="s">
        <v>84</v>
      </c>
      <c r="J514" s="467" cm="1">
        <f t="array" ref="J514:J537">Sensitivity!J42:J65</f>
        <v>4.1745598096881081E-2</v>
      </c>
    </row>
    <row r="515" spans="1:10" x14ac:dyDescent="0.35">
      <c r="A515" t="s">
        <v>13</v>
      </c>
      <c r="B515" t="s">
        <v>31</v>
      </c>
      <c r="C515" s="77" t="s">
        <v>73</v>
      </c>
      <c r="D515" t="s">
        <v>81</v>
      </c>
      <c r="E515" s="77" t="s">
        <v>86</v>
      </c>
      <c r="F515" s="77" t="s">
        <v>73</v>
      </c>
      <c r="G515" s="77" t="s">
        <v>74</v>
      </c>
      <c r="H515" s="77" t="s">
        <v>128</v>
      </c>
      <c r="I515" s="77" t="s">
        <v>84</v>
      </c>
      <c r="J515" s="467">
        <v>1.8928725973451437E-3</v>
      </c>
    </row>
    <row r="516" spans="1:10" x14ac:dyDescent="0.35">
      <c r="A516" t="s">
        <v>13</v>
      </c>
      <c r="B516" t="s">
        <v>31</v>
      </c>
      <c r="C516" s="77" t="s">
        <v>88</v>
      </c>
      <c r="D516" t="s">
        <v>81</v>
      </c>
      <c r="E516" s="77" t="s">
        <v>82</v>
      </c>
      <c r="F516" s="77" t="s">
        <v>73</v>
      </c>
      <c r="G516" s="77" t="s">
        <v>74</v>
      </c>
      <c r="H516" s="77" t="s">
        <v>128</v>
      </c>
      <c r="I516" s="77" t="s">
        <v>84</v>
      </c>
      <c r="J516" s="467">
        <v>2.6279577842549875E-2</v>
      </c>
    </row>
    <row r="517" spans="1:10" x14ac:dyDescent="0.35">
      <c r="A517" t="s">
        <v>13</v>
      </c>
      <c r="B517" t="s">
        <v>31</v>
      </c>
      <c r="C517" s="77" t="s">
        <v>88</v>
      </c>
      <c r="D517" t="s">
        <v>81</v>
      </c>
      <c r="E517" s="77" t="s">
        <v>86</v>
      </c>
      <c r="F517" s="77" t="s">
        <v>73</v>
      </c>
      <c r="G517" s="77" t="s">
        <v>74</v>
      </c>
      <c r="H517" s="77" t="s">
        <v>128</v>
      </c>
      <c r="I517" s="77" t="s">
        <v>84</v>
      </c>
      <c r="J517" s="467">
        <v>4.2873313285756449E-2</v>
      </c>
    </row>
    <row r="518" spans="1:10" x14ac:dyDescent="0.35">
      <c r="A518" t="s">
        <v>13</v>
      </c>
      <c r="B518" t="s">
        <v>31</v>
      </c>
      <c r="C518" s="77" t="s">
        <v>90</v>
      </c>
      <c r="D518" t="s">
        <v>81</v>
      </c>
      <c r="E518" s="77" t="s">
        <v>82</v>
      </c>
      <c r="F518" s="77" t="s">
        <v>73</v>
      </c>
      <c r="G518" s="77" t="s">
        <v>74</v>
      </c>
      <c r="H518" s="77" t="s">
        <v>128</v>
      </c>
      <c r="I518" s="77" t="s">
        <v>84</v>
      </c>
      <c r="J518" s="467">
        <v>6.3224022592840835E-6</v>
      </c>
    </row>
    <row r="519" spans="1:10" x14ac:dyDescent="0.35">
      <c r="A519" t="s">
        <v>13</v>
      </c>
      <c r="B519" t="s">
        <v>31</v>
      </c>
      <c r="C519" s="77" t="s">
        <v>90</v>
      </c>
      <c r="D519" t="s">
        <v>81</v>
      </c>
      <c r="E519" s="77" t="s">
        <v>86</v>
      </c>
      <c r="F519" s="77" t="s">
        <v>73</v>
      </c>
      <c r="G519" s="77" t="s">
        <v>74</v>
      </c>
      <c r="H519" s="77" t="s">
        <v>128</v>
      </c>
      <c r="I519" s="77" t="s">
        <v>84</v>
      </c>
      <c r="J519" s="467">
        <v>5.6116726957544357E-3</v>
      </c>
    </row>
    <row r="520" spans="1:10" x14ac:dyDescent="0.35">
      <c r="A520" t="s">
        <v>13</v>
      </c>
      <c r="B520" t="s">
        <v>31</v>
      </c>
      <c r="C520" s="77" t="s">
        <v>91</v>
      </c>
      <c r="D520" t="s">
        <v>81</v>
      </c>
      <c r="E520" s="77" t="s">
        <v>82</v>
      </c>
      <c r="F520" s="77" t="s">
        <v>73</v>
      </c>
      <c r="G520" s="77" t="s">
        <v>74</v>
      </c>
      <c r="H520" s="77" t="s">
        <v>128</v>
      </c>
      <c r="I520" s="77" t="s">
        <v>84</v>
      </c>
      <c r="J520" s="467">
        <v>1.230167843126702E-3</v>
      </c>
    </row>
    <row r="521" spans="1:10" x14ac:dyDescent="0.35">
      <c r="A521" t="s">
        <v>13</v>
      </c>
      <c r="B521" t="s">
        <v>31</v>
      </c>
      <c r="C521" s="77" t="s">
        <v>91</v>
      </c>
      <c r="D521" t="s">
        <v>81</v>
      </c>
      <c r="E521" s="77" t="s">
        <v>86</v>
      </c>
      <c r="F521" s="77" t="s">
        <v>73</v>
      </c>
      <c r="G521" s="77" t="s">
        <v>74</v>
      </c>
      <c r="H521" s="77" t="s">
        <v>128</v>
      </c>
      <c r="I521" s="77" t="s">
        <v>84</v>
      </c>
      <c r="J521" s="467">
        <v>6.9823735421078153E-3</v>
      </c>
    </row>
    <row r="522" spans="1:10" x14ac:dyDescent="0.35">
      <c r="A522" t="s">
        <v>13</v>
      </c>
      <c r="B522" t="s">
        <v>31</v>
      </c>
      <c r="C522" s="77" t="s">
        <v>92</v>
      </c>
      <c r="D522" t="s">
        <v>81</v>
      </c>
      <c r="E522" s="77" t="s">
        <v>82</v>
      </c>
      <c r="F522" s="77" t="s">
        <v>73</v>
      </c>
      <c r="G522" s="77" t="s">
        <v>74</v>
      </c>
      <c r="H522" s="77" t="s">
        <v>128</v>
      </c>
      <c r="I522" s="77" t="s">
        <v>84</v>
      </c>
      <c r="J522" s="467">
        <v>1.7077210460603577E-3</v>
      </c>
    </row>
    <row r="523" spans="1:10" x14ac:dyDescent="0.35">
      <c r="A523" t="s">
        <v>13</v>
      </c>
      <c r="B523" t="s">
        <v>31</v>
      </c>
      <c r="C523" s="77" t="s">
        <v>92</v>
      </c>
      <c r="D523" t="s">
        <v>81</v>
      </c>
      <c r="E523" s="77" t="s">
        <v>86</v>
      </c>
      <c r="F523" s="77" t="s">
        <v>73</v>
      </c>
      <c r="G523" s="77" t="s">
        <v>74</v>
      </c>
      <c r="H523" s="77" t="s">
        <v>128</v>
      </c>
      <c r="I523" s="77" t="s">
        <v>84</v>
      </c>
      <c r="J523" s="467">
        <v>4.3480840034506481E-3</v>
      </c>
    </row>
    <row r="524" spans="1:10" x14ac:dyDescent="0.35">
      <c r="A524" t="s">
        <v>13</v>
      </c>
      <c r="B524" t="s">
        <v>31</v>
      </c>
      <c r="C524" s="77" t="s">
        <v>93</v>
      </c>
      <c r="D524" t="s">
        <v>81</v>
      </c>
      <c r="E524" s="77" t="s">
        <v>82</v>
      </c>
      <c r="F524" s="77" t="s">
        <v>73</v>
      </c>
      <c r="G524" s="77" t="s">
        <v>74</v>
      </c>
      <c r="H524" s="77" t="s">
        <v>128</v>
      </c>
      <c r="I524" s="77" t="s">
        <v>84</v>
      </c>
      <c r="J524" s="467">
        <v>7.0782764884202284E-3</v>
      </c>
    </row>
    <row r="525" spans="1:10" x14ac:dyDescent="0.35">
      <c r="A525" t="s">
        <v>13</v>
      </c>
      <c r="B525" t="s">
        <v>31</v>
      </c>
      <c r="C525" s="77" t="s">
        <v>93</v>
      </c>
      <c r="D525" t="s">
        <v>81</v>
      </c>
      <c r="E525" s="77" t="s">
        <v>86</v>
      </c>
      <c r="F525" s="77" t="s">
        <v>73</v>
      </c>
      <c r="G525" s="77" t="s">
        <v>74</v>
      </c>
      <c r="H525" s="77" t="s">
        <v>128</v>
      </c>
      <c r="I525" s="77" t="s">
        <v>84</v>
      </c>
      <c r="J525" s="467">
        <v>1.9445876842222126E-2</v>
      </c>
    </row>
    <row r="526" spans="1:10" x14ac:dyDescent="0.35">
      <c r="A526" t="s">
        <v>13</v>
      </c>
      <c r="B526" t="s">
        <v>31</v>
      </c>
      <c r="C526" s="77" t="s">
        <v>73</v>
      </c>
      <c r="D526" t="s">
        <v>81</v>
      </c>
      <c r="E526" s="77" t="s">
        <v>82</v>
      </c>
      <c r="F526" s="77" t="s">
        <v>73</v>
      </c>
      <c r="G526" s="77" t="s">
        <v>74</v>
      </c>
      <c r="H526" s="77" t="s">
        <v>129</v>
      </c>
      <c r="I526" s="77" t="s">
        <v>84</v>
      </c>
      <c r="J526" s="467">
        <v>4.1745598096881081E-2</v>
      </c>
    </row>
    <row r="527" spans="1:10" x14ac:dyDescent="0.35">
      <c r="A527" t="s">
        <v>13</v>
      </c>
      <c r="B527" t="s">
        <v>31</v>
      </c>
      <c r="C527" s="77" t="s">
        <v>73</v>
      </c>
      <c r="D527" t="s">
        <v>81</v>
      </c>
      <c r="E527" s="77" t="s">
        <v>86</v>
      </c>
      <c r="F527" s="77" t="s">
        <v>73</v>
      </c>
      <c r="G527" s="77" t="s">
        <v>74</v>
      </c>
      <c r="H527" s="77" t="s">
        <v>129</v>
      </c>
      <c r="I527" s="77" t="s">
        <v>84</v>
      </c>
      <c r="J527" s="467">
        <v>1.8928725973451437E-3</v>
      </c>
    </row>
    <row r="528" spans="1:10" x14ac:dyDescent="0.35">
      <c r="A528" t="s">
        <v>13</v>
      </c>
      <c r="B528" t="s">
        <v>31</v>
      </c>
      <c r="C528" s="77" t="s">
        <v>88</v>
      </c>
      <c r="D528" t="s">
        <v>81</v>
      </c>
      <c r="E528" s="77" t="s">
        <v>82</v>
      </c>
      <c r="F528" s="77" t="s">
        <v>73</v>
      </c>
      <c r="G528" s="77" t="s">
        <v>74</v>
      </c>
      <c r="H528" s="77" t="s">
        <v>129</v>
      </c>
      <c r="I528" s="77" t="s">
        <v>84</v>
      </c>
      <c r="J528" s="467">
        <v>2.6279577842549875E-2</v>
      </c>
    </row>
    <row r="529" spans="1:10" x14ac:dyDescent="0.35">
      <c r="A529" t="s">
        <v>13</v>
      </c>
      <c r="B529" t="s">
        <v>31</v>
      </c>
      <c r="C529" s="77" t="s">
        <v>88</v>
      </c>
      <c r="D529" t="s">
        <v>81</v>
      </c>
      <c r="E529" s="77" t="s">
        <v>86</v>
      </c>
      <c r="F529" s="77" t="s">
        <v>73</v>
      </c>
      <c r="G529" s="77" t="s">
        <v>74</v>
      </c>
      <c r="H529" s="77" t="s">
        <v>129</v>
      </c>
      <c r="I529" s="77" t="s">
        <v>84</v>
      </c>
      <c r="J529" s="467">
        <v>4.2873313285756449E-2</v>
      </c>
    </row>
    <row r="530" spans="1:10" x14ac:dyDescent="0.35">
      <c r="A530" t="s">
        <v>13</v>
      </c>
      <c r="B530" t="s">
        <v>31</v>
      </c>
      <c r="C530" s="77" t="s">
        <v>90</v>
      </c>
      <c r="D530" t="s">
        <v>81</v>
      </c>
      <c r="E530" s="77" t="s">
        <v>82</v>
      </c>
      <c r="F530" s="77" t="s">
        <v>73</v>
      </c>
      <c r="G530" s="77" t="s">
        <v>74</v>
      </c>
      <c r="H530" s="77" t="s">
        <v>129</v>
      </c>
      <c r="I530" s="77" t="s">
        <v>84</v>
      </c>
      <c r="J530" s="467">
        <v>6.3224022592840835E-6</v>
      </c>
    </row>
    <row r="531" spans="1:10" x14ac:dyDescent="0.35">
      <c r="A531" t="s">
        <v>13</v>
      </c>
      <c r="B531" t="s">
        <v>31</v>
      </c>
      <c r="C531" s="77" t="s">
        <v>90</v>
      </c>
      <c r="D531" t="s">
        <v>81</v>
      </c>
      <c r="E531" s="77" t="s">
        <v>86</v>
      </c>
      <c r="F531" s="77" t="s">
        <v>73</v>
      </c>
      <c r="G531" s="77" t="s">
        <v>74</v>
      </c>
      <c r="H531" s="77" t="s">
        <v>129</v>
      </c>
      <c r="I531" s="77" t="s">
        <v>84</v>
      </c>
      <c r="J531" s="467">
        <v>5.6116726957544357E-3</v>
      </c>
    </row>
    <row r="532" spans="1:10" x14ac:dyDescent="0.35">
      <c r="A532" t="s">
        <v>13</v>
      </c>
      <c r="B532" t="s">
        <v>31</v>
      </c>
      <c r="C532" s="77" t="s">
        <v>91</v>
      </c>
      <c r="D532" t="s">
        <v>81</v>
      </c>
      <c r="E532" s="77" t="s">
        <v>82</v>
      </c>
      <c r="F532" s="77" t="s">
        <v>73</v>
      </c>
      <c r="G532" s="77" t="s">
        <v>74</v>
      </c>
      <c r="H532" s="77" t="s">
        <v>129</v>
      </c>
      <c r="I532" s="77" t="s">
        <v>84</v>
      </c>
      <c r="J532" s="467">
        <v>1.230167843126702E-3</v>
      </c>
    </row>
    <row r="533" spans="1:10" x14ac:dyDescent="0.35">
      <c r="A533" t="s">
        <v>13</v>
      </c>
      <c r="B533" t="s">
        <v>31</v>
      </c>
      <c r="C533" s="77" t="s">
        <v>91</v>
      </c>
      <c r="D533" t="s">
        <v>81</v>
      </c>
      <c r="E533" s="77" t="s">
        <v>86</v>
      </c>
      <c r="F533" s="77" t="s">
        <v>73</v>
      </c>
      <c r="G533" s="77" t="s">
        <v>74</v>
      </c>
      <c r="H533" s="77" t="s">
        <v>129</v>
      </c>
      <c r="I533" s="77" t="s">
        <v>84</v>
      </c>
      <c r="J533" s="467">
        <v>6.9823735421078153E-3</v>
      </c>
    </row>
    <row r="534" spans="1:10" x14ac:dyDescent="0.35">
      <c r="A534" t="s">
        <v>13</v>
      </c>
      <c r="B534" t="s">
        <v>31</v>
      </c>
      <c r="C534" s="77" t="s">
        <v>92</v>
      </c>
      <c r="D534" t="s">
        <v>81</v>
      </c>
      <c r="E534" s="77" t="s">
        <v>82</v>
      </c>
      <c r="F534" s="77" t="s">
        <v>73</v>
      </c>
      <c r="G534" s="77" t="s">
        <v>74</v>
      </c>
      <c r="H534" s="77" t="s">
        <v>129</v>
      </c>
      <c r="I534" s="77" t="s">
        <v>84</v>
      </c>
      <c r="J534" s="467">
        <v>1.7077210460603577E-3</v>
      </c>
    </row>
    <row r="535" spans="1:10" x14ac:dyDescent="0.35">
      <c r="A535" t="s">
        <v>13</v>
      </c>
      <c r="B535" t="s">
        <v>31</v>
      </c>
      <c r="C535" s="77" t="s">
        <v>92</v>
      </c>
      <c r="D535" t="s">
        <v>81</v>
      </c>
      <c r="E535" s="77" t="s">
        <v>86</v>
      </c>
      <c r="F535" s="77" t="s">
        <v>73</v>
      </c>
      <c r="G535" s="77" t="s">
        <v>74</v>
      </c>
      <c r="H535" s="77" t="s">
        <v>129</v>
      </c>
      <c r="I535" s="77" t="s">
        <v>84</v>
      </c>
      <c r="J535" s="467">
        <v>4.3480840034506481E-3</v>
      </c>
    </row>
    <row r="536" spans="1:10" x14ac:dyDescent="0.35">
      <c r="A536" t="s">
        <v>13</v>
      </c>
      <c r="B536" t="s">
        <v>31</v>
      </c>
      <c r="C536" s="77" t="s">
        <v>93</v>
      </c>
      <c r="D536" t="s">
        <v>81</v>
      </c>
      <c r="E536" s="77" t="s">
        <v>82</v>
      </c>
      <c r="F536" s="77" t="s">
        <v>73</v>
      </c>
      <c r="G536" s="77" t="s">
        <v>74</v>
      </c>
      <c r="H536" s="77" t="s">
        <v>129</v>
      </c>
      <c r="I536" s="77" t="s">
        <v>84</v>
      </c>
      <c r="J536" s="467">
        <v>7.0782764884202284E-3</v>
      </c>
    </row>
    <row r="537" spans="1:10" x14ac:dyDescent="0.35">
      <c r="A537" t="s">
        <v>13</v>
      </c>
      <c r="B537" t="s">
        <v>31</v>
      </c>
      <c r="C537" s="77" t="s">
        <v>93</v>
      </c>
      <c r="D537" t="s">
        <v>81</v>
      </c>
      <c r="E537" s="77" t="s">
        <v>86</v>
      </c>
      <c r="F537" s="77" t="s">
        <v>73</v>
      </c>
      <c r="G537" s="77" t="s">
        <v>74</v>
      </c>
      <c r="H537" s="77" t="s">
        <v>129</v>
      </c>
      <c r="I537" s="77" t="s">
        <v>84</v>
      </c>
      <c r="J537" s="467">
        <v>1.9445876842222126E-2</v>
      </c>
    </row>
    <row r="538" spans="1:10" x14ac:dyDescent="0.35">
      <c r="A538" t="s">
        <v>13</v>
      </c>
      <c r="B538" t="s">
        <v>31</v>
      </c>
      <c r="C538" s="77" t="s">
        <v>73</v>
      </c>
      <c r="D538" t="s">
        <v>81</v>
      </c>
      <c r="E538" s="77" t="s">
        <v>82</v>
      </c>
      <c r="F538" s="77" t="s">
        <v>73</v>
      </c>
      <c r="G538" s="77" t="s">
        <v>74</v>
      </c>
      <c r="H538" s="77" t="s">
        <v>130</v>
      </c>
      <c r="I538" s="77" t="s">
        <v>84</v>
      </c>
      <c r="J538" s="76">
        <f>'SUT_EU27 total'!$Q$28</f>
        <v>7.0611384178638645E-2</v>
      </c>
    </row>
    <row r="539" spans="1:10" x14ac:dyDescent="0.35">
      <c r="A539" t="s">
        <v>13</v>
      </c>
      <c r="B539" t="s">
        <v>31</v>
      </c>
      <c r="C539" s="77" t="s">
        <v>88</v>
      </c>
      <c r="D539" t="s">
        <v>81</v>
      </c>
      <c r="E539" s="77" t="s">
        <v>82</v>
      </c>
      <c r="F539" s="77" t="s">
        <v>73</v>
      </c>
      <c r="G539" s="77" t="s">
        <v>74</v>
      </c>
      <c r="H539" s="77" t="s">
        <v>130</v>
      </c>
      <c r="I539" s="77" t="s">
        <v>84</v>
      </c>
      <c r="J539" s="76">
        <f>'SUT_EU27 total'!$Q$45</f>
        <v>4.4451090694311274E-2</v>
      </c>
    </row>
    <row r="540" spans="1:10" x14ac:dyDescent="0.35">
      <c r="A540" t="s">
        <v>13</v>
      </c>
      <c r="B540" t="s">
        <v>31</v>
      </c>
      <c r="C540" s="77" t="s">
        <v>90</v>
      </c>
      <c r="D540" t="s">
        <v>81</v>
      </c>
      <c r="E540" s="77" t="s">
        <v>82</v>
      </c>
      <c r="F540" s="77" t="s">
        <v>73</v>
      </c>
      <c r="G540" s="77" t="s">
        <v>74</v>
      </c>
      <c r="H540" s="77" t="s">
        <v>130</v>
      </c>
      <c r="I540" s="77" t="s">
        <v>84</v>
      </c>
      <c r="J540" s="76">
        <f>'SUT_EU27 total'!$Q$62</f>
        <v>1.0694147292515508E-5</v>
      </c>
    </row>
    <row r="541" spans="1:10" x14ac:dyDescent="0.35">
      <c r="A541" t="s">
        <v>13</v>
      </c>
      <c r="B541" t="s">
        <v>31</v>
      </c>
      <c r="C541" s="77" t="s">
        <v>91</v>
      </c>
      <c r="D541" t="s">
        <v>81</v>
      </c>
      <c r="E541" s="77" t="s">
        <v>82</v>
      </c>
      <c r="F541" s="77" t="s">
        <v>73</v>
      </c>
      <c r="G541" s="77" t="s">
        <v>74</v>
      </c>
      <c r="H541" s="77" t="s">
        <v>130</v>
      </c>
      <c r="I541" s="77" t="s">
        <v>84</v>
      </c>
      <c r="J541" s="76">
        <f>'SUT_EU27 total'!$Q$79</f>
        <v>2.0807907452574416E-3</v>
      </c>
    </row>
    <row r="542" spans="1:10" x14ac:dyDescent="0.35">
      <c r="A542" t="s">
        <v>13</v>
      </c>
      <c r="B542" t="s">
        <v>31</v>
      </c>
      <c r="C542" s="77" t="s">
        <v>92</v>
      </c>
      <c r="D542" t="s">
        <v>81</v>
      </c>
      <c r="E542" s="77" t="s">
        <v>82</v>
      </c>
      <c r="F542" s="77" t="s">
        <v>73</v>
      </c>
      <c r="G542" s="77" t="s">
        <v>74</v>
      </c>
      <c r="H542" s="77" t="s">
        <v>130</v>
      </c>
      <c r="I542" s="77" t="s">
        <v>84</v>
      </c>
      <c r="J542" s="76">
        <f>'SUT_EU27 total'!$Q$96</f>
        <v>2.8885571737041122E-3</v>
      </c>
    </row>
    <row r="543" spans="1:10" x14ac:dyDescent="0.35">
      <c r="A543" t="s">
        <v>13</v>
      </c>
      <c r="B543" t="s">
        <v>31</v>
      </c>
      <c r="C543" s="77" t="s">
        <v>93</v>
      </c>
      <c r="D543" t="s">
        <v>81</v>
      </c>
      <c r="E543" s="77" t="s">
        <v>82</v>
      </c>
      <c r="F543" s="77" t="s">
        <v>73</v>
      </c>
      <c r="G543" s="77" t="s">
        <v>74</v>
      </c>
      <c r="H543" s="77" t="s">
        <v>130</v>
      </c>
      <c r="I543" s="77" t="s">
        <v>84</v>
      </c>
      <c r="J543" s="76">
        <f>'SUT_EU27 total'!$Q$113</f>
        <v>1.1972685102906883E-2</v>
      </c>
    </row>
    <row r="544" spans="1:10" x14ac:dyDescent="0.35">
      <c r="A544" t="s">
        <v>13</v>
      </c>
      <c r="B544" t="s">
        <v>31</v>
      </c>
      <c r="C544" s="77" t="s">
        <v>73</v>
      </c>
      <c r="D544" t="s">
        <v>81</v>
      </c>
      <c r="E544" s="77" t="s">
        <v>131</v>
      </c>
      <c r="F544" s="77" t="s">
        <v>73</v>
      </c>
      <c r="G544" s="77" t="s">
        <v>74</v>
      </c>
      <c r="H544" s="77" t="s">
        <v>112</v>
      </c>
      <c r="I544" s="77" t="s">
        <v>84</v>
      </c>
      <c r="J544" s="76">
        <f>'SUT_EU27 total'!$R$24</f>
        <v>4.0146105919003111E-8</v>
      </c>
    </row>
    <row r="545" spans="1:10" x14ac:dyDescent="0.35">
      <c r="A545" t="s">
        <v>13</v>
      </c>
      <c r="B545" t="s">
        <v>31</v>
      </c>
      <c r="C545" s="77" t="s">
        <v>73</v>
      </c>
      <c r="D545" t="s">
        <v>81</v>
      </c>
      <c r="E545" s="77" t="s">
        <v>122</v>
      </c>
      <c r="F545" s="77" t="s">
        <v>73</v>
      </c>
      <c r="G545" s="77" t="s">
        <v>74</v>
      </c>
      <c r="H545" s="77" t="s">
        <v>112</v>
      </c>
      <c r="I545" s="77" t="s">
        <v>84</v>
      </c>
      <c r="J545" s="76">
        <f>'SUT_EU27 total'!$R$30</f>
        <v>3.9708116569218732E-4</v>
      </c>
    </row>
    <row r="546" spans="1:10" x14ac:dyDescent="0.35">
      <c r="A546" t="s">
        <v>13</v>
      </c>
      <c r="B546" t="s">
        <v>31</v>
      </c>
      <c r="C546" s="77" t="s">
        <v>73</v>
      </c>
      <c r="D546" t="s">
        <v>81</v>
      </c>
      <c r="E546" s="77" t="s">
        <v>101</v>
      </c>
      <c r="F546" s="77" t="s">
        <v>73</v>
      </c>
      <c r="G546" s="77" t="s">
        <v>74</v>
      </c>
      <c r="H546" s="77" t="s">
        <v>112</v>
      </c>
      <c r="I546" s="77" t="s">
        <v>84</v>
      </c>
      <c r="J546" s="76" cm="1">
        <f t="array" ref="J546:J548">'SUT_EU27 total'!$R$32:$R$34</f>
        <v>1.2183459827918709E-7</v>
      </c>
    </row>
    <row r="547" spans="1:10" x14ac:dyDescent="0.35">
      <c r="A547" t="s">
        <v>13</v>
      </c>
      <c r="B547" t="s">
        <v>31</v>
      </c>
      <c r="C547" s="77" t="s">
        <v>73</v>
      </c>
      <c r="D547" t="s">
        <v>81</v>
      </c>
      <c r="E547" s="77" t="s">
        <v>104</v>
      </c>
      <c r="F547" s="77" t="s">
        <v>73</v>
      </c>
      <c r="G547" s="77" t="s">
        <v>74</v>
      </c>
      <c r="H547" s="77" t="s">
        <v>112</v>
      </c>
      <c r="I547" s="77" t="s">
        <v>84</v>
      </c>
      <c r="J547" s="76">
        <v>2.3068290654205609E-7</v>
      </c>
    </row>
    <row r="548" spans="1:10" x14ac:dyDescent="0.35">
      <c r="A548" t="s">
        <v>13</v>
      </c>
      <c r="B548" t="s">
        <v>31</v>
      </c>
      <c r="C548" s="77" t="s">
        <v>73</v>
      </c>
      <c r="D548" t="s">
        <v>81</v>
      </c>
      <c r="E548" s="77" t="s">
        <v>106</v>
      </c>
      <c r="F548" s="77" t="s">
        <v>73</v>
      </c>
      <c r="G548" s="77" t="s">
        <v>74</v>
      </c>
      <c r="H548" s="77" t="s">
        <v>112</v>
      </c>
      <c r="I548" s="77" t="s">
        <v>84</v>
      </c>
      <c r="J548" s="76">
        <v>7.8463573653760568E-7</v>
      </c>
    </row>
    <row r="549" spans="1:10" x14ac:dyDescent="0.35">
      <c r="A549" t="s">
        <v>13</v>
      </c>
      <c r="B549" t="s">
        <v>31</v>
      </c>
      <c r="C549" s="77" t="s">
        <v>88</v>
      </c>
      <c r="D549" t="s">
        <v>81</v>
      </c>
      <c r="E549" s="77" t="s">
        <v>131</v>
      </c>
      <c r="F549" s="77" t="s">
        <v>73</v>
      </c>
      <c r="G549" s="77" t="s">
        <v>74</v>
      </c>
      <c r="H549" s="77" t="s">
        <v>112</v>
      </c>
      <c r="I549" s="77" t="s">
        <v>84</v>
      </c>
      <c r="J549" s="76">
        <f>'SUT_EU27 total'!$R$41</f>
        <v>0</v>
      </c>
    </row>
    <row r="550" spans="1:10" x14ac:dyDescent="0.35">
      <c r="A550" t="s">
        <v>13</v>
      </c>
      <c r="B550" t="s">
        <v>31</v>
      </c>
      <c r="C550" s="77" t="s">
        <v>88</v>
      </c>
      <c r="D550" t="s">
        <v>81</v>
      </c>
      <c r="E550" s="77" t="s">
        <v>122</v>
      </c>
      <c r="F550" s="77" t="s">
        <v>73</v>
      </c>
      <c r="G550" s="77" t="s">
        <v>74</v>
      </c>
      <c r="H550" s="77" t="s">
        <v>112</v>
      </c>
      <c r="I550" s="77" t="s">
        <v>84</v>
      </c>
      <c r="J550" s="76">
        <f>'SUT_EU27 total'!$R$47</f>
        <v>0</v>
      </c>
    </row>
    <row r="551" spans="1:10" x14ac:dyDescent="0.35">
      <c r="A551" t="s">
        <v>13</v>
      </c>
      <c r="B551" t="s">
        <v>31</v>
      </c>
      <c r="C551" s="77" t="s">
        <v>88</v>
      </c>
      <c r="D551" t="s">
        <v>81</v>
      </c>
      <c r="E551" s="77" t="s">
        <v>101</v>
      </c>
      <c r="F551" s="77" t="s">
        <v>73</v>
      </c>
      <c r="G551" s="77" t="s">
        <v>74</v>
      </c>
      <c r="H551" s="77" t="s">
        <v>112</v>
      </c>
      <c r="I551" s="77" t="s">
        <v>84</v>
      </c>
      <c r="J551" s="76" cm="1">
        <f t="array" ref="J551:J553">'SUT_EU27 total'!$R$49:$R$51</f>
        <v>0</v>
      </c>
    </row>
    <row r="552" spans="1:10" x14ac:dyDescent="0.35">
      <c r="A552" t="s">
        <v>13</v>
      </c>
      <c r="B552" t="s">
        <v>31</v>
      </c>
      <c r="C552" s="77" t="s">
        <v>88</v>
      </c>
      <c r="D552" t="s">
        <v>81</v>
      </c>
      <c r="E552" s="77" t="s">
        <v>104</v>
      </c>
      <c r="F552" s="77" t="s">
        <v>73</v>
      </c>
      <c r="G552" s="77" t="s">
        <v>74</v>
      </c>
      <c r="H552" s="77" t="s">
        <v>112</v>
      </c>
      <c r="I552" s="77" t="s">
        <v>84</v>
      </c>
      <c r="J552" s="76">
        <v>0</v>
      </c>
    </row>
    <row r="553" spans="1:10" x14ac:dyDescent="0.35">
      <c r="A553" t="s">
        <v>13</v>
      </c>
      <c r="B553" t="s">
        <v>31</v>
      </c>
      <c r="C553" s="77" t="s">
        <v>88</v>
      </c>
      <c r="D553" t="s">
        <v>81</v>
      </c>
      <c r="E553" s="77" t="s">
        <v>106</v>
      </c>
      <c r="F553" s="77" t="s">
        <v>73</v>
      </c>
      <c r="G553" s="77" t="s">
        <v>74</v>
      </c>
      <c r="H553" s="77" t="s">
        <v>112</v>
      </c>
      <c r="I553" s="77" t="s">
        <v>84</v>
      </c>
      <c r="J553" s="76">
        <v>0</v>
      </c>
    </row>
    <row r="554" spans="1:10" x14ac:dyDescent="0.35">
      <c r="A554" t="s">
        <v>13</v>
      </c>
      <c r="B554" t="s">
        <v>31</v>
      </c>
      <c r="C554" s="77" t="s">
        <v>90</v>
      </c>
      <c r="D554" t="s">
        <v>81</v>
      </c>
      <c r="E554" s="77" t="s">
        <v>131</v>
      </c>
      <c r="F554" s="77" t="s">
        <v>73</v>
      </c>
      <c r="G554" s="77" t="s">
        <v>74</v>
      </c>
      <c r="H554" s="77" t="s">
        <v>112</v>
      </c>
      <c r="I554" s="77" t="s">
        <v>84</v>
      </c>
      <c r="J554" s="76">
        <f>'SUT_EU27 total'!$R$58</f>
        <v>0</v>
      </c>
    </row>
    <row r="555" spans="1:10" x14ac:dyDescent="0.35">
      <c r="A555" t="s">
        <v>13</v>
      </c>
      <c r="B555" t="s">
        <v>31</v>
      </c>
      <c r="C555" s="77" t="s">
        <v>90</v>
      </c>
      <c r="D555" t="s">
        <v>81</v>
      </c>
      <c r="E555" s="77" t="s">
        <v>122</v>
      </c>
      <c r="F555" s="77" t="s">
        <v>73</v>
      </c>
      <c r="G555" s="77" t="s">
        <v>74</v>
      </c>
      <c r="H555" s="77" t="s">
        <v>112</v>
      </c>
      <c r="I555" s="77" t="s">
        <v>84</v>
      </c>
      <c r="J555" s="76">
        <f>'SUT_EU27 total'!$R$64</f>
        <v>6.4108466461028498E-4</v>
      </c>
    </row>
    <row r="556" spans="1:10" x14ac:dyDescent="0.35">
      <c r="A556" t="s">
        <v>13</v>
      </c>
      <c r="B556" t="s">
        <v>31</v>
      </c>
      <c r="C556" s="77" t="s">
        <v>90</v>
      </c>
      <c r="D556" t="s">
        <v>81</v>
      </c>
      <c r="E556" s="77" t="s">
        <v>101</v>
      </c>
      <c r="F556" s="77" t="s">
        <v>73</v>
      </c>
      <c r="G556" s="77" t="s">
        <v>74</v>
      </c>
      <c r="H556" s="77" t="s">
        <v>112</v>
      </c>
      <c r="I556" s="77" t="s">
        <v>84</v>
      </c>
      <c r="J556" s="76" cm="1">
        <f t="array" ref="J556:J558">'SUT_EU27 total'!$R$66:$R$68</f>
        <v>0</v>
      </c>
    </row>
    <row r="557" spans="1:10" x14ac:dyDescent="0.35">
      <c r="A557" t="s">
        <v>13</v>
      </c>
      <c r="B557" t="s">
        <v>31</v>
      </c>
      <c r="C557" s="77" t="s">
        <v>90</v>
      </c>
      <c r="D557" t="s">
        <v>81</v>
      </c>
      <c r="E557" s="77" t="s">
        <v>104</v>
      </c>
      <c r="F557" s="77" t="s">
        <v>73</v>
      </c>
      <c r="G557" s="77" t="s">
        <v>74</v>
      </c>
      <c r="H557" s="77" t="s">
        <v>112</v>
      </c>
      <c r="I557" s="77" t="s">
        <v>84</v>
      </c>
      <c r="J557" s="76">
        <v>0</v>
      </c>
    </row>
    <row r="558" spans="1:10" x14ac:dyDescent="0.35">
      <c r="A558" t="s">
        <v>13</v>
      </c>
      <c r="B558" t="s">
        <v>31</v>
      </c>
      <c r="C558" s="77" t="s">
        <v>90</v>
      </c>
      <c r="D558" t="s">
        <v>81</v>
      </c>
      <c r="E558" s="77" t="s">
        <v>106</v>
      </c>
      <c r="F558" s="77" t="s">
        <v>73</v>
      </c>
      <c r="G558" s="77" t="s">
        <v>74</v>
      </c>
      <c r="H558" s="77" t="s">
        <v>112</v>
      </c>
      <c r="I558" s="77" t="s">
        <v>84</v>
      </c>
      <c r="J558" s="76">
        <v>0</v>
      </c>
    </row>
    <row r="559" spans="1:10" x14ac:dyDescent="0.35">
      <c r="A559" t="s">
        <v>13</v>
      </c>
      <c r="B559" t="s">
        <v>31</v>
      </c>
      <c r="C559" s="77" t="s">
        <v>91</v>
      </c>
      <c r="D559" t="s">
        <v>81</v>
      </c>
      <c r="E559" s="77" t="s">
        <v>131</v>
      </c>
      <c r="F559" s="77" t="s">
        <v>73</v>
      </c>
      <c r="G559" s="77" t="s">
        <v>74</v>
      </c>
      <c r="H559" s="77" t="s">
        <v>112</v>
      </c>
      <c r="I559" s="77" t="s">
        <v>84</v>
      </c>
      <c r="J559" s="76">
        <f>'SUT_EU27 total'!$R$75</f>
        <v>0</v>
      </c>
    </row>
    <row r="560" spans="1:10" x14ac:dyDescent="0.35">
      <c r="A560" t="s">
        <v>13</v>
      </c>
      <c r="B560" t="s">
        <v>31</v>
      </c>
      <c r="C560" s="77" t="s">
        <v>91</v>
      </c>
      <c r="D560" t="s">
        <v>81</v>
      </c>
      <c r="E560" s="77" t="s">
        <v>122</v>
      </c>
      <c r="F560" s="77" t="s">
        <v>73</v>
      </c>
      <c r="G560" s="77" t="s">
        <v>74</v>
      </c>
      <c r="H560" s="77" t="s">
        <v>112</v>
      </c>
      <c r="I560" s="77" t="s">
        <v>84</v>
      </c>
      <c r="J560" s="76">
        <f>'SUT_EU27 total'!$R$81</f>
        <v>0</v>
      </c>
    </row>
    <row r="561" spans="1:10" x14ac:dyDescent="0.35">
      <c r="A561" t="s">
        <v>13</v>
      </c>
      <c r="B561" t="s">
        <v>31</v>
      </c>
      <c r="C561" s="77" t="s">
        <v>91</v>
      </c>
      <c r="D561" t="s">
        <v>81</v>
      </c>
      <c r="E561" s="77" t="s">
        <v>101</v>
      </c>
      <c r="F561" s="77" t="s">
        <v>73</v>
      </c>
      <c r="G561" s="77" t="s">
        <v>74</v>
      </c>
      <c r="H561" s="77" t="s">
        <v>112</v>
      </c>
      <c r="I561" s="77" t="s">
        <v>84</v>
      </c>
      <c r="J561" s="76" cm="1">
        <f t="array" ref="J561:J563">'SUT_EU27 total'!$R$83:$R$85</f>
        <v>0</v>
      </c>
    </row>
    <row r="562" spans="1:10" x14ac:dyDescent="0.35">
      <c r="A562" t="s">
        <v>13</v>
      </c>
      <c r="B562" t="s">
        <v>31</v>
      </c>
      <c r="C562" s="77" t="s">
        <v>91</v>
      </c>
      <c r="D562" t="s">
        <v>81</v>
      </c>
      <c r="E562" s="77" t="s">
        <v>104</v>
      </c>
      <c r="F562" s="77" t="s">
        <v>73</v>
      </c>
      <c r="G562" s="77" t="s">
        <v>74</v>
      </c>
      <c r="H562" s="77" t="s">
        <v>112</v>
      </c>
      <c r="I562" s="77" t="s">
        <v>84</v>
      </c>
      <c r="J562" s="76">
        <v>0</v>
      </c>
    </row>
    <row r="563" spans="1:10" x14ac:dyDescent="0.35">
      <c r="A563" t="s">
        <v>13</v>
      </c>
      <c r="B563" t="s">
        <v>31</v>
      </c>
      <c r="C563" s="77" t="s">
        <v>91</v>
      </c>
      <c r="D563" t="s">
        <v>81</v>
      </c>
      <c r="E563" s="77" t="s">
        <v>106</v>
      </c>
      <c r="F563" s="77" t="s">
        <v>73</v>
      </c>
      <c r="G563" s="77" t="s">
        <v>74</v>
      </c>
      <c r="H563" s="77" t="s">
        <v>112</v>
      </c>
      <c r="I563" s="77" t="s">
        <v>84</v>
      </c>
      <c r="J563" s="76">
        <v>0</v>
      </c>
    </row>
    <row r="564" spans="1:10" x14ac:dyDescent="0.35">
      <c r="A564" t="s">
        <v>13</v>
      </c>
      <c r="B564" t="s">
        <v>31</v>
      </c>
      <c r="C564" s="77" t="s">
        <v>92</v>
      </c>
      <c r="D564" t="s">
        <v>81</v>
      </c>
      <c r="E564" s="77" t="s">
        <v>131</v>
      </c>
      <c r="F564" s="77" t="s">
        <v>73</v>
      </c>
      <c r="G564" s="77" t="s">
        <v>74</v>
      </c>
      <c r="H564" s="77" t="s">
        <v>112</v>
      </c>
      <c r="I564" s="77" t="s">
        <v>84</v>
      </c>
      <c r="J564" s="76">
        <f>'SUT_EU27 total'!$R$92</f>
        <v>0</v>
      </c>
    </row>
    <row r="565" spans="1:10" x14ac:dyDescent="0.35">
      <c r="A565" t="s">
        <v>13</v>
      </c>
      <c r="B565" t="s">
        <v>31</v>
      </c>
      <c r="C565" s="77" t="s">
        <v>92</v>
      </c>
      <c r="D565" t="s">
        <v>81</v>
      </c>
      <c r="E565" s="77" t="s">
        <v>122</v>
      </c>
      <c r="F565" s="77" t="s">
        <v>73</v>
      </c>
      <c r="G565" s="77" t="s">
        <v>74</v>
      </c>
      <c r="H565" s="77" t="s">
        <v>112</v>
      </c>
      <c r="I565" s="77" t="s">
        <v>84</v>
      </c>
      <c r="J565" s="76">
        <f>'SUT_EU27 total'!$R$98</f>
        <v>0</v>
      </c>
    </row>
    <row r="566" spans="1:10" x14ac:dyDescent="0.35">
      <c r="A566" t="s">
        <v>13</v>
      </c>
      <c r="B566" t="s">
        <v>31</v>
      </c>
      <c r="C566" s="77" t="s">
        <v>92</v>
      </c>
      <c r="D566" t="s">
        <v>81</v>
      </c>
      <c r="E566" s="77" t="s">
        <v>101</v>
      </c>
      <c r="F566" s="77" t="s">
        <v>73</v>
      </c>
      <c r="G566" s="77" t="s">
        <v>74</v>
      </c>
      <c r="H566" s="77" t="s">
        <v>112</v>
      </c>
      <c r="I566" s="77" t="s">
        <v>84</v>
      </c>
      <c r="J566" s="76" cm="1">
        <f t="array" ref="J566:J568">'SUT_EU27 total'!$R$100:$R$102</f>
        <v>0</v>
      </c>
    </row>
    <row r="567" spans="1:10" x14ac:dyDescent="0.35">
      <c r="A567" t="s">
        <v>13</v>
      </c>
      <c r="B567" t="s">
        <v>31</v>
      </c>
      <c r="C567" s="77" t="s">
        <v>92</v>
      </c>
      <c r="D567" t="s">
        <v>81</v>
      </c>
      <c r="E567" s="77" t="s">
        <v>104</v>
      </c>
      <c r="F567" s="77" t="s">
        <v>73</v>
      </c>
      <c r="G567" s="77" t="s">
        <v>74</v>
      </c>
      <c r="H567" s="77" t="s">
        <v>112</v>
      </c>
      <c r="I567" s="77" t="s">
        <v>84</v>
      </c>
      <c r="J567" s="76">
        <v>0</v>
      </c>
    </row>
    <row r="568" spans="1:10" x14ac:dyDescent="0.35">
      <c r="A568" t="s">
        <v>13</v>
      </c>
      <c r="B568" t="s">
        <v>31</v>
      </c>
      <c r="C568" s="77" t="s">
        <v>92</v>
      </c>
      <c r="D568" t="s">
        <v>81</v>
      </c>
      <c r="E568" s="77" t="s">
        <v>106</v>
      </c>
      <c r="F568" s="77" t="s">
        <v>73</v>
      </c>
      <c r="G568" s="77" t="s">
        <v>74</v>
      </c>
      <c r="H568" s="77" t="s">
        <v>112</v>
      </c>
      <c r="I568" s="77" t="s">
        <v>84</v>
      </c>
      <c r="J568" s="76">
        <v>0</v>
      </c>
    </row>
    <row r="569" spans="1:10" x14ac:dyDescent="0.35">
      <c r="A569" t="s">
        <v>13</v>
      </c>
      <c r="B569" t="s">
        <v>31</v>
      </c>
      <c r="C569" s="77" t="s">
        <v>93</v>
      </c>
      <c r="D569" t="s">
        <v>81</v>
      </c>
      <c r="E569" s="77" t="s">
        <v>131</v>
      </c>
      <c r="F569" s="77" t="s">
        <v>73</v>
      </c>
      <c r="G569" s="77" t="s">
        <v>74</v>
      </c>
      <c r="H569" s="77" t="s">
        <v>112</v>
      </c>
      <c r="I569" s="77" t="s">
        <v>84</v>
      </c>
      <c r="J569" s="76">
        <f>'SUT_EU27 total'!$R$109</f>
        <v>0</v>
      </c>
    </row>
    <row r="570" spans="1:10" x14ac:dyDescent="0.35">
      <c r="A570" t="s">
        <v>13</v>
      </c>
      <c r="B570" t="s">
        <v>31</v>
      </c>
      <c r="C570" s="77" t="s">
        <v>93</v>
      </c>
      <c r="D570" t="s">
        <v>81</v>
      </c>
      <c r="E570" s="77" t="s">
        <v>122</v>
      </c>
      <c r="F570" s="77" t="s">
        <v>73</v>
      </c>
      <c r="G570" s="77" t="s">
        <v>74</v>
      </c>
      <c r="H570" s="77" t="s">
        <v>112</v>
      </c>
      <c r="I570" s="77" t="s">
        <v>84</v>
      </c>
      <c r="J570" s="76">
        <f>'SUT_EU27 total'!$R$115</f>
        <v>2.188358424259166E-3</v>
      </c>
    </row>
    <row r="571" spans="1:10" x14ac:dyDescent="0.35">
      <c r="A571" t="s">
        <v>13</v>
      </c>
      <c r="B571" t="s">
        <v>31</v>
      </c>
      <c r="C571" s="77" t="s">
        <v>93</v>
      </c>
      <c r="D571" t="s">
        <v>81</v>
      </c>
      <c r="E571" s="77" t="s">
        <v>101</v>
      </c>
      <c r="F571" s="77" t="s">
        <v>73</v>
      </c>
      <c r="G571" s="77" t="s">
        <v>74</v>
      </c>
      <c r="H571" s="77" t="s">
        <v>112</v>
      </c>
      <c r="I571" s="77" t="s">
        <v>84</v>
      </c>
      <c r="J571" s="76" cm="1">
        <f t="array" ref="J571:J573">'SUT_EU27 total'!$R$117:$R$119</f>
        <v>0</v>
      </c>
    </row>
    <row r="572" spans="1:10" x14ac:dyDescent="0.35">
      <c r="A572" t="s">
        <v>13</v>
      </c>
      <c r="B572" t="s">
        <v>31</v>
      </c>
      <c r="C572" s="77" t="s">
        <v>93</v>
      </c>
      <c r="D572" t="s">
        <v>81</v>
      </c>
      <c r="E572" s="77" t="s">
        <v>104</v>
      </c>
      <c r="F572" s="77" t="s">
        <v>73</v>
      </c>
      <c r="G572" s="77" t="s">
        <v>74</v>
      </c>
      <c r="H572" s="77" t="s">
        <v>112</v>
      </c>
      <c r="I572" s="77" t="s">
        <v>84</v>
      </c>
      <c r="J572" s="76">
        <v>0</v>
      </c>
    </row>
    <row r="573" spans="1:10" x14ac:dyDescent="0.35">
      <c r="A573" t="s">
        <v>13</v>
      </c>
      <c r="B573" t="s">
        <v>31</v>
      </c>
      <c r="C573" s="77" t="s">
        <v>93</v>
      </c>
      <c r="D573" t="s">
        <v>81</v>
      </c>
      <c r="E573" s="77" t="s">
        <v>106</v>
      </c>
      <c r="F573" s="77" t="s">
        <v>73</v>
      </c>
      <c r="G573" s="77" t="s">
        <v>74</v>
      </c>
      <c r="H573" s="77" t="s">
        <v>112</v>
      </c>
      <c r="I573" s="77" t="s">
        <v>84</v>
      </c>
      <c r="J573" s="76">
        <v>0</v>
      </c>
    </row>
    <row r="574" spans="1:10" x14ac:dyDescent="0.35">
      <c r="A574" t="s">
        <v>13</v>
      </c>
      <c r="B574" t="s">
        <v>31</v>
      </c>
      <c r="C574" s="77" t="s">
        <v>73</v>
      </c>
      <c r="D574" t="s">
        <v>81</v>
      </c>
      <c r="E574" s="77" t="s">
        <v>131</v>
      </c>
      <c r="F574" s="77" t="s">
        <v>73</v>
      </c>
      <c r="G574" s="77" t="s">
        <v>74</v>
      </c>
      <c r="H574" s="77" t="s">
        <v>113</v>
      </c>
      <c r="I574" s="77" t="s">
        <v>84</v>
      </c>
      <c r="J574" s="76">
        <f>'SUT_EU27 total'!$S$24</f>
        <v>5.0294789999999994E-8</v>
      </c>
    </row>
    <row r="575" spans="1:10" x14ac:dyDescent="0.35">
      <c r="A575" t="s">
        <v>13</v>
      </c>
      <c r="B575" t="s">
        <v>31</v>
      </c>
      <c r="C575" s="77" t="s">
        <v>73</v>
      </c>
      <c r="D575" t="s">
        <v>81</v>
      </c>
      <c r="E575" s="77" t="s">
        <v>101</v>
      </c>
      <c r="F575" s="77" t="s">
        <v>73</v>
      </c>
      <c r="G575" s="77" t="s">
        <v>74</v>
      </c>
      <c r="H575" s="77" t="s">
        <v>113</v>
      </c>
      <c r="I575" s="77" t="s">
        <v>84</v>
      </c>
      <c r="J575" s="76" cm="1">
        <f t="array" ref="J575:J577">'SUT_EU27 total'!$S$32:$S$34</f>
        <v>1.7883556705882356E-5</v>
      </c>
    </row>
    <row r="576" spans="1:10" x14ac:dyDescent="0.35">
      <c r="A576" t="s">
        <v>13</v>
      </c>
      <c r="B576" t="s">
        <v>31</v>
      </c>
      <c r="C576" s="77" t="s">
        <v>73</v>
      </c>
      <c r="D576" t="s">
        <v>81</v>
      </c>
      <c r="E576" s="77" t="s">
        <v>104</v>
      </c>
      <c r="F576" s="77" t="s">
        <v>73</v>
      </c>
      <c r="G576" s="77" t="s">
        <v>74</v>
      </c>
      <c r="H576" s="77" t="s">
        <v>113</v>
      </c>
      <c r="I576" s="77" t="s">
        <v>84</v>
      </c>
      <c r="J576" s="76">
        <v>3.3860913882352942E-5</v>
      </c>
    </row>
    <row r="577" spans="1:10" x14ac:dyDescent="0.35">
      <c r="A577" t="s">
        <v>13</v>
      </c>
      <c r="B577" t="s">
        <v>31</v>
      </c>
      <c r="C577" s="77" t="s">
        <v>73</v>
      </c>
      <c r="D577" t="s">
        <v>81</v>
      </c>
      <c r="E577" s="77" t="s">
        <v>106</v>
      </c>
      <c r="F577" s="77" t="s">
        <v>73</v>
      </c>
      <c r="G577" s="77" t="s">
        <v>74</v>
      </c>
      <c r="H577" s="77" t="s">
        <v>113</v>
      </c>
      <c r="I577" s="77" t="s">
        <v>84</v>
      </c>
      <c r="J577" s="76">
        <v>1.1517317647058823E-4</v>
      </c>
    </row>
    <row r="578" spans="1:10" x14ac:dyDescent="0.35">
      <c r="A578" t="s">
        <v>13</v>
      </c>
      <c r="B578" t="s">
        <v>31</v>
      </c>
      <c r="C578" s="77" t="s">
        <v>88</v>
      </c>
      <c r="D578" t="s">
        <v>81</v>
      </c>
      <c r="E578" s="77" t="s">
        <v>131</v>
      </c>
      <c r="F578" s="77" t="s">
        <v>73</v>
      </c>
      <c r="G578" s="77" t="s">
        <v>74</v>
      </c>
      <c r="H578" s="77" t="s">
        <v>113</v>
      </c>
      <c r="I578" s="77" t="s">
        <v>84</v>
      </c>
      <c r="J578" s="76">
        <f>'SUT_EU27 total'!$S$41</f>
        <v>0</v>
      </c>
    </row>
    <row r="579" spans="1:10" x14ac:dyDescent="0.35">
      <c r="A579" t="s">
        <v>13</v>
      </c>
      <c r="B579" t="s">
        <v>31</v>
      </c>
      <c r="C579" s="77" t="s">
        <v>88</v>
      </c>
      <c r="D579" t="s">
        <v>81</v>
      </c>
      <c r="E579" s="77" t="s">
        <v>101</v>
      </c>
      <c r="F579" s="77" t="s">
        <v>73</v>
      </c>
      <c r="G579" s="77" t="s">
        <v>74</v>
      </c>
      <c r="H579" s="77" t="s">
        <v>113</v>
      </c>
      <c r="I579" s="77" t="s">
        <v>84</v>
      </c>
      <c r="J579" s="76" cm="1">
        <f t="array" ref="J579:J581">'SUT_EU27 total'!$S$49:$S$51</f>
        <v>0</v>
      </c>
    </row>
    <row r="580" spans="1:10" x14ac:dyDescent="0.35">
      <c r="A580" t="s">
        <v>13</v>
      </c>
      <c r="B580" t="s">
        <v>31</v>
      </c>
      <c r="C580" s="77" t="s">
        <v>88</v>
      </c>
      <c r="D580" t="s">
        <v>81</v>
      </c>
      <c r="E580" s="77" t="s">
        <v>104</v>
      </c>
      <c r="F580" s="77" t="s">
        <v>73</v>
      </c>
      <c r="G580" s="77" t="s">
        <v>74</v>
      </c>
      <c r="H580" s="77" t="s">
        <v>113</v>
      </c>
      <c r="I580" s="77" t="s">
        <v>84</v>
      </c>
      <c r="J580" s="76">
        <v>0</v>
      </c>
    </row>
    <row r="581" spans="1:10" x14ac:dyDescent="0.35">
      <c r="A581" t="s">
        <v>13</v>
      </c>
      <c r="B581" t="s">
        <v>31</v>
      </c>
      <c r="C581" s="77" t="s">
        <v>88</v>
      </c>
      <c r="D581" t="s">
        <v>81</v>
      </c>
      <c r="E581" s="77" t="s">
        <v>106</v>
      </c>
      <c r="F581" s="77" t="s">
        <v>73</v>
      </c>
      <c r="G581" s="77" t="s">
        <v>74</v>
      </c>
      <c r="H581" s="77" t="s">
        <v>113</v>
      </c>
      <c r="I581" s="77" t="s">
        <v>84</v>
      </c>
      <c r="J581" s="76">
        <v>0</v>
      </c>
    </row>
    <row r="582" spans="1:10" x14ac:dyDescent="0.35">
      <c r="A582" t="s">
        <v>13</v>
      </c>
      <c r="B582" t="s">
        <v>31</v>
      </c>
      <c r="C582" s="77" t="s">
        <v>90</v>
      </c>
      <c r="D582" t="s">
        <v>81</v>
      </c>
      <c r="E582" s="77" t="s">
        <v>131</v>
      </c>
      <c r="F582" s="77" t="s">
        <v>73</v>
      </c>
      <c r="G582" s="77" t="s">
        <v>74</v>
      </c>
      <c r="H582" s="77" t="s">
        <v>113</v>
      </c>
      <c r="I582" s="77" t="s">
        <v>84</v>
      </c>
      <c r="J582" s="76">
        <f>'SUT_EU27 total'!$S$58</f>
        <v>0</v>
      </c>
    </row>
    <row r="583" spans="1:10" x14ac:dyDescent="0.35">
      <c r="A583" t="s">
        <v>13</v>
      </c>
      <c r="B583" t="s">
        <v>31</v>
      </c>
      <c r="C583" s="77" t="s">
        <v>90</v>
      </c>
      <c r="D583" t="s">
        <v>81</v>
      </c>
      <c r="E583" s="77" t="s">
        <v>101</v>
      </c>
      <c r="F583" s="77" t="s">
        <v>73</v>
      </c>
      <c r="G583" s="77" t="s">
        <v>74</v>
      </c>
      <c r="H583" s="77" t="s">
        <v>113</v>
      </c>
      <c r="I583" s="77" t="s">
        <v>84</v>
      </c>
      <c r="J583" s="76" cm="1">
        <f t="array" ref="J583:J585">'SUT_EU27 total'!$S$66:$S$68</f>
        <v>0</v>
      </c>
    </row>
    <row r="584" spans="1:10" x14ac:dyDescent="0.35">
      <c r="A584" t="s">
        <v>13</v>
      </c>
      <c r="B584" t="s">
        <v>31</v>
      </c>
      <c r="C584" s="77" t="s">
        <v>90</v>
      </c>
      <c r="D584" t="s">
        <v>81</v>
      </c>
      <c r="E584" s="77" t="s">
        <v>104</v>
      </c>
      <c r="F584" s="77" t="s">
        <v>73</v>
      </c>
      <c r="G584" s="77" t="s">
        <v>74</v>
      </c>
      <c r="H584" s="77" t="s">
        <v>113</v>
      </c>
      <c r="I584" s="77" t="s">
        <v>84</v>
      </c>
      <c r="J584" s="76">
        <v>0</v>
      </c>
    </row>
    <row r="585" spans="1:10" x14ac:dyDescent="0.35">
      <c r="A585" t="s">
        <v>13</v>
      </c>
      <c r="B585" t="s">
        <v>31</v>
      </c>
      <c r="C585" s="77" t="s">
        <v>90</v>
      </c>
      <c r="D585" t="s">
        <v>81</v>
      </c>
      <c r="E585" s="77" t="s">
        <v>106</v>
      </c>
      <c r="F585" s="77" t="s">
        <v>73</v>
      </c>
      <c r="G585" s="77" t="s">
        <v>74</v>
      </c>
      <c r="H585" s="77" t="s">
        <v>113</v>
      </c>
      <c r="I585" s="77" t="s">
        <v>84</v>
      </c>
      <c r="J585" s="76">
        <v>0</v>
      </c>
    </row>
    <row r="586" spans="1:10" x14ac:dyDescent="0.35">
      <c r="A586" t="s">
        <v>13</v>
      </c>
      <c r="B586" t="s">
        <v>31</v>
      </c>
      <c r="C586" s="77" t="s">
        <v>91</v>
      </c>
      <c r="D586" t="s">
        <v>81</v>
      </c>
      <c r="E586" s="77" t="s">
        <v>131</v>
      </c>
      <c r="F586" s="77" t="s">
        <v>73</v>
      </c>
      <c r="G586" s="77" t="s">
        <v>74</v>
      </c>
      <c r="H586" s="77" t="s">
        <v>113</v>
      </c>
      <c r="I586" s="77" t="s">
        <v>84</v>
      </c>
      <c r="J586" s="76">
        <f>'SUT_EU27 total'!$S$75</f>
        <v>0</v>
      </c>
    </row>
    <row r="587" spans="1:10" x14ac:dyDescent="0.35">
      <c r="A587" t="s">
        <v>13</v>
      </c>
      <c r="B587" t="s">
        <v>31</v>
      </c>
      <c r="C587" s="77" t="s">
        <v>91</v>
      </c>
      <c r="D587" t="s">
        <v>81</v>
      </c>
      <c r="E587" s="77" t="s">
        <v>101</v>
      </c>
      <c r="F587" s="77" t="s">
        <v>73</v>
      </c>
      <c r="G587" s="77" t="s">
        <v>74</v>
      </c>
      <c r="H587" s="77" t="s">
        <v>113</v>
      </c>
      <c r="I587" s="77" t="s">
        <v>84</v>
      </c>
      <c r="J587" s="76" cm="1">
        <f t="array" ref="J587:J589">'SUT_EU27 total'!$S$83:$S$85</f>
        <v>0</v>
      </c>
    </row>
    <row r="588" spans="1:10" x14ac:dyDescent="0.35">
      <c r="A588" t="s">
        <v>13</v>
      </c>
      <c r="B588" t="s">
        <v>31</v>
      </c>
      <c r="C588" s="77" t="s">
        <v>91</v>
      </c>
      <c r="D588" t="s">
        <v>81</v>
      </c>
      <c r="E588" s="77" t="s">
        <v>104</v>
      </c>
      <c r="F588" s="77" t="s">
        <v>73</v>
      </c>
      <c r="G588" s="77" t="s">
        <v>74</v>
      </c>
      <c r="H588" s="77" t="s">
        <v>113</v>
      </c>
      <c r="I588" s="77" t="s">
        <v>84</v>
      </c>
      <c r="J588" s="76">
        <v>0</v>
      </c>
    </row>
    <row r="589" spans="1:10" x14ac:dyDescent="0.35">
      <c r="A589" t="s">
        <v>13</v>
      </c>
      <c r="B589" t="s">
        <v>31</v>
      </c>
      <c r="C589" s="77" t="s">
        <v>91</v>
      </c>
      <c r="D589" t="s">
        <v>81</v>
      </c>
      <c r="E589" s="77" t="s">
        <v>106</v>
      </c>
      <c r="F589" s="77" t="s">
        <v>73</v>
      </c>
      <c r="G589" s="77" t="s">
        <v>74</v>
      </c>
      <c r="H589" s="77" t="s">
        <v>113</v>
      </c>
      <c r="I589" s="77" t="s">
        <v>84</v>
      </c>
      <c r="J589" s="76">
        <v>0</v>
      </c>
    </row>
    <row r="590" spans="1:10" x14ac:dyDescent="0.35">
      <c r="A590" t="s">
        <v>13</v>
      </c>
      <c r="B590" t="s">
        <v>31</v>
      </c>
      <c r="C590" s="77" t="s">
        <v>92</v>
      </c>
      <c r="D590" t="s">
        <v>81</v>
      </c>
      <c r="E590" s="77" t="s">
        <v>131</v>
      </c>
      <c r="F590" s="77" t="s">
        <v>73</v>
      </c>
      <c r="G590" s="77" t="s">
        <v>74</v>
      </c>
      <c r="H590" s="77" t="s">
        <v>113</v>
      </c>
      <c r="I590" s="77" t="s">
        <v>84</v>
      </c>
      <c r="J590" s="76">
        <f>'SUT_EU27 total'!$S$92</f>
        <v>0</v>
      </c>
    </row>
    <row r="591" spans="1:10" x14ac:dyDescent="0.35">
      <c r="A591" t="s">
        <v>13</v>
      </c>
      <c r="B591" t="s">
        <v>31</v>
      </c>
      <c r="C591" s="77" t="s">
        <v>92</v>
      </c>
      <c r="D591" t="s">
        <v>81</v>
      </c>
      <c r="E591" s="77" t="s">
        <v>101</v>
      </c>
      <c r="F591" s="77" t="s">
        <v>73</v>
      </c>
      <c r="G591" s="77" t="s">
        <v>74</v>
      </c>
      <c r="H591" s="77" t="s">
        <v>113</v>
      </c>
      <c r="I591" s="77" t="s">
        <v>84</v>
      </c>
      <c r="J591" s="76" cm="1">
        <f t="array" ref="J591:J593">'SUT_EU27 total'!$S$100:$S$102</f>
        <v>0</v>
      </c>
    </row>
    <row r="592" spans="1:10" x14ac:dyDescent="0.35">
      <c r="A592" t="s">
        <v>13</v>
      </c>
      <c r="B592" t="s">
        <v>31</v>
      </c>
      <c r="C592" s="77" t="s">
        <v>92</v>
      </c>
      <c r="D592" t="s">
        <v>81</v>
      </c>
      <c r="E592" s="77" t="s">
        <v>104</v>
      </c>
      <c r="F592" s="77" t="s">
        <v>73</v>
      </c>
      <c r="G592" s="77" t="s">
        <v>74</v>
      </c>
      <c r="H592" s="77" t="s">
        <v>113</v>
      </c>
      <c r="I592" s="77" t="s">
        <v>84</v>
      </c>
      <c r="J592" s="76">
        <v>0</v>
      </c>
    </row>
    <row r="593" spans="1:10" x14ac:dyDescent="0.35">
      <c r="A593" t="s">
        <v>13</v>
      </c>
      <c r="B593" t="s">
        <v>31</v>
      </c>
      <c r="C593" s="77" t="s">
        <v>92</v>
      </c>
      <c r="D593" t="s">
        <v>81</v>
      </c>
      <c r="E593" s="77" t="s">
        <v>106</v>
      </c>
      <c r="F593" s="77" t="s">
        <v>73</v>
      </c>
      <c r="G593" s="77" t="s">
        <v>74</v>
      </c>
      <c r="H593" s="77" t="s">
        <v>113</v>
      </c>
      <c r="I593" s="77" t="s">
        <v>84</v>
      </c>
      <c r="J593" s="76">
        <v>0</v>
      </c>
    </row>
    <row r="594" spans="1:10" x14ac:dyDescent="0.35">
      <c r="A594" t="s">
        <v>13</v>
      </c>
      <c r="B594" t="s">
        <v>31</v>
      </c>
      <c r="C594" s="77" t="s">
        <v>93</v>
      </c>
      <c r="D594" t="s">
        <v>81</v>
      </c>
      <c r="E594" s="77" t="s">
        <v>131</v>
      </c>
      <c r="F594" s="77" t="s">
        <v>73</v>
      </c>
      <c r="G594" s="77" t="s">
        <v>74</v>
      </c>
      <c r="H594" s="77" t="s">
        <v>113</v>
      </c>
      <c r="I594" s="77" t="s">
        <v>84</v>
      </c>
      <c r="J594" s="76">
        <f>'SUT_EU27 total'!$S$109</f>
        <v>0</v>
      </c>
    </row>
    <row r="595" spans="1:10" x14ac:dyDescent="0.35">
      <c r="A595" t="s">
        <v>13</v>
      </c>
      <c r="B595" t="s">
        <v>31</v>
      </c>
      <c r="C595" s="77" t="s">
        <v>93</v>
      </c>
      <c r="D595" t="s">
        <v>81</v>
      </c>
      <c r="E595" s="77" t="s">
        <v>101</v>
      </c>
      <c r="F595" s="77" t="s">
        <v>73</v>
      </c>
      <c r="G595" s="77" t="s">
        <v>74</v>
      </c>
      <c r="H595" s="77" t="s">
        <v>113</v>
      </c>
      <c r="I595" s="77" t="s">
        <v>84</v>
      </c>
      <c r="J595" s="76" cm="1">
        <f t="array" ref="J595:J597">'SUT_EU27 total'!$S$117:$S$119</f>
        <v>0</v>
      </c>
    </row>
    <row r="596" spans="1:10" x14ac:dyDescent="0.35">
      <c r="A596" t="s">
        <v>13</v>
      </c>
      <c r="B596" t="s">
        <v>31</v>
      </c>
      <c r="C596" s="77" t="s">
        <v>93</v>
      </c>
      <c r="D596" t="s">
        <v>81</v>
      </c>
      <c r="E596" s="77" t="s">
        <v>104</v>
      </c>
      <c r="F596" s="77" t="s">
        <v>73</v>
      </c>
      <c r="G596" s="77" t="s">
        <v>74</v>
      </c>
      <c r="H596" s="77" t="s">
        <v>113</v>
      </c>
      <c r="I596" s="77" t="s">
        <v>84</v>
      </c>
      <c r="J596" s="76">
        <v>0</v>
      </c>
    </row>
    <row r="597" spans="1:10" x14ac:dyDescent="0.35">
      <c r="A597" t="s">
        <v>13</v>
      </c>
      <c r="B597" t="s">
        <v>31</v>
      </c>
      <c r="C597" s="77" t="s">
        <v>93</v>
      </c>
      <c r="D597" t="s">
        <v>81</v>
      </c>
      <c r="E597" s="77" t="s">
        <v>106</v>
      </c>
      <c r="F597" s="77" t="s">
        <v>73</v>
      </c>
      <c r="G597" s="77" t="s">
        <v>74</v>
      </c>
      <c r="H597" s="77" t="s">
        <v>113</v>
      </c>
      <c r="I597" s="77" t="s">
        <v>84</v>
      </c>
      <c r="J597" s="76">
        <v>0</v>
      </c>
    </row>
    <row r="598" spans="1:10" x14ac:dyDescent="0.35">
      <c r="A598" t="s">
        <v>13</v>
      </c>
      <c r="B598" t="s">
        <v>31</v>
      </c>
      <c r="C598" s="77" t="s">
        <v>73</v>
      </c>
      <c r="D598" t="s">
        <v>74</v>
      </c>
      <c r="E598" s="77" t="s">
        <v>123</v>
      </c>
      <c r="F598" s="77" t="s">
        <v>73</v>
      </c>
      <c r="G598" s="77" t="s">
        <v>81</v>
      </c>
      <c r="H598" s="77" t="s">
        <v>115</v>
      </c>
      <c r="I598" s="77" t="s">
        <v>84</v>
      </c>
      <c r="J598" s="76" cm="1">
        <f t="array" ref="J598:J604">TRANSPOSE('2030 pathways'!$C$8:$I$8)</f>
        <v>0.11799999999999999</v>
      </c>
    </row>
    <row r="599" spans="1:10" x14ac:dyDescent="0.35">
      <c r="A599" t="s">
        <v>13</v>
      </c>
      <c r="B599" t="s">
        <v>31</v>
      </c>
      <c r="C599" s="77" t="s">
        <v>73</v>
      </c>
      <c r="D599" t="s">
        <v>74</v>
      </c>
      <c r="E599" s="77" t="s">
        <v>127</v>
      </c>
      <c r="F599" s="77" t="s">
        <v>73</v>
      </c>
      <c r="G599" s="77" t="s">
        <v>81</v>
      </c>
      <c r="H599" s="77" t="s">
        <v>115</v>
      </c>
      <c r="I599" s="77" t="s">
        <v>84</v>
      </c>
      <c r="J599" s="76">
        <v>1.18E-2</v>
      </c>
    </row>
    <row r="600" spans="1:10" x14ac:dyDescent="0.35">
      <c r="A600" t="s">
        <v>13</v>
      </c>
      <c r="B600" t="s">
        <v>31</v>
      </c>
      <c r="C600" s="77" t="s">
        <v>73</v>
      </c>
      <c r="D600" t="s">
        <v>74</v>
      </c>
      <c r="E600" s="77" t="s">
        <v>128</v>
      </c>
      <c r="F600" s="77" t="s">
        <v>73</v>
      </c>
      <c r="G600" s="77" t="s">
        <v>81</v>
      </c>
      <c r="H600" s="77" t="s">
        <v>115</v>
      </c>
      <c r="I600" s="77" t="s">
        <v>84</v>
      </c>
      <c r="J600" s="76">
        <v>2.3599999999999999E-2</v>
      </c>
    </row>
    <row r="601" spans="1:10" x14ac:dyDescent="0.35">
      <c r="A601" t="s">
        <v>13</v>
      </c>
      <c r="B601" t="s">
        <v>31</v>
      </c>
      <c r="C601" s="77" t="s">
        <v>73</v>
      </c>
      <c r="D601" t="s">
        <v>74</v>
      </c>
      <c r="E601" s="77" t="s">
        <v>129</v>
      </c>
      <c r="F601" s="77" t="s">
        <v>73</v>
      </c>
      <c r="G601" s="77" t="s">
        <v>81</v>
      </c>
      <c r="H601" s="77" t="s">
        <v>115</v>
      </c>
      <c r="I601" s="77" t="s">
        <v>84</v>
      </c>
      <c r="J601" s="76">
        <v>6.4899999999999999E-2</v>
      </c>
    </row>
    <row r="602" spans="1:10" x14ac:dyDescent="0.35">
      <c r="A602" t="s">
        <v>13</v>
      </c>
      <c r="B602" t="s">
        <v>31</v>
      </c>
      <c r="C602" s="77" t="s">
        <v>73</v>
      </c>
      <c r="D602" t="s">
        <v>74</v>
      </c>
      <c r="E602" s="77" t="s">
        <v>77</v>
      </c>
      <c r="F602" s="77" t="s">
        <v>73</v>
      </c>
      <c r="G602" s="77" t="s">
        <v>81</v>
      </c>
      <c r="H602" s="77" t="s">
        <v>115</v>
      </c>
      <c r="I602" s="77" t="s">
        <v>84</v>
      </c>
      <c r="J602" s="76">
        <v>4.1300000000000003E-2</v>
      </c>
    </row>
    <row r="603" spans="1:10" x14ac:dyDescent="0.35">
      <c r="A603" t="s">
        <v>13</v>
      </c>
      <c r="B603" t="s">
        <v>31</v>
      </c>
      <c r="C603" s="77" t="s">
        <v>73</v>
      </c>
      <c r="D603" t="s">
        <v>74</v>
      </c>
      <c r="E603" s="77" t="s">
        <v>130</v>
      </c>
      <c r="F603" s="77" t="s">
        <v>73</v>
      </c>
      <c r="G603" s="77" t="s">
        <v>81</v>
      </c>
      <c r="H603" s="77" t="s">
        <v>115</v>
      </c>
      <c r="I603" s="77" t="s">
        <v>84</v>
      </c>
      <c r="J603" s="76">
        <v>0.33040000000000003</v>
      </c>
    </row>
    <row r="604" spans="1:10" x14ac:dyDescent="0.35">
      <c r="A604" t="s">
        <v>13</v>
      </c>
      <c r="B604" t="s">
        <v>31</v>
      </c>
      <c r="C604" s="77" t="s">
        <v>73</v>
      </c>
      <c r="D604" t="s">
        <v>74</v>
      </c>
      <c r="E604" s="77" t="s">
        <v>132</v>
      </c>
      <c r="F604" s="77" t="s">
        <v>73</v>
      </c>
      <c r="G604" s="77" t="s">
        <v>81</v>
      </c>
      <c r="H604" s="77" t="s">
        <v>115</v>
      </c>
      <c r="I604" s="77" t="s">
        <v>84</v>
      </c>
      <c r="J604" s="76">
        <v>0.41</v>
      </c>
    </row>
    <row r="605" spans="1:10" x14ac:dyDescent="0.35">
      <c r="A605" t="s">
        <v>13</v>
      </c>
      <c r="B605" t="s">
        <v>31</v>
      </c>
      <c r="C605" s="77" t="s">
        <v>73</v>
      </c>
      <c r="D605" t="s">
        <v>74</v>
      </c>
      <c r="E605" s="77" t="s">
        <v>133</v>
      </c>
      <c r="F605" s="77" t="s">
        <v>73</v>
      </c>
      <c r="G605" s="77" t="s">
        <v>81</v>
      </c>
      <c r="H605" s="77" t="s">
        <v>115</v>
      </c>
      <c r="I605" s="77" t="s">
        <v>84</v>
      </c>
      <c r="J605" s="76">
        <v>0</v>
      </c>
    </row>
    <row r="606" spans="1:10" s="365" customFormat="1" x14ac:dyDescent="0.35">
      <c r="A606" s="468" t="s">
        <v>13</v>
      </c>
      <c r="B606" s="468" t="s">
        <v>35</v>
      </c>
      <c r="C606" s="478" t="s">
        <v>73</v>
      </c>
      <c r="D606" s="468" t="s">
        <v>81</v>
      </c>
      <c r="E606" s="478" t="s">
        <v>115</v>
      </c>
      <c r="F606" s="478" t="s">
        <v>73</v>
      </c>
      <c r="G606" s="478" t="s">
        <v>74</v>
      </c>
      <c r="H606" s="478" t="s">
        <v>102</v>
      </c>
      <c r="I606" s="478" t="s">
        <v>84</v>
      </c>
      <c r="J606" s="479" cm="1">
        <f t="array" ref="J606:J607">'SUT_EU27 total'!$J$19:$J$20</f>
        <v>11.828571428571427</v>
      </c>
    </row>
    <row r="607" spans="1:10" x14ac:dyDescent="0.35">
      <c r="A607" t="s">
        <v>13</v>
      </c>
      <c r="B607" t="s">
        <v>35</v>
      </c>
      <c r="C607" s="77" t="s">
        <v>73</v>
      </c>
      <c r="D607" t="s">
        <v>81</v>
      </c>
      <c r="E607" s="77" t="s">
        <v>116</v>
      </c>
      <c r="F607" s="77" t="s">
        <v>73</v>
      </c>
      <c r="G607" s="77" t="s">
        <v>74</v>
      </c>
      <c r="H607" s="77" t="s">
        <v>102</v>
      </c>
      <c r="I607" s="77" t="s">
        <v>84</v>
      </c>
      <c r="J607" s="76">
        <v>3.3421988920214002E-2</v>
      </c>
    </row>
    <row r="608" spans="1:10" x14ac:dyDescent="0.35">
      <c r="A608" t="s">
        <v>13</v>
      </c>
      <c r="B608" t="s">
        <v>35</v>
      </c>
      <c r="C608" s="77" t="s">
        <v>73</v>
      </c>
      <c r="D608" t="s">
        <v>81</v>
      </c>
      <c r="E608" s="77" t="s">
        <v>117</v>
      </c>
      <c r="F608" s="77" t="s">
        <v>73</v>
      </c>
      <c r="G608" s="77" t="s">
        <v>74</v>
      </c>
      <c r="H608" s="77" t="s">
        <v>102</v>
      </c>
      <c r="I608" s="77" t="s">
        <v>84</v>
      </c>
      <c r="J608" s="76">
        <f>'SUT_EU27 total'!$J$27</f>
        <v>20.996100000000002</v>
      </c>
    </row>
    <row r="609" spans="1:10" x14ac:dyDescent="0.35">
      <c r="A609" t="s">
        <v>13</v>
      </c>
      <c r="B609" t="s">
        <v>35</v>
      </c>
      <c r="C609" s="77" t="s">
        <v>73</v>
      </c>
      <c r="D609" t="s">
        <v>81</v>
      </c>
      <c r="E609" s="77" t="s">
        <v>101</v>
      </c>
      <c r="F609" s="77" t="s">
        <v>73</v>
      </c>
      <c r="G609" s="77" t="s">
        <v>74</v>
      </c>
      <c r="H609" s="77" t="s">
        <v>102</v>
      </c>
      <c r="I609" s="77" t="s">
        <v>84</v>
      </c>
      <c r="J609" s="76" cm="1">
        <f t="array" ref="J609:J611">'SUT_EU27 total'!$J$32:$J$34</f>
        <v>0.13437998483817604</v>
      </c>
    </row>
    <row r="610" spans="1:10" x14ac:dyDescent="0.35">
      <c r="A610" t="s">
        <v>13</v>
      </c>
      <c r="B610" t="s">
        <v>35</v>
      </c>
      <c r="C610" s="77" t="s">
        <v>73</v>
      </c>
      <c r="D610" t="s">
        <v>81</v>
      </c>
      <c r="E610" s="77" t="s">
        <v>104</v>
      </c>
      <c r="F610" s="77" t="s">
        <v>73</v>
      </c>
      <c r="G610" s="77" t="s">
        <v>74</v>
      </c>
      <c r="H610" s="77" t="s">
        <v>102</v>
      </c>
      <c r="I610" s="77" t="s">
        <v>84</v>
      </c>
      <c r="J610" s="76">
        <v>0.25443647306582401</v>
      </c>
    </row>
    <row r="611" spans="1:10" x14ac:dyDescent="0.35">
      <c r="A611" t="s">
        <v>13</v>
      </c>
      <c r="B611" t="s">
        <v>35</v>
      </c>
      <c r="C611" s="77" t="s">
        <v>73</v>
      </c>
      <c r="D611" t="s">
        <v>81</v>
      </c>
      <c r="E611" s="77" t="s">
        <v>106</v>
      </c>
      <c r="F611" s="77" t="s">
        <v>73</v>
      </c>
      <c r="G611" s="77" t="s">
        <v>74</v>
      </c>
      <c r="H611" s="77" t="s">
        <v>102</v>
      </c>
      <c r="I611" s="77" t="s">
        <v>84</v>
      </c>
      <c r="J611" s="76">
        <v>0.86543018049599985</v>
      </c>
    </row>
    <row r="612" spans="1:10" x14ac:dyDescent="0.35">
      <c r="A612" t="s">
        <v>13</v>
      </c>
      <c r="B612" t="s">
        <v>35</v>
      </c>
      <c r="C612" s="77" t="s">
        <v>88</v>
      </c>
      <c r="D612" t="s">
        <v>81</v>
      </c>
      <c r="E612" s="77" t="s">
        <v>115</v>
      </c>
      <c r="F612" s="77" t="s">
        <v>73</v>
      </c>
      <c r="G612" s="77" t="s">
        <v>74</v>
      </c>
      <c r="H612" s="77" t="s">
        <v>102</v>
      </c>
      <c r="I612" s="77" t="s">
        <v>84</v>
      </c>
      <c r="J612" s="76" cm="1">
        <f t="array" ref="J612:J613">'SUT_EU27 total'!$J$36:$J$37</f>
        <v>78.857142857142847</v>
      </c>
    </row>
    <row r="613" spans="1:10" x14ac:dyDescent="0.35">
      <c r="A613" t="s">
        <v>13</v>
      </c>
      <c r="B613" t="s">
        <v>35</v>
      </c>
      <c r="C613" s="77" t="s">
        <v>88</v>
      </c>
      <c r="D613" t="s">
        <v>81</v>
      </c>
      <c r="E613" s="77" t="s">
        <v>116</v>
      </c>
      <c r="F613" s="77" t="s">
        <v>73</v>
      </c>
      <c r="G613" s="77" t="s">
        <v>74</v>
      </c>
      <c r="H613" s="77" t="s">
        <v>102</v>
      </c>
      <c r="I613" s="77" t="s">
        <v>84</v>
      </c>
      <c r="J613" s="76">
        <v>0.7862213561563367</v>
      </c>
    </row>
    <row r="614" spans="1:10" x14ac:dyDescent="0.35">
      <c r="A614" t="s">
        <v>13</v>
      </c>
      <c r="B614" t="s">
        <v>35</v>
      </c>
      <c r="C614" s="77" t="s">
        <v>88</v>
      </c>
      <c r="D614" t="s">
        <v>81</v>
      </c>
      <c r="E614" s="77" t="s">
        <v>117</v>
      </c>
      <c r="F614" s="77" t="s">
        <v>73</v>
      </c>
      <c r="G614" s="77" t="s">
        <v>74</v>
      </c>
      <c r="H614" s="77" t="s">
        <v>102</v>
      </c>
      <c r="I614" s="77" t="s">
        <v>84</v>
      </c>
      <c r="J614" s="76">
        <f>'SUT_EU27 total'!$J$44</f>
        <v>286.26390000000004</v>
      </c>
    </row>
    <row r="615" spans="1:10" x14ac:dyDescent="0.35">
      <c r="A615" t="s">
        <v>13</v>
      </c>
      <c r="B615" t="s">
        <v>35</v>
      </c>
      <c r="C615" s="77" t="s">
        <v>88</v>
      </c>
      <c r="D615" t="s">
        <v>81</v>
      </c>
      <c r="E615" s="77" t="s">
        <v>101</v>
      </c>
      <c r="F615" s="77" t="s">
        <v>73</v>
      </c>
      <c r="G615" s="77" t="s">
        <v>74</v>
      </c>
      <c r="H615" s="77" t="s">
        <v>102</v>
      </c>
      <c r="I615" s="77" t="s">
        <v>84</v>
      </c>
      <c r="J615" s="76" cm="1">
        <f t="array" ref="J615:J617">'SUT_EU27 total'!$J$49:$J$51</f>
        <v>0</v>
      </c>
    </row>
    <row r="616" spans="1:10" x14ac:dyDescent="0.35">
      <c r="A616" t="s">
        <v>13</v>
      </c>
      <c r="B616" t="s">
        <v>35</v>
      </c>
      <c r="C616" s="77" t="s">
        <v>88</v>
      </c>
      <c r="D616" t="s">
        <v>81</v>
      </c>
      <c r="E616" s="77" t="s">
        <v>104</v>
      </c>
      <c r="F616" s="77" t="s">
        <v>73</v>
      </c>
      <c r="G616" s="77" t="s">
        <v>74</v>
      </c>
      <c r="H616" s="77" t="s">
        <v>102</v>
      </c>
      <c r="I616" s="77" t="s">
        <v>84</v>
      </c>
      <c r="J616" s="76">
        <v>0</v>
      </c>
    </row>
    <row r="617" spans="1:10" x14ac:dyDescent="0.35">
      <c r="A617" t="s">
        <v>13</v>
      </c>
      <c r="B617" t="s">
        <v>35</v>
      </c>
      <c r="C617" s="77" t="s">
        <v>88</v>
      </c>
      <c r="D617" t="s">
        <v>81</v>
      </c>
      <c r="E617" s="77" t="s">
        <v>106</v>
      </c>
      <c r="F617" s="77" t="s">
        <v>73</v>
      </c>
      <c r="G617" s="77" t="s">
        <v>74</v>
      </c>
      <c r="H617" s="77" t="s">
        <v>102</v>
      </c>
      <c r="I617" s="77" t="s">
        <v>84</v>
      </c>
      <c r="J617" s="76">
        <v>0</v>
      </c>
    </row>
    <row r="618" spans="1:10" x14ac:dyDescent="0.35">
      <c r="A618" t="s">
        <v>13</v>
      </c>
      <c r="B618" t="s">
        <v>35</v>
      </c>
      <c r="C618" s="77" t="s">
        <v>90</v>
      </c>
      <c r="D618" t="s">
        <v>81</v>
      </c>
      <c r="E618" s="77" t="s">
        <v>115</v>
      </c>
      <c r="F618" s="77" t="s">
        <v>73</v>
      </c>
      <c r="G618" s="77" t="s">
        <v>74</v>
      </c>
      <c r="H618" s="77" t="s">
        <v>102</v>
      </c>
      <c r="I618" s="77" t="s">
        <v>84</v>
      </c>
      <c r="J618" s="76" cm="1">
        <f t="array" ref="J618:J619">'SUT_EU27 total'!$J$53:$J$54</f>
        <v>7.7904761904761894</v>
      </c>
    </row>
    <row r="619" spans="1:10" x14ac:dyDescent="0.35">
      <c r="A619" t="s">
        <v>13</v>
      </c>
      <c r="B619" t="s">
        <v>35</v>
      </c>
      <c r="C619" s="77" t="s">
        <v>90</v>
      </c>
      <c r="D619" t="s">
        <v>81</v>
      </c>
      <c r="E619" s="77" t="s">
        <v>116</v>
      </c>
      <c r="F619" s="77" t="s">
        <v>73</v>
      </c>
      <c r="G619" s="77" t="s">
        <v>74</v>
      </c>
      <c r="H619" s="77" t="s">
        <v>102</v>
      </c>
      <c r="I619" s="77" t="s">
        <v>84</v>
      </c>
      <c r="J619" s="76">
        <v>1.5473889063756709E-2</v>
      </c>
    </row>
    <row r="620" spans="1:10" x14ac:dyDescent="0.35">
      <c r="A620" t="s">
        <v>13</v>
      </c>
      <c r="B620" t="s">
        <v>35</v>
      </c>
      <c r="C620" s="77" t="s">
        <v>90</v>
      </c>
      <c r="D620" t="s">
        <v>81</v>
      </c>
      <c r="E620" s="77" t="s">
        <v>117</v>
      </c>
      <c r="F620" s="77" t="s">
        <v>73</v>
      </c>
      <c r="G620" s="77" t="s">
        <v>74</v>
      </c>
      <c r="H620" s="77" t="s">
        <v>102</v>
      </c>
      <c r="I620" s="77" t="s">
        <v>84</v>
      </c>
      <c r="J620" s="76">
        <f>'SUT_EU27 total'!$J$61</f>
        <v>11.2662</v>
      </c>
    </row>
    <row r="621" spans="1:10" x14ac:dyDescent="0.35">
      <c r="A621" t="s">
        <v>13</v>
      </c>
      <c r="B621" t="s">
        <v>35</v>
      </c>
      <c r="C621" s="77" t="s">
        <v>90</v>
      </c>
      <c r="D621" t="s">
        <v>81</v>
      </c>
      <c r="E621" s="77" t="s">
        <v>101</v>
      </c>
      <c r="F621" s="77" t="s">
        <v>73</v>
      </c>
      <c r="G621" s="77" t="s">
        <v>74</v>
      </c>
      <c r="H621" s="77" t="s">
        <v>102</v>
      </c>
      <c r="I621" s="77" t="s">
        <v>84</v>
      </c>
      <c r="J621" s="76" cm="1">
        <f t="array" ref="J621:J623">'SUT_EU27 total'!$J$66:$J$68</f>
        <v>0</v>
      </c>
    </row>
    <row r="622" spans="1:10" x14ac:dyDescent="0.35">
      <c r="A622" t="s">
        <v>13</v>
      </c>
      <c r="B622" t="s">
        <v>35</v>
      </c>
      <c r="C622" s="77" t="s">
        <v>90</v>
      </c>
      <c r="D622" t="s">
        <v>81</v>
      </c>
      <c r="E622" s="77" t="s">
        <v>104</v>
      </c>
      <c r="F622" s="77" t="s">
        <v>73</v>
      </c>
      <c r="G622" s="77" t="s">
        <v>74</v>
      </c>
      <c r="H622" s="77" t="s">
        <v>102</v>
      </c>
      <c r="I622" s="77" t="s">
        <v>84</v>
      </c>
      <c r="J622" s="76">
        <v>0</v>
      </c>
    </row>
    <row r="623" spans="1:10" x14ac:dyDescent="0.35">
      <c r="A623" t="s">
        <v>13</v>
      </c>
      <c r="B623" t="s">
        <v>35</v>
      </c>
      <c r="C623" s="77" t="s">
        <v>90</v>
      </c>
      <c r="D623" t="s">
        <v>81</v>
      </c>
      <c r="E623" s="77" t="s">
        <v>106</v>
      </c>
      <c r="F623" s="77" t="s">
        <v>73</v>
      </c>
      <c r="G623" s="77" t="s">
        <v>74</v>
      </c>
      <c r="H623" s="77" t="s">
        <v>102</v>
      </c>
      <c r="I623" s="77" t="s">
        <v>84</v>
      </c>
      <c r="J623" s="76">
        <v>0</v>
      </c>
    </row>
    <row r="624" spans="1:10" x14ac:dyDescent="0.35">
      <c r="A624" t="s">
        <v>13</v>
      </c>
      <c r="B624" t="s">
        <v>35</v>
      </c>
      <c r="C624" s="77" t="s">
        <v>91</v>
      </c>
      <c r="D624" t="s">
        <v>81</v>
      </c>
      <c r="E624" s="77" t="s">
        <v>115</v>
      </c>
      <c r="F624" s="77" t="s">
        <v>73</v>
      </c>
      <c r="G624" s="77" t="s">
        <v>74</v>
      </c>
      <c r="H624" s="77" t="s">
        <v>102</v>
      </c>
      <c r="I624" s="77" t="s">
        <v>84</v>
      </c>
      <c r="J624" s="76" cm="1">
        <f t="array" ref="J624:J625">'SUT_EU27 total'!$J$70:$J$71</f>
        <v>15.771428571428569</v>
      </c>
    </row>
    <row r="625" spans="1:10" x14ac:dyDescent="0.35">
      <c r="A625" t="s">
        <v>13</v>
      </c>
      <c r="B625" t="s">
        <v>35</v>
      </c>
      <c r="C625" s="77" t="s">
        <v>91</v>
      </c>
      <c r="D625" t="s">
        <v>81</v>
      </c>
      <c r="E625" s="77" t="s">
        <v>116</v>
      </c>
      <c r="F625" s="77" t="s">
        <v>73</v>
      </c>
      <c r="G625" s="77" t="s">
        <v>74</v>
      </c>
      <c r="H625" s="77" t="s">
        <v>102</v>
      </c>
      <c r="I625" s="77" t="s">
        <v>84</v>
      </c>
      <c r="J625" s="76">
        <v>8.7507175559917313E-2</v>
      </c>
    </row>
    <row r="626" spans="1:10" x14ac:dyDescent="0.35">
      <c r="A626" t="s">
        <v>13</v>
      </c>
      <c r="B626" t="s">
        <v>35</v>
      </c>
      <c r="C626" s="77" t="s">
        <v>91</v>
      </c>
      <c r="D626" t="s">
        <v>81</v>
      </c>
      <c r="E626" s="77" t="s">
        <v>117</v>
      </c>
      <c r="F626" s="77" t="s">
        <v>73</v>
      </c>
      <c r="G626" s="77" t="s">
        <v>74</v>
      </c>
      <c r="H626" s="77" t="s">
        <v>102</v>
      </c>
      <c r="I626" s="77" t="s">
        <v>84</v>
      </c>
      <c r="J626" s="76">
        <f>'SUT_EU27 total'!$J$78</f>
        <v>41.4801</v>
      </c>
    </row>
    <row r="627" spans="1:10" x14ac:dyDescent="0.35">
      <c r="A627" t="s">
        <v>13</v>
      </c>
      <c r="B627" t="s">
        <v>35</v>
      </c>
      <c r="C627" s="77" t="s">
        <v>91</v>
      </c>
      <c r="D627" t="s">
        <v>81</v>
      </c>
      <c r="E627" s="77" t="s">
        <v>101</v>
      </c>
      <c r="F627" s="77" t="s">
        <v>73</v>
      </c>
      <c r="G627" s="77" t="s">
        <v>74</v>
      </c>
      <c r="H627" s="77" t="s">
        <v>102</v>
      </c>
      <c r="I627" s="77" t="s">
        <v>84</v>
      </c>
      <c r="J627" s="76" cm="1">
        <f t="array" ref="J627:J629">'SUT_EU27 total'!$J$83:$J$85</f>
        <v>0</v>
      </c>
    </row>
    <row r="628" spans="1:10" x14ac:dyDescent="0.35">
      <c r="A628" t="s">
        <v>13</v>
      </c>
      <c r="B628" t="s">
        <v>35</v>
      </c>
      <c r="C628" s="77" t="s">
        <v>91</v>
      </c>
      <c r="D628" t="s">
        <v>81</v>
      </c>
      <c r="E628" s="77" t="s">
        <v>104</v>
      </c>
      <c r="F628" s="77" t="s">
        <v>73</v>
      </c>
      <c r="G628" s="77" t="s">
        <v>74</v>
      </c>
      <c r="H628" s="77" t="s">
        <v>102</v>
      </c>
      <c r="I628" s="77" t="s">
        <v>84</v>
      </c>
      <c r="J628" s="76">
        <v>0</v>
      </c>
    </row>
    <row r="629" spans="1:10" x14ac:dyDescent="0.35">
      <c r="A629" t="s">
        <v>13</v>
      </c>
      <c r="B629" t="s">
        <v>35</v>
      </c>
      <c r="C629" s="77" t="s">
        <v>91</v>
      </c>
      <c r="D629" t="s">
        <v>81</v>
      </c>
      <c r="E629" s="77" t="s">
        <v>106</v>
      </c>
      <c r="F629" s="77" t="s">
        <v>73</v>
      </c>
      <c r="G629" s="77" t="s">
        <v>74</v>
      </c>
      <c r="H629" s="77" t="s">
        <v>102</v>
      </c>
      <c r="I629" s="77" t="s">
        <v>84</v>
      </c>
      <c r="J629" s="76">
        <v>0</v>
      </c>
    </row>
    <row r="630" spans="1:10" x14ac:dyDescent="0.35">
      <c r="A630" t="s">
        <v>13</v>
      </c>
      <c r="B630" t="s">
        <v>35</v>
      </c>
      <c r="C630" s="77" t="s">
        <v>92</v>
      </c>
      <c r="D630" t="s">
        <v>81</v>
      </c>
      <c r="E630" s="77" t="s">
        <v>115</v>
      </c>
      <c r="F630" s="77" t="s">
        <v>73</v>
      </c>
      <c r="G630" s="77" t="s">
        <v>74</v>
      </c>
      <c r="H630" s="77" t="s">
        <v>102</v>
      </c>
      <c r="I630" s="77" t="s">
        <v>84</v>
      </c>
      <c r="J630" s="76" cm="1">
        <f t="array" ref="J630:J631">'SUT_EU27 total'!$J$87:$J$88</f>
        <v>6.6239999999999997</v>
      </c>
    </row>
    <row r="631" spans="1:10" x14ac:dyDescent="0.35">
      <c r="A631" t="s">
        <v>13</v>
      </c>
      <c r="B631" t="s">
        <v>35</v>
      </c>
      <c r="C631" s="77" t="s">
        <v>92</v>
      </c>
      <c r="D631" t="s">
        <v>81</v>
      </c>
      <c r="E631" s="77" t="s">
        <v>116</v>
      </c>
      <c r="F631" s="77" t="s">
        <v>73</v>
      </c>
      <c r="G631" s="77" t="s">
        <v>74</v>
      </c>
      <c r="H631" s="77" t="s">
        <v>102</v>
      </c>
      <c r="I631" s="77" t="s">
        <v>84</v>
      </c>
      <c r="J631" s="76">
        <v>6.0040746268656714E-2</v>
      </c>
    </row>
    <row r="632" spans="1:10" x14ac:dyDescent="0.35">
      <c r="A632" t="s">
        <v>13</v>
      </c>
      <c r="B632" t="s">
        <v>35</v>
      </c>
      <c r="C632" s="77" t="s">
        <v>92</v>
      </c>
      <c r="D632" t="s">
        <v>81</v>
      </c>
      <c r="E632" s="77" t="s">
        <v>117</v>
      </c>
      <c r="F632" s="77" t="s">
        <v>73</v>
      </c>
      <c r="G632" s="77" t="s">
        <v>74</v>
      </c>
      <c r="H632" s="77" t="s">
        <v>102</v>
      </c>
      <c r="I632" s="77" t="s">
        <v>84</v>
      </c>
      <c r="J632" s="76">
        <f>'SUT_EU27 total'!$J$95</f>
        <v>13.3146</v>
      </c>
    </row>
    <row r="633" spans="1:10" x14ac:dyDescent="0.35">
      <c r="A633" t="s">
        <v>13</v>
      </c>
      <c r="B633" t="s">
        <v>35</v>
      </c>
      <c r="C633" s="77" t="s">
        <v>92</v>
      </c>
      <c r="D633" t="s">
        <v>81</v>
      </c>
      <c r="E633" s="77" t="s">
        <v>101</v>
      </c>
      <c r="F633" s="77" t="s">
        <v>73</v>
      </c>
      <c r="G633" s="77" t="s">
        <v>74</v>
      </c>
      <c r="H633" s="77" t="s">
        <v>102</v>
      </c>
      <c r="I633" s="77" t="s">
        <v>84</v>
      </c>
      <c r="J633" s="76" cm="1">
        <f t="array" ref="J633:J635">'SUT_EU27 total'!$J$100:$J$102</f>
        <v>0</v>
      </c>
    </row>
    <row r="634" spans="1:10" x14ac:dyDescent="0.35">
      <c r="A634" t="s">
        <v>13</v>
      </c>
      <c r="B634" t="s">
        <v>35</v>
      </c>
      <c r="C634" s="77" t="s">
        <v>92</v>
      </c>
      <c r="D634" t="s">
        <v>81</v>
      </c>
      <c r="E634" s="77" t="s">
        <v>104</v>
      </c>
      <c r="F634" s="77" t="s">
        <v>73</v>
      </c>
      <c r="G634" s="77" t="s">
        <v>74</v>
      </c>
      <c r="H634" s="77" t="s">
        <v>102</v>
      </c>
      <c r="I634" s="77" t="s">
        <v>84</v>
      </c>
      <c r="J634" s="76">
        <v>0</v>
      </c>
    </row>
    <row r="635" spans="1:10" x14ac:dyDescent="0.35">
      <c r="A635" t="s">
        <v>13</v>
      </c>
      <c r="B635" t="s">
        <v>35</v>
      </c>
      <c r="C635" s="77" t="s">
        <v>92</v>
      </c>
      <c r="D635" t="s">
        <v>81</v>
      </c>
      <c r="E635" s="77" t="s">
        <v>106</v>
      </c>
      <c r="F635" s="77" t="s">
        <v>73</v>
      </c>
      <c r="G635" s="77" t="s">
        <v>74</v>
      </c>
      <c r="H635" s="77" t="s">
        <v>102</v>
      </c>
      <c r="I635" s="77" t="s">
        <v>84</v>
      </c>
      <c r="J635" s="76">
        <v>0</v>
      </c>
    </row>
    <row r="636" spans="1:10" x14ac:dyDescent="0.35">
      <c r="A636" t="s">
        <v>13</v>
      </c>
      <c r="B636" t="s">
        <v>35</v>
      </c>
      <c r="C636" s="77" t="s">
        <v>93</v>
      </c>
      <c r="D636" t="s">
        <v>81</v>
      </c>
      <c r="E636" s="77" t="s">
        <v>115</v>
      </c>
      <c r="F636" s="77" t="s">
        <v>73</v>
      </c>
      <c r="G636" s="77" t="s">
        <v>74</v>
      </c>
      <c r="H636" s="77" t="s">
        <v>102</v>
      </c>
      <c r="I636" s="77" t="s">
        <v>84</v>
      </c>
      <c r="J636" s="76" cm="1">
        <f t="array" ref="J636:J637">'SUT_EU27 total'!$J$104:$J$105</f>
        <v>44.633142857142865</v>
      </c>
    </row>
    <row r="637" spans="1:10" x14ac:dyDescent="0.35">
      <c r="A637" t="s">
        <v>13</v>
      </c>
      <c r="B637" t="s">
        <v>35</v>
      </c>
      <c r="C637" s="77" t="s">
        <v>93</v>
      </c>
      <c r="D637" t="s">
        <v>81</v>
      </c>
      <c r="E637" s="77" t="s">
        <v>116</v>
      </c>
      <c r="F637" s="77" t="s">
        <v>73</v>
      </c>
      <c r="G637" s="77" t="s">
        <v>74</v>
      </c>
      <c r="H637" s="77" t="s">
        <v>102</v>
      </c>
      <c r="I637" s="77" t="s">
        <v>84</v>
      </c>
      <c r="J637" s="76">
        <v>0.3673348440311186</v>
      </c>
    </row>
    <row r="638" spans="1:10" x14ac:dyDescent="0.35">
      <c r="A638" t="s">
        <v>13</v>
      </c>
      <c r="B638" t="s">
        <v>35</v>
      </c>
      <c r="C638" s="77" t="s">
        <v>93</v>
      </c>
      <c r="D638" t="s">
        <v>81</v>
      </c>
      <c r="E638" s="77" t="s">
        <v>117</v>
      </c>
      <c r="F638" s="77" t="s">
        <v>73</v>
      </c>
      <c r="G638" s="77" t="s">
        <v>74</v>
      </c>
      <c r="H638" s="77" t="s">
        <v>102</v>
      </c>
      <c r="I638" s="77" t="s">
        <v>84</v>
      </c>
      <c r="J638" s="76">
        <f>'SUT_EU27 total'!$J$112</f>
        <v>138.77909999999997</v>
      </c>
    </row>
    <row r="639" spans="1:10" x14ac:dyDescent="0.35">
      <c r="A639" t="s">
        <v>13</v>
      </c>
      <c r="B639" t="s">
        <v>35</v>
      </c>
      <c r="C639" s="77" t="s">
        <v>93</v>
      </c>
      <c r="D639" t="s">
        <v>81</v>
      </c>
      <c r="E639" s="77" t="s">
        <v>101</v>
      </c>
      <c r="F639" s="77" t="s">
        <v>73</v>
      </c>
      <c r="G639" s="77" t="s">
        <v>74</v>
      </c>
      <c r="H639" s="77" t="s">
        <v>102</v>
      </c>
      <c r="I639" s="77" t="s">
        <v>84</v>
      </c>
      <c r="J639" s="76" cm="1">
        <f t="array" ref="J639:J641">'SUT_EU27 total'!$J$117:$J$119</f>
        <v>0</v>
      </c>
    </row>
    <row r="640" spans="1:10" x14ac:dyDescent="0.35">
      <c r="A640" t="s">
        <v>13</v>
      </c>
      <c r="B640" t="s">
        <v>35</v>
      </c>
      <c r="C640" s="77" t="s">
        <v>93</v>
      </c>
      <c r="D640" t="s">
        <v>81</v>
      </c>
      <c r="E640" s="77" t="s">
        <v>104</v>
      </c>
      <c r="F640" s="77" t="s">
        <v>73</v>
      </c>
      <c r="G640" s="77" t="s">
        <v>74</v>
      </c>
      <c r="H640" s="77" t="s">
        <v>102</v>
      </c>
      <c r="I640" s="77" t="s">
        <v>84</v>
      </c>
      <c r="J640" s="76">
        <v>0</v>
      </c>
    </row>
    <row r="641" spans="1:10" x14ac:dyDescent="0.35">
      <c r="A641" t="s">
        <v>13</v>
      </c>
      <c r="B641" t="s">
        <v>35</v>
      </c>
      <c r="C641" s="77" t="s">
        <v>93</v>
      </c>
      <c r="D641" t="s">
        <v>81</v>
      </c>
      <c r="E641" s="77" t="s">
        <v>106</v>
      </c>
      <c r="F641" s="77" t="s">
        <v>73</v>
      </c>
      <c r="G641" s="77" t="s">
        <v>74</v>
      </c>
      <c r="H641" s="77" t="s">
        <v>102</v>
      </c>
      <c r="I641" s="77" t="s">
        <v>84</v>
      </c>
      <c r="J641" s="76">
        <v>0</v>
      </c>
    </row>
    <row r="642" spans="1:10" x14ac:dyDescent="0.35">
      <c r="A642" t="s">
        <v>13</v>
      </c>
      <c r="B642" t="s">
        <v>35</v>
      </c>
      <c r="C642" s="77" t="s">
        <v>73</v>
      </c>
      <c r="D642" t="s">
        <v>81</v>
      </c>
      <c r="E642" s="77" t="s">
        <v>118</v>
      </c>
      <c r="F642" s="77" t="s">
        <v>73</v>
      </c>
      <c r="G642" s="77" t="s">
        <v>74</v>
      </c>
      <c r="H642" s="77" t="s">
        <v>108</v>
      </c>
      <c r="I642" s="77" t="s">
        <v>84</v>
      </c>
      <c r="J642" s="76" cm="1">
        <f t="array" ref="J642:J644">'SUT_EU27 total'!$K$21:$K$23</f>
        <v>1.4582562144772118E-3</v>
      </c>
    </row>
    <row r="643" spans="1:10" x14ac:dyDescent="0.35">
      <c r="A643" t="s">
        <v>13</v>
      </c>
      <c r="B643" t="s">
        <v>35</v>
      </c>
      <c r="C643" s="77" t="s">
        <v>73</v>
      </c>
      <c r="D643" t="s">
        <v>81</v>
      </c>
      <c r="E643" s="77" t="s">
        <v>119</v>
      </c>
      <c r="F643" s="77" t="s">
        <v>73</v>
      </c>
      <c r="G643" s="77" t="s">
        <v>74</v>
      </c>
      <c r="H643" s="77" t="s">
        <v>108</v>
      </c>
      <c r="I643" s="77" t="s">
        <v>84</v>
      </c>
      <c r="J643" s="76">
        <v>8.4634636521458274E-4</v>
      </c>
    </row>
    <row r="644" spans="1:10" x14ac:dyDescent="0.35">
      <c r="A644" t="s">
        <v>13</v>
      </c>
      <c r="B644" t="s">
        <v>35</v>
      </c>
      <c r="C644" s="77" t="s">
        <v>73</v>
      </c>
      <c r="D644" t="s">
        <v>81</v>
      </c>
      <c r="E644" s="77" t="s">
        <v>120</v>
      </c>
      <c r="F644" s="77" t="s">
        <v>73</v>
      </c>
      <c r="G644" s="77" t="s">
        <v>74</v>
      </c>
      <c r="H644" s="77" t="s">
        <v>108</v>
      </c>
      <c r="I644" s="77" t="s">
        <v>84</v>
      </c>
      <c r="J644" s="76">
        <v>1.2517329093179335E-4</v>
      </c>
    </row>
    <row r="645" spans="1:10" x14ac:dyDescent="0.35">
      <c r="A645" t="s">
        <v>13</v>
      </c>
      <c r="B645" t="s">
        <v>35</v>
      </c>
      <c r="C645" s="77" t="s">
        <v>73</v>
      </c>
      <c r="D645" t="s">
        <v>81</v>
      </c>
      <c r="E645" s="77" t="s">
        <v>121</v>
      </c>
      <c r="F645" s="77" t="s">
        <v>73</v>
      </c>
      <c r="G645" s="77" t="s">
        <v>74</v>
      </c>
      <c r="H645" s="77" t="s">
        <v>108</v>
      </c>
      <c r="I645" s="77" t="s">
        <v>84</v>
      </c>
      <c r="J645" s="76">
        <f>'SUT_EU27 total'!$K$25</f>
        <v>6.9749679999999994E-2</v>
      </c>
    </row>
    <row r="646" spans="1:10" x14ac:dyDescent="0.35">
      <c r="A646" t="s">
        <v>13</v>
      </c>
      <c r="B646" t="s">
        <v>35</v>
      </c>
      <c r="C646" s="77" t="s">
        <v>73</v>
      </c>
      <c r="D646" t="s">
        <v>81</v>
      </c>
      <c r="E646" s="77" t="s">
        <v>117</v>
      </c>
      <c r="F646" s="77" t="s">
        <v>73</v>
      </c>
      <c r="G646" s="77" t="s">
        <v>74</v>
      </c>
      <c r="H646" s="77" t="s">
        <v>108</v>
      </c>
      <c r="I646" s="77" t="s">
        <v>84</v>
      </c>
      <c r="J646" s="76">
        <f>'SUT_EU27 total'!$K$27</f>
        <v>1.1932942595726979E-3</v>
      </c>
    </row>
    <row r="647" spans="1:10" x14ac:dyDescent="0.35">
      <c r="A647" t="s">
        <v>13</v>
      </c>
      <c r="B647" t="s">
        <v>35</v>
      </c>
      <c r="C647" s="77" t="s">
        <v>73</v>
      </c>
      <c r="D647" t="s">
        <v>81</v>
      </c>
      <c r="E647" s="77" t="s">
        <v>122</v>
      </c>
      <c r="F647" s="77" t="s">
        <v>73</v>
      </c>
      <c r="G647" s="77" t="s">
        <v>74</v>
      </c>
      <c r="H647" s="77" t="s">
        <v>108</v>
      </c>
      <c r="I647" s="77" t="s">
        <v>84</v>
      </c>
      <c r="J647" s="76">
        <f>'SUT_EU27 total'!$K$30</f>
        <v>1.5965533412604042E-3</v>
      </c>
    </row>
    <row r="648" spans="1:10" x14ac:dyDescent="0.35">
      <c r="A648" t="s">
        <v>13</v>
      </c>
      <c r="B648" t="s">
        <v>35</v>
      </c>
      <c r="C648" s="77" t="s">
        <v>73</v>
      </c>
      <c r="D648" t="s">
        <v>81</v>
      </c>
      <c r="E648" s="77" t="s">
        <v>101</v>
      </c>
      <c r="F648" s="77" t="s">
        <v>73</v>
      </c>
      <c r="G648" s="77" t="s">
        <v>74</v>
      </c>
      <c r="H648" s="77" t="s">
        <v>108</v>
      </c>
      <c r="I648" s="77" t="s">
        <v>84</v>
      </c>
      <c r="J648" s="76" cm="1">
        <f t="array" ref="J648:J650">'SUT_EU27 total'!$K$32:$K$34</f>
        <v>2.4335351040000001E-4</v>
      </c>
    </row>
    <row r="649" spans="1:10" x14ac:dyDescent="0.35">
      <c r="A649" t="s">
        <v>13</v>
      </c>
      <c r="B649" t="s">
        <v>35</v>
      </c>
      <c r="C649" s="77" t="s">
        <v>73</v>
      </c>
      <c r="D649" t="s">
        <v>81</v>
      </c>
      <c r="E649" s="77" t="s">
        <v>104</v>
      </c>
      <c r="F649" s="77" t="s">
        <v>73</v>
      </c>
      <c r="G649" s="77" t="s">
        <v>74</v>
      </c>
      <c r="H649" s="77" t="s">
        <v>108</v>
      </c>
      <c r="I649" s="77" t="s">
        <v>84</v>
      </c>
      <c r="J649" s="76">
        <v>4.6076808959999996E-4</v>
      </c>
    </row>
    <row r="650" spans="1:10" x14ac:dyDescent="0.35">
      <c r="A650" t="s">
        <v>13</v>
      </c>
      <c r="B650" t="s">
        <v>35</v>
      </c>
      <c r="C650" s="77" t="s">
        <v>73</v>
      </c>
      <c r="D650" t="s">
        <v>81</v>
      </c>
      <c r="E650" s="77" t="s">
        <v>106</v>
      </c>
      <c r="F650" s="77" t="s">
        <v>73</v>
      </c>
      <c r="G650" s="77" t="s">
        <v>74</v>
      </c>
      <c r="H650" s="77" t="s">
        <v>108</v>
      </c>
      <c r="I650" s="77" t="s">
        <v>84</v>
      </c>
      <c r="J650" s="76">
        <v>1.5672383999999996E-3</v>
      </c>
    </row>
    <row r="651" spans="1:10" x14ac:dyDescent="0.35">
      <c r="A651" t="s">
        <v>13</v>
      </c>
      <c r="B651" t="s">
        <v>35</v>
      </c>
      <c r="C651" s="77" t="s">
        <v>88</v>
      </c>
      <c r="D651" t="s">
        <v>81</v>
      </c>
      <c r="E651" s="77" t="s">
        <v>118</v>
      </c>
      <c r="F651" s="77" t="s">
        <v>73</v>
      </c>
      <c r="G651" s="77" t="s">
        <v>74</v>
      </c>
      <c r="H651" s="77" t="s">
        <v>108</v>
      </c>
      <c r="I651" s="77" t="s">
        <v>84</v>
      </c>
      <c r="J651" s="76" cm="1">
        <f t="array" ref="J651:J653">'SUT_EU27 total'!$K$38:$K$40</f>
        <v>3.3029309855227888E-2</v>
      </c>
    </row>
    <row r="652" spans="1:10" x14ac:dyDescent="0.35">
      <c r="A652" t="s">
        <v>13</v>
      </c>
      <c r="B652" t="s">
        <v>35</v>
      </c>
      <c r="C652" s="77" t="s">
        <v>88</v>
      </c>
      <c r="D652" t="s">
        <v>81</v>
      </c>
      <c r="E652" s="77" t="s">
        <v>119</v>
      </c>
      <c r="F652" s="77" t="s">
        <v>73</v>
      </c>
      <c r="G652" s="77" t="s">
        <v>74</v>
      </c>
      <c r="H652" s="77" t="s">
        <v>108</v>
      </c>
      <c r="I652" s="77" t="s">
        <v>84</v>
      </c>
      <c r="J652" s="76">
        <v>6.9915569300335089E-3</v>
      </c>
    </row>
    <row r="653" spans="1:10" x14ac:dyDescent="0.35">
      <c r="A653" t="s">
        <v>13</v>
      </c>
      <c r="B653" t="s">
        <v>35</v>
      </c>
      <c r="C653" s="77" t="s">
        <v>88</v>
      </c>
      <c r="D653" t="s">
        <v>81</v>
      </c>
      <c r="E653" s="77" t="s">
        <v>120</v>
      </c>
      <c r="F653" s="77" t="s">
        <v>73</v>
      </c>
      <c r="G653" s="77" t="s">
        <v>74</v>
      </c>
      <c r="H653" s="77" t="s">
        <v>108</v>
      </c>
      <c r="I653" s="77" t="s">
        <v>84</v>
      </c>
      <c r="J653" s="76">
        <v>1.5283979779928203E-3</v>
      </c>
    </row>
    <row r="654" spans="1:10" x14ac:dyDescent="0.35">
      <c r="A654" t="s">
        <v>13</v>
      </c>
      <c r="B654" t="s">
        <v>35</v>
      </c>
      <c r="C654" s="77" t="s">
        <v>88</v>
      </c>
      <c r="D654" t="s">
        <v>81</v>
      </c>
      <c r="E654" s="77" t="s">
        <v>121</v>
      </c>
      <c r="F654" s="77" t="s">
        <v>73</v>
      </c>
      <c r="G654" s="77" t="s">
        <v>74</v>
      </c>
      <c r="H654" s="77" t="s">
        <v>108</v>
      </c>
      <c r="I654" s="77" t="s">
        <v>84</v>
      </c>
      <c r="J654" s="76">
        <f>'SUT_EU27 total'!$K$42</f>
        <v>0</v>
      </c>
    </row>
    <row r="655" spans="1:10" x14ac:dyDescent="0.35">
      <c r="A655" t="s">
        <v>13</v>
      </c>
      <c r="B655" t="s">
        <v>35</v>
      </c>
      <c r="C655" s="77" t="s">
        <v>88</v>
      </c>
      <c r="D655" t="s">
        <v>81</v>
      </c>
      <c r="E655" s="77" t="s">
        <v>117</v>
      </c>
      <c r="F655" s="77" t="s">
        <v>73</v>
      </c>
      <c r="G655" s="77" t="s">
        <v>74</v>
      </c>
      <c r="H655" s="77" t="s">
        <v>108</v>
      </c>
      <c r="I655" s="77" t="s">
        <v>84</v>
      </c>
      <c r="J655" s="76">
        <f>'SUT_EU27 total'!$K$44</f>
        <v>9.9090099874062521E-4</v>
      </c>
    </row>
    <row r="656" spans="1:10" x14ac:dyDescent="0.35">
      <c r="A656" t="s">
        <v>13</v>
      </c>
      <c r="B656" t="s">
        <v>35</v>
      </c>
      <c r="C656" s="77" t="s">
        <v>88</v>
      </c>
      <c r="D656" t="s">
        <v>81</v>
      </c>
      <c r="E656" s="77" t="s">
        <v>122</v>
      </c>
      <c r="F656" s="77" t="s">
        <v>73</v>
      </c>
      <c r="G656" s="77" t="s">
        <v>74</v>
      </c>
      <c r="H656" s="77" t="s">
        <v>108</v>
      </c>
      <c r="I656" s="77" t="s">
        <v>84</v>
      </c>
      <c r="J656" s="76">
        <f>'SUT_EU27 total'!$K$47</f>
        <v>0</v>
      </c>
    </row>
    <row r="657" spans="1:10" x14ac:dyDescent="0.35">
      <c r="A657" t="s">
        <v>13</v>
      </c>
      <c r="B657" t="s">
        <v>35</v>
      </c>
      <c r="C657" s="77" t="s">
        <v>88</v>
      </c>
      <c r="D657" t="s">
        <v>81</v>
      </c>
      <c r="E657" s="77" t="s">
        <v>101</v>
      </c>
      <c r="F657" s="77" t="s">
        <v>73</v>
      </c>
      <c r="G657" s="77" t="s">
        <v>74</v>
      </c>
      <c r="H657" s="77" t="s">
        <v>108</v>
      </c>
      <c r="I657" s="77" t="s">
        <v>84</v>
      </c>
      <c r="J657" s="76" cm="1">
        <f t="array" ref="J657:J659">'SUT_EU27 total'!$K$49:$K$51</f>
        <v>0</v>
      </c>
    </row>
    <row r="658" spans="1:10" x14ac:dyDescent="0.35">
      <c r="A658" t="s">
        <v>13</v>
      </c>
      <c r="B658" t="s">
        <v>35</v>
      </c>
      <c r="C658" s="77" t="s">
        <v>88</v>
      </c>
      <c r="D658" t="s">
        <v>81</v>
      </c>
      <c r="E658" s="77" t="s">
        <v>104</v>
      </c>
      <c r="F658" s="77" t="s">
        <v>73</v>
      </c>
      <c r="G658" s="77" t="s">
        <v>74</v>
      </c>
      <c r="H658" s="77" t="s">
        <v>108</v>
      </c>
      <c r="I658" s="77" t="s">
        <v>84</v>
      </c>
      <c r="J658" s="76">
        <v>0</v>
      </c>
    </row>
    <row r="659" spans="1:10" x14ac:dyDescent="0.35">
      <c r="A659" t="s">
        <v>13</v>
      </c>
      <c r="B659" t="s">
        <v>35</v>
      </c>
      <c r="C659" s="77" t="s">
        <v>88</v>
      </c>
      <c r="D659" t="s">
        <v>81</v>
      </c>
      <c r="E659" s="77" t="s">
        <v>106</v>
      </c>
      <c r="F659" s="77" t="s">
        <v>73</v>
      </c>
      <c r="G659" s="77" t="s">
        <v>74</v>
      </c>
      <c r="H659" s="77" t="s">
        <v>108</v>
      </c>
      <c r="I659" s="77" t="s">
        <v>84</v>
      </c>
      <c r="J659" s="76">
        <v>0</v>
      </c>
    </row>
    <row r="660" spans="1:10" x14ac:dyDescent="0.35">
      <c r="A660" t="s">
        <v>13</v>
      </c>
      <c r="B660" t="s">
        <v>35</v>
      </c>
      <c r="C660" s="77" t="s">
        <v>90</v>
      </c>
      <c r="D660" t="s">
        <v>81</v>
      </c>
      <c r="E660" s="77" t="s">
        <v>118</v>
      </c>
      <c r="F660" s="77" t="s">
        <v>73</v>
      </c>
      <c r="G660" s="77" t="s">
        <v>74</v>
      </c>
      <c r="H660" s="77" t="s">
        <v>108</v>
      </c>
      <c r="I660" s="77" t="s">
        <v>84</v>
      </c>
      <c r="J660" s="76" cm="1">
        <f t="array" ref="J660:J662">'SUT_EU27 total'!$K$55:$K$57</f>
        <v>4.323194595174263E-3</v>
      </c>
    </row>
    <row r="661" spans="1:10" x14ac:dyDescent="0.35">
      <c r="A661" t="s">
        <v>13</v>
      </c>
      <c r="B661" t="s">
        <v>35</v>
      </c>
      <c r="C661" s="77" t="s">
        <v>90</v>
      </c>
      <c r="D661" t="s">
        <v>81</v>
      </c>
      <c r="E661" s="77" t="s">
        <v>119</v>
      </c>
      <c r="F661" s="77" t="s">
        <v>73</v>
      </c>
      <c r="G661" s="77" t="s">
        <v>74</v>
      </c>
      <c r="H661" s="77" t="s">
        <v>108</v>
      </c>
      <c r="I661" s="77" t="s">
        <v>84</v>
      </c>
      <c r="J661" s="76">
        <v>1.2800331672655335E-3</v>
      </c>
    </row>
    <row r="662" spans="1:10" x14ac:dyDescent="0.35">
      <c r="A662" t="s">
        <v>13</v>
      </c>
      <c r="B662" t="s">
        <v>35</v>
      </c>
      <c r="C662" s="77" t="s">
        <v>90</v>
      </c>
      <c r="D662" t="s">
        <v>81</v>
      </c>
      <c r="E662" s="77" t="s">
        <v>120</v>
      </c>
      <c r="F662" s="77" t="s">
        <v>73</v>
      </c>
      <c r="G662" s="77" t="s">
        <v>74</v>
      </c>
      <c r="H662" s="77" t="s">
        <v>108</v>
      </c>
      <c r="I662" s="77" t="s">
        <v>84</v>
      </c>
      <c r="J662" s="76">
        <v>5.6700291220540041E-3</v>
      </c>
    </row>
    <row r="663" spans="1:10" x14ac:dyDescent="0.35">
      <c r="A663" t="s">
        <v>13</v>
      </c>
      <c r="B663" t="s">
        <v>35</v>
      </c>
      <c r="C663" s="77" t="s">
        <v>90</v>
      </c>
      <c r="D663" t="s">
        <v>81</v>
      </c>
      <c r="E663" s="77" t="s">
        <v>121</v>
      </c>
      <c r="F663" s="77" t="s">
        <v>73</v>
      </c>
      <c r="G663" s="77" t="s">
        <v>74</v>
      </c>
      <c r="H663" s="77" t="s">
        <v>108</v>
      </c>
      <c r="I663" s="77" t="s">
        <v>84</v>
      </c>
      <c r="J663" s="76">
        <f>'SUT_EU27 total'!$K$59</f>
        <v>0</v>
      </c>
    </row>
    <row r="664" spans="1:10" x14ac:dyDescent="0.35">
      <c r="A664" t="s">
        <v>13</v>
      </c>
      <c r="B664" t="s">
        <v>35</v>
      </c>
      <c r="C664" s="77" t="s">
        <v>90</v>
      </c>
      <c r="D664" t="s">
        <v>81</v>
      </c>
      <c r="E664" s="77" t="s">
        <v>117</v>
      </c>
      <c r="F664" s="77" t="s">
        <v>73</v>
      </c>
      <c r="G664" s="77" t="s">
        <v>74</v>
      </c>
      <c r="H664" s="77" t="s">
        <v>108</v>
      </c>
      <c r="I664" s="77" t="s">
        <v>84</v>
      </c>
      <c r="J664" s="76">
        <f>'SUT_EU27 total'!$K$61</f>
        <v>1.1930979242119881E-3</v>
      </c>
    </row>
    <row r="665" spans="1:10" x14ac:dyDescent="0.35">
      <c r="A665" t="s">
        <v>13</v>
      </c>
      <c r="B665" t="s">
        <v>35</v>
      </c>
      <c r="C665" s="77" t="s">
        <v>90</v>
      </c>
      <c r="D665" t="s">
        <v>81</v>
      </c>
      <c r="E665" s="77" t="s">
        <v>122</v>
      </c>
      <c r="F665" s="77" t="s">
        <v>73</v>
      </c>
      <c r="G665" s="77" t="s">
        <v>74</v>
      </c>
      <c r="H665" s="77" t="s">
        <v>108</v>
      </c>
      <c r="I665" s="77" t="s">
        <v>84</v>
      </c>
      <c r="J665" s="76">
        <f>'SUT_EU27 total'!$K$64</f>
        <v>2.5776238002378116E-3</v>
      </c>
    </row>
    <row r="666" spans="1:10" x14ac:dyDescent="0.35">
      <c r="A666" t="s">
        <v>13</v>
      </c>
      <c r="B666" t="s">
        <v>35</v>
      </c>
      <c r="C666" s="77" t="s">
        <v>90</v>
      </c>
      <c r="D666" t="s">
        <v>81</v>
      </c>
      <c r="E666" s="77" t="s">
        <v>101</v>
      </c>
      <c r="F666" s="77" t="s">
        <v>73</v>
      </c>
      <c r="G666" s="77" t="s">
        <v>74</v>
      </c>
      <c r="H666" s="77" t="s">
        <v>108</v>
      </c>
      <c r="I666" s="77" t="s">
        <v>84</v>
      </c>
      <c r="J666" s="76" cm="1">
        <f t="array" ref="J666:J668">'SUT_EU27 total'!$K$66:$K$68</f>
        <v>0</v>
      </c>
    </row>
    <row r="667" spans="1:10" x14ac:dyDescent="0.35">
      <c r="A667" t="s">
        <v>13</v>
      </c>
      <c r="B667" t="s">
        <v>35</v>
      </c>
      <c r="C667" s="77" t="s">
        <v>90</v>
      </c>
      <c r="D667" t="s">
        <v>81</v>
      </c>
      <c r="E667" s="77" t="s">
        <v>104</v>
      </c>
      <c r="F667" s="77" t="s">
        <v>73</v>
      </c>
      <c r="G667" s="77" t="s">
        <v>74</v>
      </c>
      <c r="H667" s="77" t="s">
        <v>108</v>
      </c>
      <c r="I667" s="77" t="s">
        <v>84</v>
      </c>
      <c r="J667" s="76">
        <v>0</v>
      </c>
    </row>
    <row r="668" spans="1:10" x14ac:dyDescent="0.35">
      <c r="A668" t="s">
        <v>13</v>
      </c>
      <c r="B668" t="s">
        <v>35</v>
      </c>
      <c r="C668" s="77" t="s">
        <v>90</v>
      </c>
      <c r="D668" t="s">
        <v>81</v>
      </c>
      <c r="E668" s="77" t="s">
        <v>106</v>
      </c>
      <c r="F668" s="77" t="s">
        <v>73</v>
      </c>
      <c r="G668" s="77" t="s">
        <v>74</v>
      </c>
      <c r="H668" s="77" t="s">
        <v>108</v>
      </c>
      <c r="I668" s="77" t="s">
        <v>84</v>
      </c>
      <c r="J668" s="76">
        <v>0</v>
      </c>
    </row>
    <row r="669" spans="1:10" x14ac:dyDescent="0.35">
      <c r="A669" t="s">
        <v>13</v>
      </c>
      <c r="B669" t="s">
        <v>35</v>
      </c>
      <c r="C669" s="77" t="s">
        <v>91</v>
      </c>
      <c r="D669" t="s">
        <v>81</v>
      </c>
      <c r="E669" s="77" t="s">
        <v>118</v>
      </c>
      <c r="F669" s="77" t="s">
        <v>73</v>
      </c>
      <c r="G669" s="77" t="s">
        <v>74</v>
      </c>
      <c r="H669" s="77" t="s">
        <v>108</v>
      </c>
      <c r="I669" s="77" t="s">
        <v>84</v>
      </c>
      <c r="J669" s="76" cm="1">
        <f t="array" ref="J669:J671">'SUT_EU27 total'!$K$72:$K$74</f>
        <v>5.3791732332439677E-3</v>
      </c>
    </row>
    <row r="670" spans="1:10" x14ac:dyDescent="0.35">
      <c r="A670" t="s">
        <v>13</v>
      </c>
      <c r="B670" t="s">
        <v>35</v>
      </c>
      <c r="C670" s="77" t="s">
        <v>91</v>
      </c>
      <c r="D670" t="s">
        <v>81</v>
      </c>
      <c r="E670" s="77" t="s">
        <v>119</v>
      </c>
      <c r="F670" s="77" t="s">
        <v>73</v>
      </c>
      <c r="G670" s="77" t="s">
        <v>74</v>
      </c>
      <c r="H670" s="77" t="s">
        <v>108</v>
      </c>
      <c r="I670" s="77" t="s">
        <v>84</v>
      </c>
      <c r="J670" s="76">
        <v>6.5526133182607291E-3</v>
      </c>
    </row>
    <row r="671" spans="1:10" x14ac:dyDescent="0.35">
      <c r="A671" t="s">
        <v>13</v>
      </c>
      <c r="B671" t="s">
        <v>35</v>
      </c>
      <c r="C671" s="77" t="s">
        <v>91</v>
      </c>
      <c r="D671" t="s">
        <v>81</v>
      </c>
      <c r="E671" s="77" t="s">
        <v>120</v>
      </c>
      <c r="F671" s="77" t="s">
        <v>73</v>
      </c>
      <c r="G671" s="77" t="s">
        <v>74</v>
      </c>
      <c r="H671" s="77" t="s">
        <v>108</v>
      </c>
      <c r="I671" s="77" t="s">
        <v>84</v>
      </c>
      <c r="J671" s="76">
        <v>2.464950959887623E-4</v>
      </c>
    </row>
    <row r="672" spans="1:10" x14ac:dyDescent="0.35">
      <c r="A672" t="s">
        <v>13</v>
      </c>
      <c r="B672" t="s">
        <v>35</v>
      </c>
      <c r="C672" s="77" t="s">
        <v>91</v>
      </c>
      <c r="D672" t="s">
        <v>81</v>
      </c>
      <c r="E672" s="77" t="s">
        <v>121</v>
      </c>
      <c r="F672" s="77" t="s">
        <v>73</v>
      </c>
      <c r="G672" s="77" t="s">
        <v>74</v>
      </c>
      <c r="H672" s="77" t="s">
        <v>108</v>
      </c>
      <c r="I672" s="77" t="s">
        <v>84</v>
      </c>
      <c r="J672" s="76">
        <f>'SUT_EU27 total'!$K$76</f>
        <v>0</v>
      </c>
    </row>
    <row r="673" spans="1:10" x14ac:dyDescent="0.35">
      <c r="A673" t="s">
        <v>13</v>
      </c>
      <c r="B673" t="s">
        <v>35</v>
      </c>
      <c r="C673" s="77" t="s">
        <v>91</v>
      </c>
      <c r="D673" t="s">
        <v>81</v>
      </c>
      <c r="E673" s="77" t="s">
        <v>117</v>
      </c>
      <c r="F673" s="77" t="s">
        <v>73</v>
      </c>
      <c r="G673" s="77" t="s">
        <v>74</v>
      </c>
      <c r="H673" s="77" t="s">
        <v>108</v>
      </c>
      <c r="I673" s="77" t="s">
        <v>84</v>
      </c>
      <c r="J673" s="76">
        <f>'SUT_EU27 total'!$K$78</f>
        <v>1.1485683451306521E-3</v>
      </c>
    </row>
    <row r="674" spans="1:10" x14ac:dyDescent="0.35">
      <c r="A674" t="s">
        <v>13</v>
      </c>
      <c r="B674" t="s">
        <v>35</v>
      </c>
      <c r="C674" s="77" t="s">
        <v>91</v>
      </c>
      <c r="D674" t="s">
        <v>81</v>
      </c>
      <c r="E674" s="77" t="s">
        <v>122</v>
      </c>
      <c r="F674" s="77" t="s">
        <v>73</v>
      </c>
      <c r="G674" s="77" t="s">
        <v>74</v>
      </c>
      <c r="H674" s="77" t="s">
        <v>108</v>
      </c>
      <c r="I674" s="77" t="s">
        <v>84</v>
      </c>
      <c r="J674" s="76">
        <f>'SUT_EU27 total'!$K$81</f>
        <v>0</v>
      </c>
    </row>
    <row r="675" spans="1:10" x14ac:dyDescent="0.35">
      <c r="A675" t="s">
        <v>13</v>
      </c>
      <c r="B675" t="s">
        <v>35</v>
      </c>
      <c r="C675" s="77" t="s">
        <v>91</v>
      </c>
      <c r="D675" t="s">
        <v>81</v>
      </c>
      <c r="E675" s="77" t="s">
        <v>101</v>
      </c>
      <c r="F675" s="77" t="s">
        <v>73</v>
      </c>
      <c r="G675" s="77" t="s">
        <v>74</v>
      </c>
      <c r="H675" s="77" t="s">
        <v>108</v>
      </c>
      <c r="I675" s="77" t="s">
        <v>84</v>
      </c>
      <c r="J675" s="76" cm="1">
        <f t="array" ref="J675:J677">'SUT_EU27 total'!$K$83:$K$85</f>
        <v>0</v>
      </c>
    </row>
    <row r="676" spans="1:10" x14ac:dyDescent="0.35">
      <c r="A676" t="s">
        <v>13</v>
      </c>
      <c r="B676" t="s">
        <v>35</v>
      </c>
      <c r="C676" s="77" t="s">
        <v>91</v>
      </c>
      <c r="D676" t="s">
        <v>81</v>
      </c>
      <c r="E676" s="77" t="s">
        <v>104</v>
      </c>
      <c r="F676" s="77" t="s">
        <v>73</v>
      </c>
      <c r="G676" s="77" t="s">
        <v>74</v>
      </c>
      <c r="H676" s="77" t="s">
        <v>108</v>
      </c>
      <c r="I676" s="77" t="s">
        <v>84</v>
      </c>
      <c r="J676" s="76">
        <v>0</v>
      </c>
    </row>
    <row r="677" spans="1:10" x14ac:dyDescent="0.35">
      <c r="A677" t="s">
        <v>13</v>
      </c>
      <c r="B677" t="s">
        <v>35</v>
      </c>
      <c r="C677" s="77" t="s">
        <v>91</v>
      </c>
      <c r="D677" t="s">
        <v>81</v>
      </c>
      <c r="E677" s="77" t="s">
        <v>106</v>
      </c>
      <c r="F677" s="77" t="s">
        <v>73</v>
      </c>
      <c r="G677" s="77" t="s">
        <v>74</v>
      </c>
      <c r="H677" s="77" t="s">
        <v>108</v>
      </c>
      <c r="I677" s="77" t="s">
        <v>84</v>
      </c>
      <c r="J677" s="76">
        <v>0</v>
      </c>
    </row>
    <row r="678" spans="1:10" x14ac:dyDescent="0.35">
      <c r="A678" t="s">
        <v>13</v>
      </c>
      <c r="B678" t="s">
        <v>35</v>
      </c>
      <c r="C678" s="77" t="s">
        <v>92</v>
      </c>
      <c r="D678" t="s">
        <v>81</v>
      </c>
      <c r="E678" s="77" t="s">
        <v>118</v>
      </c>
      <c r="F678" s="77" t="s">
        <v>73</v>
      </c>
      <c r="G678" s="77" t="s">
        <v>74</v>
      </c>
      <c r="H678" s="77" t="s">
        <v>108</v>
      </c>
      <c r="I678" s="77" t="s">
        <v>84</v>
      </c>
      <c r="J678" s="76" cm="1">
        <f t="array" ref="J678:J680">'SUT_EU27 total'!$K$89:$K$91</f>
        <v>3.3497344343163542E-3</v>
      </c>
    </row>
    <row r="679" spans="1:10" x14ac:dyDescent="0.35">
      <c r="A679" t="s">
        <v>13</v>
      </c>
      <c r="B679" t="s">
        <v>35</v>
      </c>
      <c r="C679" s="77" t="s">
        <v>92</v>
      </c>
      <c r="D679" t="s">
        <v>81</v>
      </c>
      <c r="E679" s="77" t="s">
        <v>119</v>
      </c>
      <c r="F679" s="77" t="s">
        <v>73</v>
      </c>
      <c r="G679" s="77" t="s">
        <v>74</v>
      </c>
      <c r="H679" s="77" t="s">
        <v>108</v>
      </c>
      <c r="I679" s="77" t="s">
        <v>84</v>
      </c>
      <c r="J679" s="76">
        <v>6.0269323460777589E-3</v>
      </c>
    </row>
    <row r="680" spans="1:10" x14ac:dyDescent="0.35">
      <c r="A680" t="s">
        <v>13</v>
      </c>
      <c r="B680" t="s">
        <v>35</v>
      </c>
      <c r="C680" s="77" t="s">
        <v>92</v>
      </c>
      <c r="D680" t="s">
        <v>81</v>
      </c>
      <c r="E680" s="77" t="s">
        <v>120</v>
      </c>
      <c r="F680" s="77" t="s">
        <v>73</v>
      </c>
      <c r="G680" s="77" t="s">
        <v>74</v>
      </c>
      <c r="H680" s="77" t="s">
        <v>108</v>
      </c>
      <c r="I680" s="77" t="s">
        <v>84</v>
      </c>
      <c r="J680" s="76">
        <v>4.0947713992508196E-3</v>
      </c>
    </row>
    <row r="681" spans="1:10" x14ac:dyDescent="0.35">
      <c r="A681" t="s">
        <v>13</v>
      </c>
      <c r="B681" t="s">
        <v>35</v>
      </c>
      <c r="C681" s="77" t="s">
        <v>92</v>
      </c>
      <c r="D681" t="s">
        <v>81</v>
      </c>
      <c r="E681" s="77" t="s">
        <v>121</v>
      </c>
      <c r="F681" s="77" t="s">
        <v>73</v>
      </c>
      <c r="G681" s="77" t="s">
        <v>74</v>
      </c>
      <c r="H681" s="77" t="s">
        <v>108</v>
      </c>
      <c r="I681" s="77" t="s">
        <v>84</v>
      </c>
      <c r="J681" s="76">
        <f>'SUT_EU27 total'!$K$93</f>
        <v>0</v>
      </c>
    </row>
    <row r="682" spans="1:10" x14ac:dyDescent="0.35">
      <c r="A682" t="s">
        <v>13</v>
      </c>
      <c r="B682" t="s">
        <v>35</v>
      </c>
      <c r="C682" s="77" t="s">
        <v>92</v>
      </c>
      <c r="D682" t="s">
        <v>81</v>
      </c>
      <c r="E682" s="77" t="s">
        <v>117</v>
      </c>
      <c r="F682" s="77" t="s">
        <v>73</v>
      </c>
      <c r="G682" s="77" t="s">
        <v>74</v>
      </c>
      <c r="H682" s="77" t="s">
        <v>108</v>
      </c>
      <c r="I682" s="77" t="s">
        <v>84</v>
      </c>
      <c r="J682" s="76">
        <f>'SUT_EU27 total'!$K$95</f>
        <v>0</v>
      </c>
    </row>
    <row r="683" spans="1:10" x14ac:dyDescent="0.35">
      <c r="A683" t="s">
        <v>13</v>
      </c>
      <c r="B683" t="s">
        <v>35</v>
      </c>
      <c r="C683" s="77" t="s">
        <v>92</v>
      </c>
      <c r="D683" t="s">
        <v>81</v>
      </c>
      <c r="E683" s="77" t="s">
        <v>122</v>
      </c>
      <c r="F683" s="77" t="s">
        <v>73</v>
      </c>
      <c r="G683" s="77" t="s">
        <v>74</v>
      </c>
      <c r="H683" s="77" t="s">
        <v>108</v>
      </c>
      <c r="I683" s="77" t="s">
        <v>84</v>
      </c>
      <c r="J683" s="76">
        <f>'SUT_EU27 total'!$K$98</f>
        <v>0</v>
      </c>
    </row>
    <row r="684" spans="1:10" x14ac:dyDescent="0.35">
      <c r="A684" t="s">
        <v>13</v>
      </c>
      <c r="B684" t="s">
        <v>35</v>
      </c>
      <c r="C684" s="77" t="s">
        <v>92</v>
      </c>
      <c r="D684" t="s">
        <v>81</v>
      </c>
      <c r="E684" s="77" t="s">
        <v>101</v>
      </c>
      <c r="F684" s="77" t="s">
        <v>73</v>
      </c>
      <c r="G684" s="77" t="s">
        <v>74</v>
      </c>
      <c r="H684" s="77" t="s">
        <v>108</v>
      </c>
      <c r="I684" s="77" t="s">
        <v>84</v>
      </c>
      <c r="J684" s="76" cm="1">
        <f t="array" ref="J684:J686">'SUT_EU27 total'!$K$100:$K$102</f>
        <v>0</v>
      </c>
    </row>
    <row r="685" spans="1:10" x14ac:dyDescent="0.35">
      <c r="A685" t="s">
        <v>13</v>
      </c>
      <c r="B685" t="s">
        <v>35</v>
      </c>
      <c r="C685" s="77" t="s">
        <v>92</v>
      </c>
      <c r="D685" t="s">
        <v>81</v>
      </c>
      <c r="E685" s="77" t="s">
        <v>104</v>
      </c>
      <c r="F685" s="77" t="s">
        <v>73</v>
      </c>
      <c r="G685" s="77" t="s">
        <v>74</v>
      </c>
      <c r="H685" s="77" t="s">
        <v>108</v>
      </c>
      <c r="I685" s="77" t="s">
        <v>84</v>
      </c>
      <c r="J685" s="76">
        <v>0</v>
      </c>
    </row>
    <row r="686" spans="1:10" x14ac:dyDescent="0.35">
      <c r="A686" t="s">
        <v>13</v>
      </c>
      <c r="B686" t="s">
        <v>35</v>
      </c>
      <c r="C686" s="77" t="s">
        <v>92</v>
      </c>
      <c r="D686" t="s">
        <v>81</v>
      </c>
      <c r="E686" s="77" t="s">
        <v>106</v>
      </c>
      <c r="F686" s="77" t="s">
        <v>73</v>
      </c>
      <c r="G686" s="77" t="s">
        <v>74</v>
      </c>
      <c r="H686" s="77" t="s">
        <v>108</v>
      </c>
      <c r="I686" s="77" t="s">
        <v>84</v>
      </c>
      <c r="J686" s="76">
        <v>0</v>
      </c>
    </row>
    <row r="687" spans="1:10" x14ac:dyDescent="0.35">
      <c r="A687" t="s">
        <v>13</v>
      </c>
      <c r="B687" t="s">
        <v>35</v>
      </c>
      <c r="C687" s="77" t="s">
        <v>93</v>
      </c>
      <c r="D687" t="s">
        <v>81</v>
      </c>
      <c r="E687" s="77" t="s">
        <v>118</v>
      </c>
      <c r="F687" s="77" t="s">
        <v>73</v>
      </c>
      <c r="G687" s="77" t="s">
        <v>74</v>
      </c>
      <c r="H687" s="77" t="s">
        <v>108</v>
      </c>
      <c r="I687" s="77" t="s">
        <v>84</v>
      </c>
      <c r="J687" s="76" cm="1">
        <f t="array" ref="J687:J689">'SUT_EU27 total'!$K$106:$K$108</f>
        <v>1.4980971667560324E-2</v>
      </c>
    </row>
    <row r="688" spans="1:10" x14ac:dyDescent="0.35">
      <c r="A688" t="s">
        <v>13</v>
      </c>
      <c r="B688" t="s">
        <v>35</v>
      </c>
      <c r="C688" s="77" t="s">
        <v>93</v>
      </c>
      <c r="D688" t="s">
        <v>81</v>
      </c>
      <c r="E688" s="77" t="s">
        <v>119</v>
      </c>
      <c r="F688" s="77" t="s">
        <v>73</v>
      </c>
      <c r="G688" s="77" t="s">
        <v>74</v>
      </c>
      <c r="H688" s="77" t="s">
        <v>108</v>
      </c>
      <c r="I688" s="77" t="s">
        <v>84</v>
      </c>
      <c r="J688" s="76">
        <v>4.3405477873147885E-2</v>
      </c>
    </row>
    <row r="689" spans="1:10" x14ac:dyDescent="0.35">
      <c r="A689" t="s">
        <v>13</v>
      </c>
      <c r="B689" t="s">
        <v>35</v>
      </c>
      <c r="C689" s="77" t="s">
        <v>93</v>
      </c>
      <c r="D689" t="s">
        <v>81</v>
      </c>
      <c r="E689" s="77" t="s">
        <v>120</v>
      </c>
      <c r="F689" s="77" t="s">
        <v>73</v>
      </c>
      <c r="G689" s="77" t="s">
        <v>74</v>
      </c>
      <c r="H689" s="77" t="s">
        <v>108</v>
      </c>
      <c r="I689" s="77" t="s">
        <v>84</v>
      </c>
      <c r="J689" s="76">
        <v>2.1237093113781802E-2</v>
      </c>
    </row>
    <row r="690" spans="1:10" x14ac:dyDescent="0.35">
      <c r="A690" t="s">
        <v>13</v>
      </c>
      <c r="B690" t="s">
        <v>35</v>
      </c>
      <c r="C690" s="77" t="s">
        <v>93</v>
      </c>
      <c r="D690" t="s">
        <v>81</v>
      </c>
      <c r="E690" s="77" t="s">
        <v>121</v>
      </c>
      <c r="F690" s="77" t="s">
        <v>73</v>
      </c>
      <c r="G690" s="77" t="s">
        <v>74</v>
      </c>
      <c r="H690" s="77" t="s">
        <v>108</v>
      </c>
      <c r="I690" s="77" t="s">
        <v>84</v>
      </c>
      <c r="J690" s="76">
        <f>'SUT_EU27 total'!$K$110</f>
        <v>0</v>
      </c>
    </row>
    <row r="691" spans="1:10" x14ac:dyDescent="0.35">
      <c r="A691" t="s">
        <v>13</v>
      </c>
      <c r="B691" t="s">
        <v>35</v>
      </c>
      <c r="C691" s="77" t="s">
        <v>93</v>
      </c>
      <c r="D691" t="s">
        <v>81</v>
      </c>
      <c r="E691" s="77" t="s">
        <v>117</v>
      </c>
      <c r="F691" s="77" t="s">
        <v>73</v>
      </c>
      <c r="G691" s="77" t="s">
        <v>74</v>
      </c>
      <c r="H691" s="77" t="s">
        <v>108</v>
      </c>
      <c r="I691" s="77" t="s">
        <v>84</v>
      </c>
      <c r="J691" s="76">
        <f>'SUT_EU27 total'!$K$112</f>
        <v>1.1930984723440377E-3</v>
      </c>
    </row>
    <row r="692" spans="1:10" x14ac:dyDescent="0.35">
      <c r="A692" t="s">
        <v>13</v>
      </c>
      <c r="B692" t="s">
        <v>35</v>
      </c>
      <c r="C692" s="77" t="s">
        <v>93</v>
      </c>
      <c r="D692" t="s">
        <v>81</v>
      </c>
      <c r="E692" s="77" t="s">
        <v>122</v>
      </c>
      <c r="F692" s="77" t="s">
        <v>73</v>
      </c>
      <c r="G692" s="77" t="s">
        <v>74</v>
      </c>
      <c r="H692" s="77" t="s">
        <v>108</v>
      </c>
      <c r="I692" s="77" t="s">
        <v>84</v>
      </c>
      <c r="J692" s="76">
        <f>'SUT_EU27 total'!$K$115</f>
        <v>8.7987828585017833E-3</v>
      </c>
    </row>
    <row r="693" spans="1:10" x14ac:dyDescent="0.35">
      <c r="A693" t="s">
        <v>13</v>
      </c>
      <c r="B693" t="s">
        <v>35</v>
      </c>
      <c r="C693" s="77" t="s">
        <v>93</v>
      </c>
      <c r="D693" t="s">
        <v>81</v>
      </c>
      <c r="E693" s="77" t="s">
        <v>101</v>
      </c>
      <c r="F693" s="77" t="s">
        <v>73</v>
      </c>
      <c r="G693" s="77" t="s">
        <v>74</v>
      </c>
      <c r="H693" s="77" t="s">
        <v>108</v>
      </c>
      <c r="I693" s="77" t="s">
        <v>84</v>
      </c>
      <c r="J693" s="76" cm="1">
        <f t="array" ref="J693:J695">'SUT_EU27 total'!$K$117:$K$119</f>
        <v>0</v>
      </c>
    </row>
    <row r="694" spans="1:10" x14ac:dyDescent="0.35">
      <c r="A694" t="s">
        <v>13</v>
      </c>
      <c r="B694" t="s">
        <v>35</v>
      </c>
      <c r="C694" s="77" t="s">
        <v>93</v>
      </c>
      <c r="D694" t="s">
        <v>81</v>
      </c>
      <c r="E694" s="77" t="s">
        <v>104</v>
      </c>
      <c r="F694" s="77" t="s">
        <v>73</v>
      </c>
      <c r="G694" s="77" t="s">
        <v>74</v>
      </c>
      <c r="H694" s="77" t="s">
        <v>108</v>
      </c>
      <c r="I694" s="77" t="s">
        <v>84</v>
      </c>
      <c r="J694" s="76">
        <v>0</v>
      </c>
    </row>
    <row r="695" spans="1:10" x14ac:dyDescent="0.35">
      <c r="A695" t="s">
        <v>13</v>
      </c>
      <c r="B695" t="s">
        <v>35</v>
      </c>
      <c r="C695" s="77" t="s">
        <v>93</v>
      </c>
      <c r="D695" t="s">
        <v>81</v>
      </c>
      <c r="E695" s="77" t="s">
        <v>106</v>
      </c>
      <c r="F695" s="77" t="s">
        <v>73</v>
      </c>
      <c r="G695" s="77" t="s">
        <v>74</v>
      </c>
      <c r="H695" s="77" t="s">
        <v>108</v>
      </c>
      <c r="I695" s="77" t="s">
        <v>84</v>
      </c>
      <c r="J695" s="76">
        <v>0</v>
      </c>
    </row>
    <row r="696" spans="1:10" x14ac:dyDescent="0.35">
      <c r="A696" t="s">
        <v>13</v>
      </c>
      <c r="B696" t="s">
        <v>35</v>
      </c>
      <c r="C696" s="77" t="s">
        <v>73</v>
      </c>
      <c r="D696" t="s">
        <v>81</v>
      </c>
      <c r="E696" s="77" t="s">
        <v>119</v>
      </c>
      <c r="F696" s="77" t="s">
        <v>73</v>
      </c>
      <c r="G696" s="77" t="s">
        <v>74</v>
      </c>
      <c r="H696" s="77" t="s">
        <v>123</v>
      </c>
      <c r="I696" s="77" t="s">
        <v>84</v>
      </c>
      <c r="J696" s="76">
        <f>'SUT_EU27 total'!$L$22</f>
        <v>1.9500181678711294E-2</v>
      </c>
    </row>
    <row r="697" spans="1:10" x14ac:dyDescent="0.35">
      <c r="A697" t="s">
        <v>13</v>
      </c>
      <c r="B697" t="s">
        <v>35</v>
      </c>
      <c r="C697" s="77" t="s">
        <v>73</v>
      </c>
      <c r="D697" t="s">
        <v>81</v>
      </c>
      <c r="E697" s="77" t="s">
        <v>124</v>
      </c>
      <c r="F697" s="77" t="s">
        <v>73</v>
      </c>
      <c r="G697" s="77" t="s">
        <v>74</v>
      </c>
      <c r="H697" s="77" t="s">
        <v>123</v>
      </c>
      <c r="I697" s="77" t="s">
        <v>84</v>
      </c>
      <c r="J697" s="76" cm="1">
        <f t="array" ref="J697:J705">'SUT_EU27 total'!$L$26:$L$34</f>
        <v>1.9404661061278542E-3</v>
      </c>
    </row>
    <row r="698" spans="1:10" x14ac:dyDescent="0.35">
      <c r="A698" t="s">
        <v>13</v>
      </c>
      <c r="B698" t="s">
        <v>35</v>
      </c>
      <c r="C698" s="77" t="s">
        <v>73</v>
      </c>
      <c r="D698" t="s">
        <v>81</v>
      </c>
      <c r="E698" s="77" t="s">
        <v>117</v>
      </c>
      <c r="F698" s="77" t="s">
        <v>73</v>
      </c>
      <c r="G698" s="77" t="s">
        <v>74</v>
      </c>
      <c r="H698" s="77" t="s">
        <v>123</v>
      </c>
      <c r="I698" s="77" t="s">
        <v>84</v>
      </c>
      <c r="J698" s="76">
        <v>5.8423628191201782E-3</v>
      </c>
    </row>
    <row r="699" spans="1:10" x14ac:dyDescent="0.35">
      <c r="A699" t="s">
        <v>13</v>
      </c>
      <c r="B699" t="s">
        <v>35</v>
      </c>
      <c r="C699" s="77" t="s">
        <v>73</v>
      </c>
      <c r="D699" t="s">
        <v>81</v>
      </c>
      <c r="E699" s="77" t="s">
        <v>82</v>
      </c>
      <c r="F699" s="77" t="s">
        <v>73</v>
      </c>
      <c r="G699" s="77" t="s">
        <v>74</v>
      </c>
      <c r="H699" s="77" t="s">
        <v>123</v>
      </c>
      <c r="I699" s="77" t="s">
        <v>84</v>
      </c>
      <c r="J699" s="76">
        <v>4.8981233243967828E-4</v>
      </c>
    </row>
    <row r="700" spans="1:10" x14ac:dyDescent="0.35">
      <c r="A700" t="s">
        <v>13</v>
      </c>
      <c r="B700" t="s">
        <v>35</v>
      </c>
      <c r="C700" s="77" t="s">
        <v>73</v>
      </c>
      <c r="D700" t="s">
        <v>81</v>
      </c>
      <c r="E700" s="77" t="s">
        <v>125</v>
      </c>
      <c r="F700" s="77" t="s">
        <v>73</v>
      </c>
      <c r="G700" s="77" t="s">
        <v>74</v>
      </c>
      <c r="H700" s="77" t="s">
        <v>123</v>
      </c>
      <c r="I700" s="77" t="s">
        <v>84</v>
      </c>
      <c r="J700" s="76">
        <v>2.4658201215687387E-3</v>
      </c>
    </row>
    <row r="701" spans="1:10" x14ac:dyDescent="0.35">
      <c r="A701" t="s">
        <v>13</v>
      </c>
      <c r="B701" t="s">
        <v>35</v>
      </c>
      <c r="C701" s="77" t="s">
        <v>73</v>
      </c>
      <c r="D701" t="s">
        <v>81</v>
      </c>
      <c r="E701" s="77" t="s">
        <v>122</v>
      </c>
      <c r="F701" s="77" t="s">
        <v>73</v>
      </c>
      <c r="G701" s="77" t="s">
        <v>74</v>
      </c>
      <c r="H701" s="77" t="s">
        <v>123</v>
      </c>
      <c r="I701" s="77" t="s">
        <v>84</v>
      </c>
      <c r="J701" s="76">
        <v>4.922711058263972E-4</v>
      </c>
    </row>
    <row r="702" spans="1:10" x14ac:dyDescent="0.35">
      <c r="A702" t="s">
        <v>13</v>
      </c>
      <c r="B702" t="s">
        <v>35</v>
      </c>
      <c r="C702" s="77" t="s">
        <v>73</v>
      </c>
      <c r="D702" t="s">
        <v>81</v>
      </c>
      <c r="E702" s="77" t="s">
        <v>126</v>
      </c>
      <c r="F702" s="77" t="s">
        <v>73</v>
      </c>
      <c r="G702" s="77" t="s">
        <v>74</v>
      </c>
      <c r="H702" s="77" t="s">
        <v>123</v>
      </c>
      <c r="I702" s="77" t="s">
        <v>84</v>
      </c>
      <c r="J702" s="76">
        <v>0</v>
      </c>
    </row>
    <row r="703" spans="1:10" x14ac:dyDescent="0.35">
      <c r="A703" t="s">
        <v>13</v>
      </c>
      <c r="B703" t="s">
        <v>35</v>
      </c>
      <c r="C703" s="77" t="s">
        <v>73</v>
      </c>
      <c r="D703" t="s">
        <v>81</v>
      </c>
      <c r="E703" s="77" t="s">
        <v>101</v>
      </c>
      <c r="F703" s="77" t="s">
        <v>73</v>
      </c>
      <c r="G703" s="77" t="s">
        <v>74</v>
      </c>
      <c r="H703" s="77" t="s">
        <v>123</v>
      </c>
      <c r="I703" s="77" t="s">
        <v>84</v>
      </c>
      <c r="J703" s="76">
        <v>3.7860913795851507E-4</v>
      </c>
    </row>
    <row r="704" spans="1:10" x14ac:dyDescent="0.35">
      <c r="A704" t="s">
        <v>13</v>
      </c>
      <c r="B704" t="s">
        <v>35</v>
      </c>
      <c r="C704" s="77" t="s">
        <v>73</v>
      </c>
      <c r="D704" t="s">
        <v>81</v>
      </c>
      <c r="E704" s="77" t="s">
        <v>104</v>
      </c>
      <c r="F704" s="77" t="s">
        <v>73</v>
      </c>
      <c r="G704" s="77" t="s">
        <v>74</v>
      </c>
      <c r="H704" s="77" t="s">
        <v>123</v>
      </c>
      <c r="I704" s="77" t="s">
        <v>84</v>
      </c>
      <c r="J704" s="76">
        <v>7.1686251377883477E-4</v>
      </c>
    </row>
    <row r="705" spans="1:10" x14ac:dyDescent="0.35">
      <c r="A705" t="s">
        <v>13</v>
      </c>
      <c r="B705" t="s">
        <v>35</v>
      </c>
      <c r="C705" s="77" t="s">
        <v>73</v>
      </c>
      <c r="D705" t="s">
        <v>81</v>
      </c>
      <c r="E705" s="77" t="s">
        <v>106</v>
      </c>
      <c r="F705" s="77" t="s">
        <v>73</v>
      </c>
      <c r="G705" s="77" t="s">
        <v>74</v>
      </c>
      <c r="H705" s="77" t="s">
        <v>123</v>
      </c>
      <c r="I705" s="77" t="s">
        <v>84</v>
      </c>
      <c r="J705" s="76">
        <v>2.438307869996036E-3</v>
      </c>
    </row>
    <row r="706" spans="1:10" x14ac:dyDescent="0.35">
      <c r="A706" t="s">
        <v>13</v>
      </c>
      <c r="B706" t="s">
        <v>35</v>
      </c>
      <c r="C706" s="77" t="s">
        <v>88</v>
      </c>
      <c r="D706" t="s">
        <v>81</v>
      </c>
      <c r="E706" s="77" t="s">
        <v>119</v>
      </c>
      <c r="F706" s="77" t="s">
        <v>73</v>
      </c>
      <c r="G706" s="77" t="s">
        <v>74</v>
      </c>
      <c r="H706" s="77" t="s">
        <v>123</v>
      </c>
      <c r="I706" s="77" t="s">
        <v>84</v>
      </c>
      <c r="J706" s="76">
        <f>'SUT_EU27 total'!$L$39</f>
        <v>0.16108845734587587</v>
      </c>
    </row>
    <row r="707" spans="1:10" x14ac:dyDescent="0.35">
      <c r="A707" t="s">
        <v>13</v>
      </c>
      <c r="B707" t="s">
        <v>35</v>
      </c>
      <c r="C707" s="77" t="s">
        <v>88</v>
      </c>
      <c r="D707" t="s">
        <v>81</v>
      </c>
      <c r="E707" s="77" t="s">
        <v>124</v>
      </c>
      <c r="F707" s="77" t="s">
        <v>73</v>
      </c>
      <c r="G707" s="77" t="s">
        <v>74</v>
      </c>
      <c r="H707" s="77" t="s">
        <v>123</v>
      </c>
      <c r="I707" s="77" t="s">
        <v>84</v>
      </c>
      <c r="J707" s="76" cm="1">
        <f t="array" ref="J707:J715">'SUT_EU27 total'!$M$43:$M$51</f>
        <v>5.0558836222750793E-4</v>
      </c>
    </row>
    <row r="708" spans="1:10" x14ac:dyDescent="0.35">
      <c r="A708" t="s">
        <v>13</v>
      </c>
      <c r="B708" t="s">
        <v>35</v>
      </c>
      <c r="C708" s="77" t="s">
        <v>88</v>
      </c>
      <c r="D708" t="s">
        <v>81</v>
      </c>
      <c r="E708" s="77" t="s">
        <v>117</v>
      </c>
      <c r="F708" s="77" t="s">
        <v>73</v>
      </c>
      <c r="G708" s="77" t="s">
        <v>74</v>
      </c>
      <c r="H708" s="77" t="s">
        <v>123</v>
      </c>
      <c r="I708" s="77" t="s">
        <v>84</v>
      </c>
      <c r="J708" s="76">
        <v>4.8514464106651379E-3</v>
      </c>
    </row>
    <row r="709" spans="1:10" x14ac:dyDescent="0.35">
      <c r="A709" t="s">
        <v>13</v>
      </c>
      <c r="B709" t="s">
        <v>35</v>
      </c>
      <c r="C709" s="77" t="s">
        <v>88</v>
      </c>
      <c r="D709" t="s">
        <v>81</v>
      </c>
      <c r="E709" s="77" t="s">
        <v>82</v>
      </c>
      <c r="F709" s="77" t="s">
        <v>73</v>
      </c>
      <c r="G709" s="77" t="s">
        <v>74</v>
      </c>
      <c r="H709" s="77" t="s">
        <v>123</v>
      </c>
      <c r="I709" s="77" t="s">
        <v>84</v>
      </c>
      <c r="J709" s="76">
        <v>1.109418436791091E-2</v>
      </c>
    </row>
    <row r="710" spans="1:10" x14ac:dyDescent="0.35">
      <c r="A710" t="s">
        <v>13</v>
      </c>
      <c r="B710" t="s">
        <v>35</v>
      </c>
      <c r="C710" s="77" t="s">
        <v>88</v>
      </c>
      <c r="D710" t="s">
        <v>81</v>
      </c>
      <c r="E710" s="77" t="s">
        <v>125</v>
      </c>
      <c r="F710" s="77" t="s">
        <v>73</v>
      </c>
      <c r="G710" s="77" t="s">
        <v>74</v>
      </c>
      <c r="H710" s="77" t="s">
        <v>123</v>
      </c>
      <c r="I710" s="77" t="s">
        <v>84</v>
      </c>
      <c r="J710" s="76">
        <v>2.890870278990243E-5</v>
      </c>
    </row>
    <row r="711" spans="1:10" x14ac:dyDescent="0.35">
      <c r="A711" t="s">
        <v>13</v>
      </c>
      <c r="B711" t="s">
        <v>35</v>
      </c>
      <c r="C711" s="77" t="s">
        <v>88</v>
      </c>
      <c r="D711" t="s">
        <v>81</v>
      </c>
      <c r="E711" s="77" t="s">
        <v>122</v>
      </c>
      <c r="F711" s="77" t="s">
        <v>73</v>
      </c>
      <c r="G711" s="77" t="s">
        <v>74</v>
      </c>
      <c r="H711" s="77" t="s">
        <v>123</v>
      </c>
      <c r="I711" s="77" t="s">
        <v>84</v>
      </c>
      <c r="J711" s="76">
        <v>0</v>
      </c>
    </row>
    <row r="712" spans="1:10" x14ac:dyDescent="0.35">
      <c r="A712" t="s">
        <v>13</v>
      </c>
      <c r="B712" t="s">
        <v>35</v>
      </c>
      <c r="C712" s="77" t="s">
        <v>88</v>
      </c>
      <c r="D712" t="s">
        <v>81</v>
      </c>
      <c r="E712" s="77" t="s">
        <v>126</v>
      </c>
      <c r="F712" s="77" t="s">
        <v>73</v>
      </c>
      <c r="G712" s="77" t="s">
        <v>74</v>
      </c>
      <c r="H712" s="77" t="s">
        <v>123</v>
      </c>
      <c r="I712" s="77" t="s">
        <v>84</v>
      </c>
      <c r="J712" s="76">
        <v>2.8514320987501449E-3</v>
      </c>
    </row>
    <row r="713" spans="1:10" x14ac:dyDescent="0.35">
      <c r="A713" t="s">
        <v>13</v>
      </c>
      <c r="B713" t="s">
        <v>35</v>
      </c>
      <c r="C713" s="77" t="s">
        <v>88</v>
      </c>
      <c r="D713" t="s">
        <v>81</v>
      </c>
      <c r="E713" s="77" t="s">
        <v>101</v>
      </c>
      <c r="F713" s="77" t="s">
        <v>73</v>
      </c>
      <c r="G713" s="77" t="s">
        <v>74</v>
      </c>
      <c r="H713" s="77" t="s">
        <v>123</v>
      </c>
      <c r="I713" s="77" t="s">
        <v>84</v>
      </c>
      <c r="J713" s="76">
        <v>0</v>
      </c>
    </row>
    <row r="714" spans="1:10" x14ac:dyDescent="0.35">
      <c r="A714" t="s">
        <v>13</v>
      </c>
      <c r="B714" t="s">
        <v>35</v>
      </c>
      <c r="C714" s="77" t="s">
        <v>88</v>
      </c>
      <c r="D714" t="s">
        <v>81</v>
      </c>
      <c r="E714" s="77" t="s">
        <v>104</v>
      </c>
      <c r="F714" s="77" t="s">
        <v>73</v>
      </c>
      <c r="G714" s="77" t="s">
        <v>74</v>
      </c>
      <c r="H714" s="77" t="s">
        <v>123</v>
      </c>
      <c r="I714" s="77" t="s">
        <v>84</v>
      </c>
      <c r="J714" s="76">
        <v>0</v>
      </c>
    </row>
    <row r="715" spans="1:10" x14ac:dyDescent="0.35">
      <c r="A715" t="s">
        <v>13</v>
      </c>
      <c r="B715" t="s">
        <v>35</v>
      </c>
      <c r="C715" s="77" t="s">
        <v>88</v>
      </c>
      <c r="D715" t="s">
        <v>81</v>
      </c>
      <c r="E715" s="77" t="s">
        <v>106</v>
      </c>
      <c r="F715" s="77" t="s">
        <v>73</v>
      </c>
      <c r="G715" s="77" t="s">
        <v>74</v>
      </c>
      <c r="H715" s="77" t="s">
        <v>123</v>
      </c>
      <c r="I715" s="77" t="s">
        <v>84</v>
      </c>
      <c r="J715" s="76">
        <v>0</v>
      </c>
    </row>
    <row r="716" spans="1:10" x14ac:dyDescent="0.35">
      <c r="A716" t="s">
        <v>13</v>
      </c>
      <c r="B716" t="s">
        <v>35</v>
      </c>
      <c r="C716" s="77" t="s">
        <v>90</v>
      </c>
      <c r="D716" t="s">
        <v>81</v>
      </c>
      <c r="E716" s="77" t="s">
        <v>119</v>
      </c>
      <c r="F716" s="77" t="s">
        <v>73</v>
      </c>
      <c r="G716" s="77" t="s">
        <v>74</v>
      </c>
      <c r="H716" s="77" t="s">
        <v>123</v>
      </c>
      <c r="I716" s="77" t="s">
        <v>84</v>
      </c>
      <c r="J716" s="76">
        <f>'SUT_EU27 total'!$M$56</f>
        <v>2.949251079979006E-2</v>
      </c>
    </row>
    <row r="717" spans="1:10" x14ac:dyDescent="0.35">
      <c r="A717" t="s">
        <v>13</v>
      </c>
      <c r="B717" t="s">
        <v>35</v>
      </c>
      <c r="C717" s="77" t="s">
        <v>90</v>
      </c>
      <c r="D717" t="s">
        <v>81</v>
      </c>
      <c r="E717" s="77" t="s">
        <v>124</v>
      </c>
      <c r="F717" s="77" t="s">
        <v>73</v>
      </c>
      <c r="G717" s="77" t="s">
        <v>74</v>
      </c>
      <c r="H717" s="77" t="s">
        <v>123</v>
      </c>
      <c r="I717" s="77" t="s">
        <v>84</v>
      </c>
      <c r="J717" s="76" cm="1">
        <f t="array" ref="J717:J725">'SUT_EU27 total'!$L$60:$L$68</f>
        <v>2.1047443073980527E-5</v>
      </c>
    </row>
    <row r="718" spans="1:10" x14ac:dyDescent="0.35">
      <c r="A718" t="s">
        <v>13</v>
      </c>
      <c r="B718" t="s">
        <v>35</v>
      </c>
      <c r="C718" s="77" t="s">
        <v>90</v>
      </c>
      <c r="D718" t="s">
        <v>81</v>
      </c>
      <c r="E718" s="77" t="s">
        <v>117</v>
      </c>
      <c r="F718" s="77" t="s">
        <v>73</v>
      </c>
      <c r="G718" s="77" t="s">
        <v>74</v>
      </c>
      <c r="H718" s="77" t="s">
        <v>123</v>
      </c>
      <c r="I718" s="77" t="s">
        <v>84</v>
      </c>
      <c r="J718" s="76">
        <v>5.8414015621608938E-3</v>
      </c>
    </row>
    <row r="719" spans="1:10" x14ac:dyDescent="0.35">
      <c r="A719" t="s">
        <v>13</v>
      </c>
      <c r="B719" t="s">
        <v>35</v>
      </c>
      <c r="C719" s="77" t="s">
        <v>90</v>
      </c>
      <c r="D719" t="s">
        <v>81</v>
      </c>
      <c r="E719" s="77" t="s">
        <v>82</v>
      </c>
      <c r="F719" s="77" t="s">
        <v>73</v>
      </c>
      <c r="G719" s="77" t="s">
        <v>74</v>
      </c>
      <c r="H719" s="77" t="s">
        <v>123</v>
      </c>
      <c r="I719" s="77" t="s">
        <v>84</v>
      </c>
      <c r="J719" s="76">
        <v>1.4521138379047227E-3</v>
      </c>
    </row>
    <row r="720" spans="1:10" x14ac:dyDescent="0.35">
      <c r="A720" t="s">
        <v>13</v>
      </c>
      <c r="B720" t="s">
        <v>35</v>
      </c>
      <c r="C720" s="77" t="s">
        <v>90</v>
      </c>
      <c r="D720" t="s">
        <v>81</v>
      </c>
      <c r="E720" s="77" t="s">
        <v>125</v>
      </c>
      <c r="F720" s="77" t="s">
        <v>73</v>
      </c>
      <c r="G720" s="77" t="s">
        <v>74</v>
      </c>
      <c r="H720" s="77" t="s">
        <v>123</v>
      </c>
      <c r="I720" s="77" t="s">
        <v>84</v>
      </c>
      <c r="J720" s="76">
        <v>6.5130870114372285E-5</v>
      </c>
    </row>
    <row r="721" spans="1:10" x14ac:dyDescent="0.35">
      <c r="A721" t="s">
        <v>13</v>
      </c>
      <c r="B721" t="s">
        <v>35</v>
      </c>
      <c r="C721" s="77" t="s">
        <v>90</v>
      </c>
      <c r="D721" t="s">
        <v>81</v>
      </c>
      <c r="E721" s="77" t="s">
        <v>122</v>
      </c>
      <c r="F721" s="77" t="s">
        <v>73</v>
      </c>
      <c r="G721" s="77" t="s">
        <v>74</v>
      </c>
      <c r="H721" s="77" t="s">
        <v>123</v>
      </c>
      <c r="I721" s="77" t="s">
        <v>84</v>
      </c>
      <c r="J721" s="76">
        <v>7.9476813317479189E-4</v>
      </c>
    </row>
    <row r="722" spans="1:10" x14ac:dyDescent="0.35">
      <c r="A722" t="s">
        <v>13</v>
      </c>
      <c r="B722" t="s">
        <v>35</v>
      </c>
      <c r="C722" s="77" t="s">
        <v>90</v>
      </c>
      <c r="D722" t="s">
        <v>81</v>
      </c>
      <c r="E722" s="77" t="s">
        <v>126</v>
      </c>
      <c r="F722" s="77" t="s">
        <v>73</v>
      </c>
      <c r="G722" s="77" t="s">
        <v>74</v>
      </c>
      <c r="H722" s="77" t="s">
        <v>123</v>
      </c>
      <c r="I722" s="77" t="s">
        <v>84</v>
      </c>
      <c r="J722" s="76">
        <v>8.4821183458843076E-3</v>
      </c>
    </row>
    <row r="723" spans="1:10" x14ac:dyDescent="0.35">
      <c r="A723" t="s">
        <v>13</v>
      </c>
      <c r="B723" t="s">
        <v>35</v>
      </c>
      <c r="C723" s="77" t="s">
        <v>90</v>
      </c>
      <c r="D723" t="s">
        <v>81</v>
      </c>
      <c r="E723" s="77" t="s">
        <v>101</v>
      </c>
      <c r="F723" s="77" t="s">
        <v>73</v>
      </c>
      <c r="G723" s="77" t="s">
        <v>74</v>
      </c>
      <c r="H723" s="77" t="s">
        <v>123</v>
      </c>
      <c r="I723" s="77" t="s">
        <v>84</v>
      </c>
      <c r="J723" s="76">
        <v>0</v>
      </c>
    </row>
    <row r="724" spans="1:10" x14ac:dyDescent="0.35">
      <c r="A724" t="s">
        <v>13</v>
      </c>
      <c r="B724" t="s">
        <v>35</v>
      </c>
      <c r="C724" s="77" t="s">
        <v>90</v>
      </c>
      <c r="D724" t="s">
        <v>81</v>
      </c>
      <c r="E724" s="77" t="s">
        <v>104</v>
      </c>
      <c r="F724" s="77" t="s">
        <v>73</v>
      </c>
      <c r="G724" s="77" t="s">
        <v>74</v>
      </c>
      <c r="H724" s="77" t="s">
        <v>123</v>
      </c>
      <c r="I724" s="77" t="s">
        <v>84</v>
      </c>
      <c r="J724" s="76">
        <v>0</v>
      </c>
    </row>
    <row r="725" spans="1:10" x14ac:dyDescent="0.35">
      <c r="A725" t="s">
        <v>13</v>
      </c>
      <c r="B725" t="s">
        <v>35</v>
      </c>
      <c r="C725" s="77" t="s">
        <v>90</v>
      </c>
      <c r="D725" t="s">
        <v>81</v>
      </c>
      <c r="E725" s="77" t="s">
        <v>106</v>
      </c>
      <c r="F725" s="77" t="s">
        <v>73</v>
      </c>
      <c r="G725" s="77" t="s">
        <v>74</v>
      </c>
      <c r="H725" s="77" t="s">
        <v>123</v>
      </c>
      <c r="I725" s="77" t="s">
        <v>84</v>
      </c>
      <c r="J725" s="76">
        <v>0</v>
      </c>
    </row>
    <row r="726" spans="1:10" x14ac:dyDescent="0.35">
      <c r="A726" t="s">
        <v>13</v>
      </c>
      <c r="B726" t="s">
        <v>35</v>
      </c>
      <c r="C726" s="77" t="s">
        <v>91</v>
      </c>
      <c r="D726" t="s">
        <v>81</v>
      </c>
      <c r="E726" s="77" t="s">
        <v>119</v>
      </c>
      <c r="F726" s="77" t="s">
        <v>73</v>
      </c>
      <c r="G726" s="77" t="s">
        <v>74</v>
      </c>
      <c r="H726" s="77" t="s">
        <v>123</v>
      </c>
      <c r="I726" s="77" t="s">
        <v>84</v>
      </c>
      <c r="J726" s="76">
        <f>'SUT_EU27 total'!$L$73</f>
        <v>0.15097500908393557</v>
      </c>
    </row>
    <row r="727" spans="1:10" x14ac:dyDescent="0.35">
      <c r="A727" t="s">
        <v>13</v>
      </c>
      <c r="B727" t="s">
        <v>35</v>
      </c>
      <c r="C727" s="77" t="s">
        <v>91</v>
      </c>
      <c r="D727" t="s">
        <v>81</v>
      </c>
      <c r="E727" s="77" t="s">
        <v>124</v>
      </c>
      <c r="F727" s="77" t="s">
        <v>73</v>
      </c>
      <c r="G727" s="77" t="s">
        <v>74</v>
      </c>
      <c r="H727" s="77" t="s">
        <v>123</v>
      </c>
      <c r="I727" s="77" t="s">
        <v>84</v>
      </c>
      <c r="J727" s="76" cm="1">
        <f t="array" ref="J727:J735">'SUT_EU27 total'!$L$77:$L$85</f>
        <v>6.7728942399646885E-5</v>
      </c>
    </row>
    <row r="728" spans="1:10" x14ac:dyDescent="0.35">
      <c r="A728" t="s">
        <v>13</v>
      </c>
      <c r="B728" t="s">
        <v>35</v>
      </c>
      <c r="C728" s="77" t="s">
        <v>91</v>
      </c>
      <c r="D728" t="s">
        <v>81</v>
      </c>
      <c r="E728" s="77" t="s">
        <v>117</v>
      </c>
      <c r="F728" s="77" t="s">
        <v>73</v>
      </c>
      <c r="G728" s="77" t="s">
        <v>74</v>
      </c>
      <c r="H728" s="77" t="s">
        <v>123</v>
      </c>
      <c r="I728" s="77" t="s">
        <v>84</v>
      </c>
      <c r="J728" s="76">
        <v>5.6233849622410815E-3</v>
      </c>
    </row>
    <row r="729" spans="1:10" x14ac:dyDescent="0.35">
      <c r="A729" t="s">
        <v>13</v>
      </c>
      <c r="B729" t="s">
        <v>35</v>
      </c>
      <c r="C729" s="77" t="s">
        <v>91</v>
      </c>
      <c r="D729" t="s">
        <v>81</v>
      </c>
      <c r="E729" s="77" t="s">
        <v>82</v>
      </c>
      <c r="F729" s="77" t="s">
        <v>73</v>
      </c>
      <c r="G729" s="77" t="s">
        <v>74</v>
      </c>
      <c r="H729" s="77" t="s">
        <v>123</v>
      </c>
      <c r="I729" s="77" t="s">
        <v>84</v>
      </c>
      <c r="J729" s="76">
        <v>1.8068055269127655E-3</v>
      </c>
    </row>
    <row r="730" spans="1:10" x14ac:dyDescent="0.35">
      <c r="A730" t="s">
        <v>13</v>
      </c>
      <c r="B730" t="s">
        <v>35</v>
      </c>
      <c r="C730" s="77" t="s">
        <v>91</v>
      </c>
      <c r="D730" t="s">
        <v>81</v>
      </c>
      <c r="E730" s="77" t="s">
        <v>125</v>
      </c>
      <c r="F730" s="77" t="s">
        <v>73</v>
      </c>
      <c r="G730" s="77" t="s">
        <v>74</v>
      </c>
      <c r="H730" s="77" t="s">
        <v>123</v>
      </c>
      <c r="I730" s="77" t="s">
        <v>84</v>
      </c>
      <c r="J730" s="76">
        <v>5.6492118062760293E-6</v>
      </c>
    </row>
    <row r="731" spans="1:10" x14ac:dyDescent="0.35">
      <c r="A731" t="s">
        <v>13</v>
      </c>
      <c r="B731" t="s">
        <v>35</v>
      </c>
      <c r="C731" s="77" t="s">
        <v>91</v>
      </c>
      <c r="D731" t="s">
        <v>81</v>
      </c>
      <c r="E731" s="77" t="s">
        <v>122</v>
      </c>
      <c r="F731" s="77" t="s">
        <v>73</v>
      </c>
      <c r="G731" s="77" t="s">
        <v>74</v>
      </c>
      <c r="H731" s="77" t="s">
        <v>123</v>
      </c>
      <c r="I731" s="77" t="s">
        <v>84</v>
      </c>
      <c r="J731" s="76">
        <v>0</v>
      </c>
    </row>
    <row r="732" spans="1:10" x14ac:dyDescent="0.35">
      <c r="A732" t="s">
        <v>13</v>
      </c>
      <c r="B732" t="s">
        <v>35</v>
      </c>
      <c r="C732" s="77" t="s">
        <v>91</v>
      </c>
      <c r="D732" t="s">
        <v>81</v>
      </c>
      <c r="E732" s="77" t="s">
        <v>126</v>
      </c>
      <c r="F732" s="77" t="s">
        <v>73</v>
      </c>
      <c r="G732" s="77" t="s">
        <v>74</v>
      </c>
      <c r="H732" s="77" t="s">
        <v>123</v>
      </c>
      <c r="I732" s="77" t="s">
        <v>84</v>
      </c>
      <c r="J732" s="76">
        <v>8.1093795177776388E-4</v>
      </c>
    </row>
    <row r="733" spans="1:10" x14ac:dyDescent="0.35">
      <c r="A733" t="s">
        <v>13</v>
      </c>
      <c r="B733" t="s">
        <v>35</v>
      </c>
      <c r="C733" s="77" t="s">
        <v>91</v>
      </c>
      <c r="D733" t="s">
        <v>81</v>
      </c>
      <c r="E733" s="77" t="s">
        <v>101</v>
      </c>
      <c r="F733" s="77" t="s">
        <v>73</v>
      </c>
      <c r="G733" s="77" t="s">
        <v>74</v>
      </c>
      <c r="H733" s="77" t="s">
        <v>123</v>
      </c>
      <c r="I733" s="77" t="s">
        <v>84</v>
      </c>
      <c r="J733" s="76">
        <v>0</v>
      </c>
    </row>
    <row r="734" spans="1:10" x14ac:dyDescent="0.35">
      <c r="A734" t="s">
        <v>13</v>
      </c>
      <c r="B734" t="s">
        <v>35</v>
      </c>
      <c r="C734" s="77" t="s">
        <v>91</v>
      </c>
      <c r="D734" t="s">
        <v>81</v>
      </c>
      <c r="E734" s="77" t="s">
        <v>104</v>
      </c>
      <c r="F734" s="77" t="s">
        <v>73</v>
      </c>
      <c r="G734" s="77" t="s">
        <v>74</v>
      </c>
      <c r="H734" s="77" t="s">
        <v>123</v>
      </c>
      <c r="I734" s="77" t="s">
        <v>84</v>
      </c>
      <c r="J734" s="76">
        <v>0</v>
      </c>
    </row>
    <row r="735" spans="1:10" x14ac:dyDescent="0.35">
      <c r="A735" t="s">
        <v>13</v>
      </c>
      <c r="B735" t="s">
        <v>35</v>
      </c>
      <c r="C735" s="77" t="s">
        <v>91</v>
      </c>
      <c r="D735" t="s">
        <v>81</v>
      </c>
      <c r="E735" s="77" t="s">
        <v>106</v>
      </c>
      <c r="F735" s="77" t="s">
        <v>73</v>
      </c>
      <c r="G735" s="77" t="s">
        <v>74</v>
      </c>
      <c r="H735" s="77" t="s">
        <v>123</v>
      </c>
      <c r="I735" s="77" t="s">
        <v>84</v>
      </c>
      <c r="J735" s="76">
        <v>0</v>
      </c>
    </row>
    <row r="736" spans="1:10" x14ac:dyDescent="0.35">
      <c r="A736" t="s">
        <v>13</v>
      </c>
      <c r="B736" t="s">
        <v>35</v>
      </c>
      <c r="C736" s="77" t="s">
        <v>92</v>
      </c>
      <c r="D736" t="s">
        <v>81</v>
      </c>
      <c r="E736" s="77" t="s">
        <v>119</v>
      </c>
      <c r="F736" s="77" t="s">
        <v>73</v>
      </c>
      <c r="G736" s="77" t="s">
        <v>74</v>
      </c>
      <c r="H736" s="77" t="s">
        <v>123</v>
      </c>
      <c r="I736" s="77" t="s">
        <v>84</v>
      </c>
      <c r="J736" s="76">
        <f>'SUT_EU27 total'!$L$90</f>
        <v>0.13886309499777949</v>
      </c>
    </row>
    <row r="737" spans="1:10" x14ac:dyDescent="0.35">
      <c r="A737" t="s">
        <v>13</v>
      </c>
      <c r="B737" t="s">
        <v>35</v>
      </c>
      <c r="C737" s="77" t="s">
        <v>92</v>
      </c>
      <c r="D737" t="s">
        <v>81</v>
      </c>
      <c r="E737" s="77" t="s">
        <v>124</v>
      </c>
      <c r="F737" s="77" t="s">
        <v>73</v>
      </c>
      <c r="G737" s="77" t="s">
        <v>74</v>
      </c>
      <c r="H737" s="77" t="s">
        <v>123</v>
      </c>
      <c r="I737" s="77" t="s">
        <v>84</v>
      </c>
      <c r="J737" s="76" cm="1">
        <f t="array" ref="J737:J745">'SUT_EU27 total'!$L$94:$L$102</f>
        <v>9.2968907089085616E-5</v>
      </c>
    </row>
    <row r="738" spans="1:10" x14ac:dyDescent="0.35">
      <c r="A738" t="s">
        <v>13</v>
      </c>
      <c r="B738" t="s">
        <v>35</v>
      </c>
      <c r="C738" s="77" t="s">
        <v>92</v>
      </c>
      <c r="D738" t="s">
        <v>81</v>
      </c>
      <c r="E738" s="77" t="s">
        <v>117</v>
      </c>
      <c r="F738" s="77" t="s">
        <v>73</v>
      </c>
      <c r="G738" s="77" t="s">
        <v>74</v>
      </c>
      <c r="H738" s="77" t="s">
        <v>123</v>
      </c>
      <c r="I738" s="77" t="s">
        <v>84</v>
      </c>
      <c r="J738" s="76">
        <v>0</v>
      </c>
    </row>
    <row r="739" spans="1:10" x14ac:dyDescent="0.35">
      <c r="A739" t="s">
        <v>13</v>
      </c>
      <c r="B739" t="s">
        <v>35</v>
      </c>
      <c r="C739" s="77" t="s">
        <v>92</v>
      </c>
      <c r="D739" t="s">
        <v>81</v>
      </c>
      <c r="E739" s="77" t="s">
        <v>82</v>
      </c>
      <c r="F739" s="77" t="s">
        <v>73</v>
      </c>
      <c r="G739" s="77" t="s">
        <v>74</v>
      </c>
      <c r="H739" s="77" t="s">
        <v>123</v>
      </c>
      <c r="I739" s="77" t="s">
        <v>84</v>
      </c>
      <c r="J739" s="76">
        <v>1.1251392039595793E-3</v>
      </c>
    </row>
    <row r="740" spans="1:10" x14ac:dyDescent="0.35">
      <c r="A740" t="s">
        <v>13</v>
      </c>
      <c r="B740" t="s">
        <v>35</v>
      </c>
      <c r="C740" s="77" t="s">
        <v>92</v>
      </c>
      <c r="D740" t="s">
        <v>81</v>
      </c>
      <c r="E740" s="77" t="s">
        <v>125</v>
      </c>
      <c r="F740" s="77" t="s">
        <v>73</v>
      </c>
      <c r="G740" s="77" t="s">
        <v>74</v>
      </c>
      <c r="H740" s="77" t="s">
        <v>123</v>
      </c>
      <c r="I740" s="77" t="s">
        <v>84</v>
      </c>
      <c r="J740" s="76">
        <v>5.0048817841215026E-7</v>
      </c>
    </row>
    <row r="741" spans="1:10" x14ac:dyDescent="0.35">
      <c r="A741" t="s">
        <v>13</v>
      </c>
      <c r="B741" t="s">
        <v>35</v>
      </c>
      <c r="C741" s="77" t="s">
        <v>92</v>
      </c>
      <c r="D741" t="s">
        <v>81</v>
      </c>
      <c r="E741" s="77" t="s">
        <v>122</v>
      </c>
      <c r="F741" s="77" t="s">
        <v>73</v>
      </c>
      <c r="G741" s="77" t="s">
        <v>74</v>
      </c>
      <c r="H741" s="77" t="s">
        <v>123</v>
      </c>
      <c r="I741" s="77" t="s">
        <v>84</v>
      </c>
      <c r="J741" s="76">
        <v>0</v>
      </c>
    </row>
    <row r="742" spans="1:10" x14ac:dyDescent="0.35">
      <c r="A742" t="s">
        <v>13</v>
      </c>
      <c r="B742" t="s">
        <v>35</v>
      </c>
      <c r="C742" s="77" t="s">
        <v>92</v>
      </c>
      <c r="D742" t="s">
        <v>81</v>
      </c>
      <c r="E742" s="77" t="s">
        <v>126</v>
      </c>
      <c r="F742" s="77" t="s">
        <v>73</v>
      </c>
      <c r="G742" s="77" t="s">
        <v>74</v>
      </c>
      <c r="H742" s="77" t="s">
        <v>123</v>
      </c>
      <c r="I742" s="77" t="s">
        <v>84</v>
      </c>
      <c r="J742" s="76">
        <v>0</v>
      </c>
    </row>
    <row r="743" spans="1:10" x14ac:dyDescent="0.35">
      <c r="A743" t="s">
        <v>13</v>
      </c>
      <c r="B743" t="s">
        <v>35</v>
      </c>
      <c r="C743" s="77" t="s">
        <v>92</v>
      </c>
      <c r="D743" t="s">
        <v>81</v>
      </c>
      <c r="E743" s="77" t="s">
        <v>101</v>
      </c>
      <c r="F743" s="77" t="s">
        <v>73</v>
      </c>
      <c r="G743" s="77" t="s">
        <v>74</v>
      </c>
      <c r="H743" s="77" t="s">
        <v>123</v>
      </c>
      <c r="I743" s="77" t="s">
        <v>84</v>
      </c>
      <c r="J743" s="76">
        <v>0</v>
      </c>
    </row>
    <row r="744" spans="1:10" x14ac:dyDescent="0.35">
      <c r="A744" t="s">
        <v>13</v>
      </c>
      <c r="B744" t="s">
        <v>35</v>
      </c>
      <c r="C744" s="77" t="s">
        <v>92</v>
      </c>
      <c r="D744" t="s">
        <v>81</v>
      </c>
      <c r="E744" s="77" t="s">
        <v>104</v>
      </c>
      <c r="F744" s="77" t="s">
        <v>73</v>
      </c>
      <c r="G744" s="77" t="s">
        <v>74</v>
      </c>
      <c r="H744" s="77" t="s">
        <v>123</v>
      </c>
      <c r="I744" s="77" t="s">
        <v>84</v>
      </c>
      <c r="J744" s="76">
        <v>0</v>
      </c>
    </row>
    <row r="745" spans="1:10" x14ac:dyDescent="0.35">
      <c r="A745" t="s">
        <v>13</v>
      </c>
      <c r="B745" t="s">
        <v>35</v>
      </c>
      <c r="C745" s="77" t="s">
        <v>92</v>
      </c>
      <c r="D745" t="s">
        <v>81</v>
      </c>
      <c r="E745" s="77" t="s">
        <v>106</v>
      </c>
      <c r="F745" s="77" t="s">
        <v>73</v>
      </c>
      <c r="G745" s="77" t="s">
        <v>74</v>
      </c>
      <c r="H745" s="77" t="s">
        <v>123</v>
      </c>
      <c r="I745" s="77" t="s">
        <v>84</v>
      </c>
      <c r="J745" s="76">
        <v>0</v>
      </c>
    </row>
    <row r="746" spans="1:10" x14ac:dyDescent="0.35">
      <c r="A746" t="s">
        <v>13</v>
      </c>
      <c r="B746" t="s">
        <v>35</v>
      </c>
      <c r="C746" s="77" t="s">
        <v>93</v>
      </c>
      <c r="D746" t="s">
        <v>81</v>
      </c>
      <c r="E746" s="77" t="s">
        <v>119</v>
      </c>
      <c r="F746" s="77" t="s">
        <v>73</v>
      </c>
      <c r="G746" s="77" t="s">
        <v>74</v>
      </c>
      <c r="H746" s="77" t="s">
        <v>123</v>
      </c>
      <c r="I746" s="77" t="s">
        <v>84</v>
      </c>
      <c r="J746" s="76">
        <f>'SUT_EU27 total'!$L$107</f>
        <v>1.0000807460939076</v>
      </c>
    </row>
    <row r="747" spans="1:10" x14ac:dyDescent="0.35">
      <c r="A747" t="s">
        <v>13</v>
      </c>
      <c r="B747" t="s">
        <v>35</v>
      </c>
      <c r="C747" s="77" t="s">
        <v>93</v>
      </c>
      <c r="D747" t="s">
        <v>81</v>
      </c>
      <c r="E747" s="77" t="s">
        <v>124</v>
      </c>
      <c r="F747" s="77" t="s">
        <v>73</v>
      </c>
      <c r="G747" s="77" t="s">
        <v>74</v>
      </c>
      <c r="H747" s="77" t="s">
        <v>123</v>
      </c>
      <c r="I747" s="77" t="s">
        <v>84</v>
      </c>
      <c r="J747" s="76" cm="1">
        <f t="array" ref="J747:J755">'SUT_EU27 total'!$L$111:$L$119</f>
        <v>3.7052409430862396E-4</v>
      </c>
    </row>
    <row r="748" spans="1:10" x14ac:dyDescent="0.35">
      <c r="A748" t="s">
        <v>13</v>
      </c>
      <c r="B748" t="s">
        <v>35</v>
      </c>
      <c r="C748" s="77" t="s">
        <v>93</v>
      </c>
      <c r="D748" t="s">
        <v>81</v>
      </c>
      <c r="E748" s="77" t="s">
        <v>117</v>
      </c>
      <c r="F748" s="77" t="s">
        <v>73</v>
      </c>
      <c r="G748" s="77" t="s">
        <v>74</v>
      </c>
      <c r="H748" s="77" t="s">
        <v>123</v>
      </c>
      <c r="I748" s="77" t="s">
        <v>84</v>
      </c>
      <c r="J748" s="76">
        <v>5.8414042458127093E-3</v>
      </c>
    </row>
    <row r="749" spans="1:10" x14ac:dyDescent="0.35">
      <c r="A749" t="s">
        <v>13</v>
      </c>
      <c r="B749" t="s">
        <v>35</v>
      </c>
      <c r="C749" s="77" t="s">
        <v>93</v>
      </c>
      <c r="D749" t="s">
        <v>81</v>
      </c>
      <c r="E749" s="77" t="s">
        <v>82</v>
      </c>
      <c r="F749" s="77" t="s">
        <v>73</v>
      </c>
      <c r="G749" s="77" t="s">
        <v>74</v>
      </c>
      <c r="H749" s="77" t="s">
        <v>123</v>
      </c>
      <c r="I749" s="77" t="s">
        <v>84</v>
      </c>
      <c r="J749" s="76">
        <v>5.0319447308723453E-3</v>
      </c>
    </row>
    <row r="750" spans="1:10" x14ac:dyDescent="0.35">
      <c r="A750" t="s">
        <v>13</v>
      </c>
      <c r="B750" t="s">
        <v>35</v>
      </c>
      <c r="C750" s="77" t="s">
        <v>93</v>
      </c>
      <c r="D750" t="s">
        <v>81</v>
      </c>
      <c r="E750" s="77" t="s">
        <v>125</v>
      </c>
      <c r="F750" s="77" t="s">
        <v>73</v>
      </c>
      <c r="G750" s="77" t="s">
        <v>74</v>
      </c>
      <c r="H750" s="77" t="s">
        <v>123</v>
      </c>
      <c r="I750" s="77" t="s">
        <v>84</v>
      </c>
      <c r="J750" s="76">
        <v>4.336096678710085E-4</v>
      </c>
    </row>
    <row r="751" spans="1:10" x14ac:dyDescent="0.35">
      <c r="A751" t="s">
        <v>13</v>
      </c>
      <c r="B751" t="s">
        <v>35</v>
      </c>
      <c r="C751" s="77" t="s">
        <v>93</v>
      </c>
      <c r="D751" t="s">
        <v>81</v>
      </c>
      <c r="E751" s="77" t="s">
        <v>122</v>
      </c>
      <c r="F751" s="77" t="s">
        <v>73</v>
      </c>
      <c r="G751" s="77" t="s">
        <v>74</v>
      </c>
      <c r="H751" s="77" t="s">
        <v>123</v>
      </c>
      <c r="I751" s="77" t="s">
        <v>84</v>
      </c>
      <c r="J751" s="76">
        <v>2.7129607609988112E-3</v>
      </c>
    </row>
    <row r="752" spans="1:10" x14ac:dyDescent="0.35">
      <c r="A752" t="s">
        <v>13</v>
      </c>
      <c r="B752" t="s">
        <v>35</v>
      </c>
      <c r="C752" s="77" t="s">
        <v>93</v>
      </c>
      <c r="D752" t="s">
        <v>81</v>
      </c>
      <c r="E752" s="77" t="s">
        <v>126</v>
      </c>
      <c r="F752" s="77" t="s">
        <v>73</v>
      </c>
      <c r="G752" s="77" t="s">
        <v>74</v>
      </c>
      <c r="H752" s="77" t="s">
        <v>123</v>
      </c>
      <c r="I752" s="77" t="s">
        <v>84</v>
      </c>
      <c r="J752" s="76">
        <v>4.3855511603587784E-2</v>
      </c>
    </row>
    <row r="753" spans="1:10" x14ac:dyDescent="0.35">
      <c r="A753" t="s">
        <v>13</v>
      </c>
      <c r="B753" t="s">
        <v>35</v>
      </c>
      <c r="C753" s="77" t="s">
        <v>93</v>
      </c>
      <c r="D753" t="s">
        <v>81</v>
      </c>
      <c r="E753" s="77" t="s">
        <v>101</v>
      </c>
      <c r="F753" s="77" t="s">
        <v>73</v>
      </c>
      <c r="G753" s="77" t="s">
        <v>74</v>
      </c>
      <c r="H753" s="77" t="s">
        <v>123</v>
      </c>
      <c r="I753" s="77" t="s">
        <v>84</v>
      </c>
      <c r="J753" s="76">
        <v>0</v>
      </c>
    </row>
    <row r="754" spans="1:10" x14ac:dyDescent="0.35">
      <c r="A754" t="s">
        <v>13</v>
      </c>
      <c r="B754" t="s">
        <v>35</v>
      </c>
      <c r="C754" s="77" t="s">
        <v>93</v>
      </c>
      <c r="D754" t="s">
        <v>81</v>
      </c>
      <c r="E754" s="77" t="s">
        <v>104</v>
      </c>
      <c r="F754" s="77" t="s">
        <v>73</v>
      </c>
      <c r="G754" s="77" t="s">
        <v>74</v>
      </c>
      <c r="H754" s="77" t="s">
        <v>123</v>
      </c>
      <c r="I754" s="77" t="s">
        <v>84</v>
      </c>
      <c r="J754" s="76">
        <v>0</v>
      </c>
    </row>
    <row r="755" spans="1:10" x14ac:dyDescent="0.35">
      <c r="A755" t="s">
        <v>13</v>
      </c>
      <c r="B755" t="s">
        <v>35</v>
      </c>
      <c r="C755" s="77" t="s">
        <v>93</v>
      </c>
      <c r="D755" t="s">
        <v>81</v>
      </c>
      <c r="E755" s="77" t="s">
        <v>106</v>
      </c>
      <c r="F755" s="77" t="s">
        <v>73</v>
      </c>
      <c r="G755" s="77" t="s">
        <v>74</v>
      </c>
      <c r="H755" s="77" t="s">
        <v>123</v>
      </c>
      <c r="I755" s="77" t="s">
        <v>84</v>
      </c>
      <c r="J755" s="76">
        <v>0</v>
      </c>
    </row>
    <row r="756" spans="1:10" x14ac:dyDescent="0.35">
      <c r="A756" t="s">
        <v>13</v>
      </c>
      <c r="B756" t="s">
        <v>35</v>
      </c>
      <c r="C756" s="77" t="s">
        <v>73</v>
      </c>
      <c r="D756" t="s">
        <v>81</v>
      </c>
      <c r="E756" s="77" t="s">
        <v>119</v>
      </c>
      <c r="F756" s="77" t="s">
        <v>73</v>
      </c>
      <c r="G756" s="77" t="s">
        <v>74</v>
      </c>
      <c r="H756" s="77" t="s">
        <v>127</v>
      </c>
      <c r="I756" s="77" t="s">
        <v>84</v>
      </c>
      <c r="J756" s="76">
        <f>'SUT_EU27 total'!$M$22</f>
        <v>1.9500181678711294E-2</v>
      </c>
    </row>
    <row r="757" spans="1:10" x14ac:dyDescent="0.35">
      <c r="A757" t="s">
        <v>13</v>
      </c>
      <c r="B757" t="s">
        <v>35</v>
      </c>
      <c r="C757" s="77" t="s">
        <v>73</v>
      </c>
      <c r="D757" t="s">
        <v>81</v>
      </c>
      <c r="E757" s="77" t="s">
        <v>124</v>
      </c>
      <c r="F757" s="77" t="s">
        <v>73</v>
      </c>
      <c r="G757" s="77" t="s">
        <v>74</v>
      </c>
      <c r="H757" s="77" t="s">
        <v>127</v>
      </c>
      <c r="I757" s="77" t="s">
        <v>84</v>
      </c>
      <c r="J757" s="76" cm="1">
        <f t="array" ref="J757:J765">'SUT_EU27 total'!$M$26:$M$34</f>
        <v>1.9404661061278542E-3</v>
      </c>
    </row>
    <row r="758" spans="1:10" x14ac:dyDescent="0.35">
      <c r="A758" t="s">
        <v>13</v>
      </c>
      <c r="B758" t="s">
        <v>35</v>
      </c>
      <c r="C758" s="77" t="s">
        <v>73</v>
      </c>
      <c r="D758" t="s">
        <v>81</v>
      </c>
      <c r="E758" s="77" t="s">
        <v>117</v>
      </c>
      <c r="F758" s="77" t="s">
        <v>73</v>
      </c>
      <c r="G758" s="77" t="s">
        <v>74</v>
      </c>
      <c r="H758" s="77" t="s">
        <v>127</v>
      </c>
      <c r="I758" s="77" t="s">
        <v>84</v>
      </c>
      <c r="J758" s="76">
        <v>5.8423628191201782E-3</v>
      </c>
    </row>
    <row r="759" spans="1:10" x14ac:dyDescent="0.35">
      <c r="A759" t="s">
        <v>13</v>
      </c>
      <c r="B759" t="s">
        <v>35</v>
      </c>
      <c r="C759" s="77" t="s">
        <v>73</v>
      </c>
      <c r="D759" t="s">
        <v>81</v>
      </c>
      <c r="E759" s="77" t="s">
        <v>82</v>
      </c>
      <c r="F759" s="77" t="s">
        <v>73</v>
      </c>
      <c r="G759" s="77" t="s">
        <v>74</v>
      </c>
      <c r="H759" s="77" t="s">
        <v>127</v>
      </c>
      <c r="I759" s="77" t="s">
        <v>84</v>
      </c>
      <c r="J759" s="76">
        <v>4.8981233243967828E-4</v>
      </c>
    </row>
    <row r="760" spans="1:10" x14ac:dyDescent="0.35">
      <c r="A760" t="s">
        <v>13</v>
      </c>
      <c r="B760" t="s">
        <v>35</v>
      </c>
      <c r="C760" s="77" t="s">
        <v>73</v>
      </c>
      <c r="D760" t="s">
        <v>81</v>
      </c>
      <c r="E760" s="77" t="s">
        <v>125</v>
      </c>
      <c r="F760" s="77" t="s">
        <v>73</v>
      </c>
      <c r="G760" s="77" t="s">
        <v>74</v>
      </c>
      <c r="H760" s="77" t="s">
        <v>127</v>
      </c>
      <c r="I760" s="77" t="s">
        <v>84</v>
      </c>
      <c r="J760" s="76">
        <v>2.4658201215687387E-3</v>
      </c>
    </row>
    <row r="761" spans="1:10" x14ac:dyDescent="0.35">
      <c r="A761" t="s">
        <v>13</v>
      </c>
      <c r="B761" t="s">
        <v>35</v>
      </c>
      <c r="C761" s="77" t="s">
        <v>73</v>
      </c>
      <c r="D761" t="s">
        <v>81</v>
      </c>
      <c r="E761" s="77" t="s">
        <v>122</v>
      </c>
      <c r="F761" s="77" t="s">
        <v>73</v>
      </c>
      <c r="G761" s="77" t="s">
        <v>74</v>
      </c>
      <c r="H761" s="77" t="s">
        <v>127</v>
      </c>
      <c r="I761" s="77" t="s">
        <v>84</v>
      </c>
      <c r="J761" s="76">
        <v>4.922711058263972E-4</v>
      </c>
    </row>
    <row r="762" spans="1:10" x14ac:dyDescent="0.35">
      <c r="A762" t="s">
        <v>13</v>
      </c>
      <c r="B762" t="s">
        <v>35</v>
      </c>
      <c r="C762" s="77" t="s">
        <v>73</v>
      </c>
      <c r="D762" t="s">
        <v>81</v>
      </c>
      <c r="E762" s="77" t="s">
        <v>126</v>
      </c>
      <c r="F762" s="77" t="s">
        <v>73</v>
      </c>
      <c r="G762" s="77" t="s">
        <v>74</v>
      </c>
      <c r="H762" s="77" t="s">
        <v>127</v>
      </c>
      <c r="I762" s="77" t="s">
        <v>84</v>
      </c>
      <c r="J762" s="76">
        <v>0</v>
      </c>
    </row>
    <row r="763" spans="1:10" x14ac:dyDescent="0.35">
      <c r="A763" t="s">
        <v>13</v>
      </c>
      <c r="B763" t="s">
        <v>35</v>
      </c>
      <c r="C763" s="77" t="s">
        <v>73</v>
      </c>
      <c r="D763" t="s">
        <v>81</v>
      </c>
      <c r="E763" s="77" t="s">
        <v>101</v>
      </c>
      <c r="F763" s="77" t="s">
        <v>73</v>
      </c>
      <c r="G763" s="77" t="s">
        <v>74</v>
      </c>
      <c r="H763" s="77" t="s">
        <v>127</v>
      </c>
      <c r="I763" s="77" t="s">
        <v>84</v>
      </c>
      <c r="J763" s="76">
        <v>3.6586167200000007E-4</v>
      </c>
    </row>
    <row r="764" spans="1:10" x14ac:dyDescent="0.35">
      <c r="A764" t="s">
        <v>13</v>
      </c>
      <c r="B764" t="s">
        <v>35</v>
      </c>
      <c r="C764" s="77" t="s">
        <v>73</v>
      </c>
      <c r="D764" t="s">
        <v>81</v>
      </c>
      <c r="E764" s="77" t="s">
        <v>104</v>
      </c>
      <c r="F764" s="77" t="s">
        <v>73</v>
      </c>
      <c r="G764" s="77" t="s">
        <v>74</v>
      </c>
      <c r="H764" s="77" t="s">
        <v>127</v>
      </c>
      <c r="I764" s="77" t="s">
        <v>84</v>
      </c>
      <c r="J764" s="76">
        <v>6.9272632800000005E-4</v>
      </c>
    </row>
    <row r="765" spans="1:10" x14ac:dyDescent="0.35">
      <c r="A765" t="s">
        <v>13</v>
      </c>
      <c r="B765" t="s">
        <v>35</v>
      </c>
      <c r="C765" s="77" t="s">
        <v>73</v>
      </c>
      <c r="D765" t="s">
        <v>81</v>
      </c>
      <c r="E765" s="77" t="s">
        <v>106</v>
      </c>
      <c r="F765" s="77" t="s">
        <v>73</v>
      </c>
      <c r="G765" s="77" t="s">
        <v>74</v>
      </c>
      <c r="H765" s="77" t="s">
        <v>127</v>
      </c>
      <c r="I765" s="77" t="s">
        <v>84</v>
      </c>
      <c r="J765" s="76">
        <v>2.3562119999999999E-3</v>
      </c>
    </row>
    <row r="766" spans="1:10" x14ac:dyDescent="0.35">
      <c r="A766" t="s">
        <v>13</v>
      </c>
      <c r="B766" t="s">
        <v>35</v>
      </c>
      <c r="C766" s="77" t="s">
        <v>88</v>
      </c>
      <c r="D766" t="s">
        <v>81</v>
      </c>
      <c r="E766" s="77" t="s">
        <v>119</v>
      </c>
      <c r="F766" s="77" t="s">
        <v>73</v>
      </c>
      <c r="G766" s="77" t="s">
        <v>74</v>
      </c>
      <c r="H766" s="77" t="s">
        <v>127</v>
      </c>
      <c r="I766" s="77" t="s">
        <v>84</v>
      </c>
      <c r="J766" s="76">
        <f>'SUT_EU27 total'!$M$39</f>
        <v>0.16108845734587587</v>
      </c>
    </row>
    <row r="767" spans="1:10" x14ac:dyDescent="0.35">
      <c r="A767" t="s">
        <v>13</v>
      </c>
      <c r="B767" t="s">
        <v>35</v>
      </c>
      <c r="C767" s="77" t="s">
        <v>88</v>
      </c>
      <c r="D767" t="s">
        <v>81</v>
      </c>
      <c r="E767" s="77" t="s">
        <v>124</v>
      </c>
      <c r="F767" s="77" t="s">
        <v>73</v>
      </c>
      <c r="G767" s="77" t="s">
        <v>74</v>
      </c>
      <c r="H767" s="77" t="s">
        <v>127</v>
      </c>
      <c r="I767" s="77" t="s">
        <v>84</v>
      </c>
      <c r="J767" s="76" cm="1">
        <f t="array" ref="J767:J775">'SUT_EU27 total'!$L$43:$L$51</f>
        <v>5.0558836222750793E-4</v>
      </c>
    </row>
    <row r="768" spans="1:10" x14ac:dyDescent="0.35">
      <c r="A768" t="s">
        <v>13</v>
      </c>
      <c r="B768" t="s">
        <v>35</v>
      </c>
      <c r="C768" s="77" t="s">
        <v>88</v>
      </c>
      <c r="D768" t="s">
        <v>81</v>
      </c>
      <c r="E768" s="77" t="s">
        <v>117</v>
      </c>
      <c r="F768" s="77" t="s">
        <v>73</v>
      </c>
      <c r="G768" s="77" t="s">
        <v>74</v>
      </c>
      <c r="H768" s="77" t="s">
        <v>127</v>
      </c>
      <c r="I768" s="77" t="s">
        <v>84</v>
      </c>
      <c r="J768" s="76">
        <v>4.8514464106651379E-3</v>
      </c>
    </row>
    <row r="769" spans="1:10" x14ac:dyDescent="0.35">
      <c r="A769" t="s">
        <v>13</v>
      </c>
      <c r="B769" t="s">
        <v>35</v>
      </c>
      <c r="C769" s="77" t="s">
        <v>88</v>
      </c>
      <c r="D769" t="s">
        <v>81</v>
      </c>
      <c r="E769" s="77" t="s">
        <v>82</v>
      </c>
      <c r="F769" s="77" t="s">
        <v>73</v>
      </c>
      <c r="G769" s="77" t="s">
        <v>74</v>
      </c>
      <c r="H769" s="77" t="s">
        <v>127</v>
      </c>
      <c r="I769" s="77" t="s">
        <v>84</v>
      </c>
      <c r="J769" s="76">
        <v>1.109418436791091E-2</v>
      </c>
    </row>
    <row r="770" spans="1:10" x14ac:dyDescent="0.35">
      <c r="A770" t="s">
        <v>13</v>
      </c>
      <c r="B770" t="s">
        <v>35</v>
      </c>
      <c r="C770" s="77" t="s">
        <v>88</v>
      </c>
      <c r="D770" t="s">
        <v>81</v>
      </c>
      <c r="E770" s="77" t="s">
        <v>125</v>
      </c>
      <c r="F770" s="77" t="s">
        <v>73</v>
      </c>
      <c r="G770" s="77" t="s">
        <v>74</v>
      </c>
      <c r="H770" s="77" t="s">
        <v>127</v>
      </c>
      <c r="I770" s="77" t="s">
        <v>84</v>
      </c>
      <c r="J770" s="76">
        <v>2.890870278990243E-5</v>
      </c>
    </row>
    <row r="771" spans="1:10" x14ac:dyDescent="0.35">
      <c r="A771" t="s">
        <v>13</v>
      </c>
      <c r="B771" t="s">
        <v>35</v>
      </c>
      <c r="C771" s="77" t="s">
        <v>88</v>
      </c>
      <c r="D771" t="s">
        <v>81</v>
      </c>
      <c r="E771" s="77" t="s">
        <v>122</v>
      </c>
      <c r="F771" s="77" t="s">
        <v>73</v>
      </c>
      <c r="G771" s="77" t="s">
        <v>74</v>
      </c>
      <c r="H771" s="77" t="s">
        <v>127</v>
      </c>
      <c r="I771" s="77" t="s">
        <v>84</v>
      </c>
      <c r="J771" s="76">
        <v>0</v>
      </c>
    </row>
    <row r="772" spans="1:10" x14ac:dyDescent="0.35">
      <c r="A772" t="s">
        <v>13</v>
      </c>
      <c r="B772" t="s">
        <v>35</v>
      </c>
      <c r="C772" s="77" t="s">
        <v>88</v>
      </c>
      <c r="D772" t="s">
        <v>81</v>
      </c>
      <c r="E772" s="77" t="s">
        <v>126</v>
      </c>
      <c r="F772" s="77" t="s">
        <v>73</v>
      </c>
      <c r="G772" s="77" t="s">
        <v>74</v>
      </c>
      <c r="H772" s="77" t="s">
        <v>127</v>
      </c>
      <c r="I772" s="77" t="s">
        <v>84</v>
      </c>
      <c r="J772" s="76">
        <v>2.8514320987501449E-3</v>
      </c>
    </row>
    <row r="773" spans="1:10" x14ac:dyDescent="0.35">
      <c r="A773" t="s">
        <v>13</v>
      </c>
      <c r="B773" t="s">
        <v>35</v>
      </c>
      <c r="C773" s="77" t="s">
        <v>88</v>
      </c>
      <c r="D773" t="s">
        <v>81</v>
      </c>
      <c r="E773" s="77" t="s">
        <v>101</v>
      </c>
      <c r="F773" s="77" t="s">
        <v>73</v>
      </c>
      <c r="G773" s="77" t="s">
        <v>74</v>
      </c>
      <c r="H773" s="77" t="s">
        <v>127</v>
      </c>
      <c r="I773" s="77" t="s">
        <v>84</v>
      </c>
      <c r="J773" s="76">
        <v>0</v>
      </c>
    </row>
    <row r="774" spans="1:10" x14ac:dyDescent="0.35">
      <c r="A774" t="s">
        <v>13</v>
      </c>
      <c r="B774" t="s">
        <v>35</v>
      </c>
      <c r="C774" s="77" t="s">
        <v>88</v>
      </c>
      <c r="D774" t="s">
        <v>81</v>
      </c>
      <c r="E774" s="77" t="s">
        <v>104</v>
      </c>
      <c r="F774" s="77" t="s">
        <v>73</v>
      </c>
      <c r="G774" s="77" t="s">
        <v>74</v>
      </c>
      <c r="H774" s="77" t="s">
        <v>127</v>
      </c>
      <c r="I774" s="77" t="s">
        <v>84</v>
      </c>
      <c r="J774" s="76">
        <v>0</v>
      </c>
    </row>
    <row r="775" spans="1:10" x14ac:dyDescent="0.35">
      <c r="A775" t="s">
        <v>13</v>
      </c>
      <c r="B775" t="s">
        <v>35</v>
      </c>
      <c r="C775" s="77" t="s">
        <v>88</v>
      </c>
      <c r="D775" t="s">
        <v>81</v>
      </c>
      <c r="E775" s="77" t="s">
        <v>106</v>
      </c>
      <c r="F775" s="77" t="s">
        <v>73</v>
      </c>
      <c r="G775" s="77" t="s">
        <v>74</v>
      </c>
      <c r="H775" s="77" t="s">
        <v>127</v>
      </c>
      <c r="I775" s="77" t="s">
        <v>84</v>
      </c>
      <c r="J775" s="76">
        <v>0</v>
      </c>
    </row>
    <row r="776" spans="1:10" x14ac:dyDescent="0.35">
      <c r="A776" t="s">
        <v>13</v>
      </c>
      <c r="B776" t="s">
        <v>35</v>
      </c>
      <c r="C776" s="77" t="s">
        <v>90</v>
      </c>
      <c r="D776" t="s">
        <v>81</v>
      </c>
      <c r="E776" s="77" t="s">
        <v>119</v>
      </c>
      <c r="F776" s="77" t="s">
        <v>73</v>
      </c>
      <c r="G776" s="77" t="s">
        <v>74</v>
      </c>
      <c r="H776" s="77" t="s">
        <v>127</v>
      </c>
      <c r="I776" s="77" t="s">
        <v>84</v>
      </c>
      <c r="J776" s="76">
        <f>'SUT_EU27 total'!$M$56</f>
        <v>2.949251079979006E-2</v>
      </c>
    </row>
    <row r="777" spans="1:10" x14ac:dyDescent="0.35">
      <c r="A777" t="s">
        <v>13</v>
      </c>
      <c r="B777" t="s">
        <v>35</v>
      </c>
      <c r="C777" s="77" t="s">
        <v>90</v>
      </c>
      <c r="D777" t="s">
        <v>81</v>
      </c>
      <c r="E777" s="77" t="s">
        <v>124</v>
      </c>
      <c r="F777" s="77" t="s">
        <v>73</v>
      </c>
      <c r="G777" s="77" t="s">
        <v>74</v>
      </c>
      <c r="H777" s="77" t="s">
        <v>127</v>
      </c>
      <c r="I777" s="77" t="s">
        <v>84</v>
      </c>
      <c r="J777" s="76" cm="1">
        <f t="array" ref="J777:J785">'SUT_EU27 total'!$M$60:$M$68</f>
        <v>2.1047443073980527E-5</v>
      </c>
    </row>
    <row r="778" spans="1:10" x14ac:dyDescent="0.35">
      <c r="A778" t="s">
        <v>13</v>
      </c>
      <c r="B778" t="s">
        <v>35</v>
      </c>
      <c r="C778" s="77" t="s">
        <v>90</v>
      </c>
      <c r="D778" t="s">
        <v>81</v>
      </c>
      <c r="E778" s="77" t="s">
        <v>117</v>
      </c>
      <c r="F778" s="77" t="s">
        <v>73</v>
      </c>
      <c r="G778" s="77" t="s">
        <v>74</v>
      </c>
      <c r="H778" s="77" t="s">
        <v>127</v>
      </c>
      <c r="I778" s="77" t="s">
        <v>84</v>
      </c>
      <c r="J778" s="76">
        <v>5.8414015621608938E-3</v>
      </c>
    </row>
    <row r="779" spans="1:10" x14ac:dyDescent="0.35">
      <c r="A779" t="s">
        <v>13</v>
      </c>
      <c r="B779" t="s">
        <v>35</v>
      </c>
      <c r="C779" s="77" t="s">
        <v>90</v>
      </c>
      <c r="D779" t="s">
        <v>81</v>
      </c>
      <c r="E779" s="77" t="s">
        <v>82</v>
      </c>
      <c r="F779" s="77" t="s">
        <v>73</v>
      </c>
      <c r="G779" s="77" t="s">
        <v>74</v>
      </c>
      <c r="H779" s="77" t="s">
        <v>127</v>
      </c>
      <c r="I779" s="77" t="s">
        <v>84</v>
      </c>
      <c r="J779" s="76">
        <v>1.4521138379047227E-3</v>
      </c>
    </row>
    <row r="780" spans="1:10" x14ac:dyDescent="0.35">
      <c r="A780" t="s">
        <v>13</v>
      </c>
      <c r="B780" t="s">
        <v>35</v>
      </c>
      <c r="C780" s="77" t="s">
        <v>90</v>
      </c>
      <c r="D780" t="s">
        <v>81</v>
      </c>
      <c r="E780" s="77" t="s">
        <v>125</v>
      </c>
      <c r="F780" s="77" t="s">
        <v>73</v>
      </c>
      <c r="G780" s="77" t="s">
        <v>74</v>
      </c>
      <c r="H780" s="77" t="s">
        <v>127</v>
      </c>
      <c r="I780" s="77" t="s">
        <v>84</v>
      </c>
      <c r="J780" s="76">
        <v>6.5130870114372285E-5</v>
      </c>
    </row>
    <row r="781" spans="1:10" x14ac:dyDescent="0.35">
      <c r="A781" t="s">
        <v>13</v>
      </c>
      <c r="B781" t="s">
        <v>35</v>
      </c>
      <c r="C781" s="77" t="s">
        <v>90</v>
      </c>
      <c r="D781" t="s">
        <v>81</v>
      </c>
      <c r="E781" s="77" t="s">
        <v>122</v>
      </c>
      <c r="F781" s="77" t="s">
        <v>73</v>
      </c>
      <c r="G781" s="77" t="s">
        <v>74</v>
      </c>
      <c r="H781" s="77" t="s">
        <v>127</v>
      </c>
      <c r="I781" s="77" t="s">
        <v>84</v>
      </c>
      <c r="J781" s="76">
        <v>7.9476813317479189E-4</v>
      </c>
    </row>
    <row r="782" spans="1:10" x14ac:dyDescent="0.35">
      <c r="A782" t="s">
        <v>13</v>
      </c>
      <c r="B782" t="s">
        <v>35</v>
      </c>
      <c r="C782" s="77" t="s">
        <v>90</v>
      </c>
      <c r="D782" t="s">
        <v>81</v>
      </c>
      <c r="E782" s="77" t="s">
        <v>126</v>
      </c>
      <c r="F782" s="77" t="s">
        <v>73</v>
      </c>
      <c r="G782" s="77" t="s">
        <v>74</v>
      </c>
      <c r="H782" s="77" t="s">
        <v>127</v>
      </c>
      <c r="I782" s="77" t="s">
        <v>84</v>
      </c>
      <c r="J782" s="76">
        <v>8.4821183458843076E-3</v>
      </c>
    </row>
    <row r="783" spans="1:10" x14ac:dyDescent="0.35">
      <c r="A783" t="s">
        <v>13</v>
      </c>
      <c r="B783" t="s">
        <v>35</v>
      </c>
      <c r="C783" s="77" t="s">
        <v>90</v>
      </c>
      <c r="D783" t="s">
        <v>81</v>
      </c>
      <c r="E783" s="77" t="s">
        <v>101</v>
      </c>
      <c r="F783" s="77" t="s">
        <v>73</v>
      </c>
      <c r="G783" s="77" t="s">
        <v>74</v>
      </c>
      <c r="H783" s="77" t="s">
        <v>127</v>
      </c>
      <c r="I783" s="77" t="s">
        <v>84</v>
      </c>
      <c r="J783" s="76">
        <v>0</v>
      </c>
    </row>
    <row r="784" spans="1:10" x14ac:dyDescent="0.35">
      <c r="A784" t="s">
        <v>13</v>
      </c>
      <c r="B784" t="s">
        <v>35</v>
      </c>
      <c r="C784" s="77" t="s">
        <v>90</v>
      </c>
      <c r="D784" t="s">
        <v>81</v>
      </c>
      <c r="E784" s="77" t="s">
        <v>104</v>
      </c>
      <c r="F784" s="77" t="s">
        <v>73</v>
      </c>
      <c r="G784" s="77" t="s">
        <v>74</v>
      </c>
      <c r="H784" s="77" t="s">
        <v>127</v>
      </c>
      <c r="I784" s="77" t="s">
        <v>84</v>
      </c>
      <c r="J784" s="76">
        <v>0</v>
      </c>
    </row>
    <row r="785" spans="1:10" x14ac:dyDescent="0.35">
      <c r="A785" t="s">
        <v>13</v>
      </c>
      <c r="B785" t="s">
        <v>35</v>
      </c>
      <c r="C785" s="77" t="s">
        <v>90</v>
      </c>
      <c r="D785" t="s">
        <v>81</v>
      </c>
      <c r="E785" s="77" t="s">
        <v>106</v>
      </c>
      <c r="F785" s="77" t="s">
        <v>73</v>
      </c>
      <c r="G785" s="77" t="s">
        <v>74</v>
      </c>
      <c r="H785" s="77" t="s">
        <v>127</v>
      </c>
      <c r="I785" s="77" t="s">
        <v>84</v>
      </c>
      <c r="J785" s="76">
        <v>0</v>
      </c>
    </row>
    <row r="786" spans="1:10" x14ac:dyDescent="0.35">
      <c r="A786" t="s">
        <v>13</v>
      </c>
      <c r="B786" t="s">
        <v>35</v>
      </c>
      <c r="C786" s="77" t="s">
        <v>91</v>
      </c>
      <c r="D786" t="s">
        <v>81</v>
      </c>
      <c r="E786" s="77" t="s">
        <v>119</v>
      </c>
      <c r="F786" s="77" t="s">
        <v>73</v>
      </c>
      <c r="G786" s="77" t="s">
        <v>74</v>
      </c>
      <c r="H786" s="77" t="s">
        <v>127</v>
      </c>
      <c r="I786" s="77" t="s">
        <v>84</v>
      </c>
      <c r="J786" s="76">
        <f>'SUT_EU27 total'!$M$73</f>
        <v>0.15097500908393557</v>
      </c>
    </row>
    <row r="787" spans="1:10" x14ac:dyDescent="0.35">
      <c r="A787" t="s">
        <v>13</v>
      </c>
      <c r="B787" t="s">
        <v>35</v>
      </c>
      <c r="C787" s="77" t="s">
        <v>91</v>
      </c>
      <c r="D787" t="s">
        <v>81</v>
      </c>
      <c r="E787" s="77" t="s">
        <v>124</v>
      </c>
      <c r="F787" s="77" t="s">
        <v>73</v>
      </c>
      <c r="G787" s="77" t="s">
        <v>74</v>
      </c>
      <c r="H787" s="77" t="s">
        <v>127</v>
      </c>
      <c r="I787" s="77" t="s">
        <v>84</v>
      </c>
      <c r="J787" s="76" cm="1">
        <f t="array" ref="J787:J795">'SUT_EU27 total'!$M$77:$M$85</f>
        <v>6.7728942399646885E-5</v>
      </c>
    </row>
    <row r="788" spans="1:10" x14ac:dyDescent="0.35">
      <c r="A788" t="s">
        <v>13</v>
      </c>
      <c r="B788" t="s">
        <v>35</v>
      </c>
      <c r="C788" s="77" t="s">
        <v>91</v>
      </c>
      <c r="D788" t="s">
        <v>81</v>
      </c>
      <c r="E788" s="77" t="s">
        <v>117</v>
      </c>
      <c r="F788" s="77" t="s">
        <v>73</v>
      </c>
      <c r="G788" s="77" t="s">
        <v>74</v>
      </c>
      <c r="H788" s="77" t="s">
        <v>127</v>
      </c>
      <c r="I788" s="77" t="s">
        <v>84</v>
      </c>
      <c r="J788" s="76">
        <v>5.6233849622410815E-3</v>
      </c>
    </row>
    <row r="789" spans="1:10" x14ac:dyDescent="0.35">
      <c r="A789" t="s">
        <v>13</v>
      </c>
      <c r="B789" t="s">
        <v>35</v>
      </c>
      <c r="C789" s="77" t="s">
        <v>91</v>
      </c>
      <c r="D789" t="s">
        <v>81</v>
      </c>
      <c r="E789" s="77" t="s">
        <v>82</v>
      </c>
      <c r="F789" s="77" t="s">
        <v>73</v>
      </c>
      <c r="G789" s="77" t="s">
        <v>74</v>
      </c>
      <c r="H789" s="77" t="s">
        <v>127</v>
      </c>
      <c r="I789" s="77" t="s">
        <v>84</v>
      </c>
      <c r="J789" s="76">
        <v>1.8068055269127655E-3</v>
      </c>
    </row>
    <row r="790" spans="1:10" x14ac:dyDescent="0.35">
      <c r="A790" t="s">
        <v>13</v>
      </c>
      <c r="B790" t="s">
        <v>35</v>
      </c>
      <c r="C790" s="77" t="s">
        <v>91</v>
      </c>
      <c r="D790" t="s">
        <v>81</v>
      </c>
      <c r="E790" s="77" t="s">
        <v>125</v>
      </c>
      <c r="F790" s="77" t="s">
        <v>73</v>
      </c>
      <c r="G790" s="77" t="s">
        <v>74</v>
      </c>
      <c r="H790" s="77" t="s">
        <v>127</v>
      </c>
      <c r="I790" s="77" t="s">
        <v>84</v>
      </c>
      <c r="J790" s="76">
        <v>5.6492118062760293E-6</v>
      </c>
    </row>
    <row r="791" spans="1:10" x14ac:dyDescent="0.35">
      <c r="A791" t="s">
        <v>13</v>
      </c>
      <c r="B791" t="s">
        <v>35</v>
      </c>
      <c r="C791" s="77" t="s">
        <v>91</v>
      </c>
      <c r="D791" t="s">
        <v>81</v>
      </c>
      <c r="E791" s="77" t="s">
        <v>122</v>
      </c>
      <c r="F791" s="77" t="s">
        <v>73</v>
      </c>
      <c r="G791" s="77" t="s">
        <v>74</v>
      </c>
      <c r="H791" s="77" t="s">
        <v>127</v>
      </c>
      <c r="I791" s="77" t="s">
        <v>84</v>
      </c>
      <c r="J791" s="76">
        <v>0</v>
      </c>
    </row>
    <row r="792" spans="1:10" x14ac:dyDescent="0.35">
      <c r="A792" t="s">
        <v>13</v>
      </c>
      <c r="B792" t="s">
        <v>35</v>
      </c>
      <c r="C792" s="77" t="s">
        <v>91</v>
      </c>
      <c r="D792" t="s">
        <v>81</v>
      </c>
      <c r="E792" s="77" t="s">
        <v>126</v>
      </c>
      <c r="F792" s="77" t="s">
        <v>73</v>
      </c>
      <c r="G792" s="77" t="s">
        <v>74</v>
      </c>
      <c r="H792" s="77" t="s">
        <v>127</v>
      </c>
      <c r="I792" s="77" t="s">
        <v>84</v>
      </c>
      <c r="J792" s="76">
        <v>8.1093795177776388E-4</v>
      </c>
    </row>
    <row r="793" spans="1:10" x14ac:dyDescent="0.35">
      <c r="A793" t="s">
        <v>13</v>
      </c>
      <c r="B793" t="s">
        <v>35</v>
      </c>
      <c r="C793" s="77" t="s">
        <v>91</v>
      </c>
      <c r="D793" t="s">
        <v>81</v>
      </c>
      <c r="E793" s="77" t="s">
        <v>101</v>
      </c>
      <c r="F793" s="77" t="s">
        <v>73</v>
      </c>
      <c r="G793" s="77" t="s">
        <v>74</v>
      </c>
      <c r="H793" s="77" t="s">
        <v>127</v>
      </c>
      <c r="I793" s="77" t="s">
        <v>84</v>
      </c>
      <c r="J793" s="76">
        <v>0</v>
      </c>
    </row>
    <row r="794" spans="1:10" x14ac:dyDescent="0.35">
      <c r="A794" t="s">
        <v>13</v>
      </c>
      <c r="B794" t="s">
        <v>35</v>
      </c>
      <c r="C794" s="77" t="s">
        <v>91</v>
      </c>
      <c r="D794" t="s">
        <v>81</v>
      </c>
      <c r="E794" s="77" t="s">
        <v>104</v>
      </c>
      <c r="F794" s="77" t="s">
        <v>73</v>
      </c>
      <c r="G794" s="77" t="s">
        <v>74</v>
      </c>
      <c r="H794" s="77" t="s">
        <v>127</v>
      </c>
      <c r="I794" s="77" t="s">
        <v>84</v>
      </c>
      <c r="J794" s="76">
        <v>0</v>
      </c>
    </row>
    <row r="795" spans="1:10" x14ac:dyDescent="0.35">
      <c r="A795" t="s">
        <v>13</v>
      </c>
      <c r="B795" t="s">
        <v>35</v>
      </c>
      <c r="C795" s="77" t="s">
        <v>91</v>
      </c>
      <c r="D795" t="s">
        <v>81</v>
      </c>
      <c r="E795" s="77" t="s">
        <v>106</v>
      </c>
      <c r="F795" s="77" t="s">
        <v>73</v>
      </c>
      <c r="G795" s="77" t="s">
        <v>74</v>
      </c>
      <c r="H795" s="77" t="s">
        <v>127</v>
      </c>
      <c r="I795" s="77" t="s">
        <v>84</v>
      </c>
      <c r="J795" s="76">
        <v>0</v>
      </c>
    </row>
    <row r="796" spans="1:10" x14ac:dyDescent="0.35">
      <c r="A796" t="s">
        <v>13</v>
      </c>
      <c r="B796" t="s">
        <v>35</v>
      </c>
      <c r="C796" s="77" t="s">
        <v>92</v>
      </c>
      <c r="D796" t="s">
        <v>81</v>
      </c>
      <c r="E796" s="77" t="s">
        <v>119</v>
      </c>
      <c r="F796" s="77" t="s">
        <v>73</v>
      </c>
      <c r="G796" s="77" t="s">
        <v>74</v>
      </c>
      <c r="H796" s="77" t="s">
        <v>127</v>
      </c>
      <c r="I796" s="77" t="s">
        <v>84</v>
      </c>
      <c r="J796" s="76">
        <f>'SUT_EU27 total'!$M$90</f>
        <v>0.13886309499777949</v>
      </c>
    </row>
    <row r="797" spans="1:10" x14ac:dyDescent="0.35">
      <c r="A797" t="s">
        <v>13</v>
      </c>
      <c r="B797" t="s">
        <v>35</v>
      </c>
      <c r="C797" s="77" t="s">
        <v>92</v>
      </c>
      <c r="D797" t="s">
        <v>81</v>
      </c>
      <c r="E797" s="77" t="s">
        <v>124</v>
      </c>
      <c r="F797" s="77" t="s">
        <v>73</v>
      </c>
      <c r="G797" s="77" t="s">
        <v>74</v>
      </c>
      <c r="H797" s="77" t="s">
        <v>127</v>
      </c>
      <c r="I797" s="77" t="s">
        <v>84</v>
      </c>
      <c r="J797" s="76" cm="1">
        <f t="array" ref="J797:J805">'SUT_EU27 total'!$M$94:$M$102</f>
        <v>9.2968907089085616E-5</v>
      </c>
    </row>
    <row r="798" spans="1:10" x14ac:dyDescent="0.35">
      <c r="A798" t="s">
        <v>13</v>
      </c>
      <c r="B798" t="s">
        <v>35</v>
      </c>
      <c r="C798" s="77" t="s">
        <v>92</v>
      </c>
      <c r="D798" t="s">
        <v>81</v>
      </c>
      <c r="E798" s="77" t="s">
        <v>117</v>
      </c>
      <c r="F798" s="77" t="s">
        <v>73</v>
      </c>
      <c r="G798" s="77" t="s">
        <v>74</v>
      </c>
      <c r="H798" s="77" t="s">
        <v>127</v>
      </c>
      <c r="I798" s="77" t="s">
        <v>84</v>
      </c>
      <c r="J798" s="76">
        <v>0</v>
      </c>
    </row>
    <row r="799" spans="1:10" x14ac:dyDescent="0.35">
      <c r="A799" t="s">
        <v>13</v>
      </c>
      <c r="B799" t="s">
        <v>35</v>
      </c>
      <c r="C799" s="77" t="s">
        <v>92</v>
      </c>
      <c r="D799" t="s">
        <v>81</v>
      </c>
      <c r="E799" s="77" t="s">
        <v>82</v>
      </c>
      <c r="F799" s="77" t="s">
        <v>73</v>
      </c>
      <c r="G799" s="77" t="s">
        <v>74</v>
      </c>
      <c r="H799" s="77" t="s">
        <v>127</v>
      </c>
      <c r="I799" s="77" t="s">
        <v>84</v>
      </c>
      <c r="J799" s="76">
        <v>1.1251392039595793E-3</v>
      </c>
    </row>
    <row r="800" spans="1:10" x14ac:dyDescent="0.35">
      <c r="A800" t="s">
        <v>13</v>
      </c>
      <c r="B800" t="s">
        <v>35</v>
      </c>
      <c r="C800" s="77" t="s">
        <v>92</v>
      </c>
      <c r="D800" t="s">
        <v>81</v>
      </c>
      <c r="E800" s="77" t="s">
        <v>125</v>
      </c>
      <c r="F800" s="77" t="s">
        <v>73</v>
      </c>
      <c r="G800" s="77" t="s">
        <v>74</v>
      </c>
      <c r="H800" s="77" t="s">
        <v>127</v>
      </c>
      <c r="I800" s="77" t="s">
        <v>84</v>
      </c>
      <c r="J800" s="76">
        <v>5.0048817841215026E-7</v>
      </c>
    </row>
    <row r="801" spans="1:10" x14ac:dyDescent="0.35">
      <c r="A801" t="s">
        <v>13</v>
      </c>
      <c r="B801" t="s">
        <v>35</v>
      </c>
      <c r="C801" s="77" t="s">
        <v>92</v>
      </c>
      <c r="D801" t="s">
        <v>81</v>
      </c>
      <c r="E801" s="77" t="s">
        <v>122</v>
      </c>
      <c r="F801" s="77" t="s">
        <v>73</v>
      </c>
      <c r="G801" s="77" t="s">
        <v>74</v>
      </c>
      <c r="H801" s="77" t="s">
        <v>127</v>
      </c>
      <c r="I801" s="77" t="s">
        <v>84</v>
      </c>
      <c r="J801" s="76">
        <v>0</v>
      </c>
    </row>
    <row r="802" spans="1:10" x14ac:dyDescent="0.35">
      <c r="A802" t="s">
        <v>13</v>
      </c>
      <c r="B802" t="s">
        <v>35</v>
      </c>
      <c r="C802" s="77" t="s">
        <v>92</v>
      </c>
      <c r="D802" t="s">
        <v>81</v>
      </c>
      <c r="E802" s="77" t="s">
        <v>126</v>
      </c>
      <c r="F802" s="77" t="s">
        <v>73</v>
      </c>
      <c r="G802" s="77" t="s">
        <v>74</v>
      </c>
      <c r="H802" s="77" t="s">
        <v>127</v>
      </c>
      <c r="I802" s="77" t="s">
        <v>84</v>
      </c>
      <c r="J802" s="76">
        <v>0</v>
      </c>
    </row>
    <row r="803" spans="1:10" x14ac:dyDescent="0.35">
      <c r="A803" t="s">
        <v>13</v>
      </c>
      <c r="B803" t="s">
        <v>35</v>
      </c>
      <c r="C803" s="77" t="s">
        <v>92</v>
      </c>
      <c r="D803" t="s">
        <v>81</v>
      </c>
      <c r="E803" s="77" t="s">
        <v>101</v>
      </c>
      <c r="F803" s="77" t="s">
        <v>73</v>
      </c>
      <c r="G803" s="77" t="s">
        <v>74</v>
      </c>
      <c r="H803" s="77" t="s">
        <v>127</v>
      </c>
      <c r="I803" s="77" t="s">
        <v>84</v>
      </c>
      <c r="J803" s="76">
        <v>0</v>
      </c>
    </row>
    <row r="804" spans="1:10" x14ac:dyDescent="0.35">
      <c r="A804" t="s">
        <v>13</v>
      </c>
      <c r="B804" t="s">
        <v>35</v>
      </c>
      <c r="C804" s="77" t="s">
        <v>92</v>
      </c>
      <c r="D804" t="s">
        <v>81</v>
      </c>
      <c r="E804" s="77" t="s">
        <v>104</v>
      </c>
      <c r="F804" s="77" t="s">
        <v>73</v>
      </c>
      <c r="G804" s="77" t="s">
        <v>74</v>
      </c>
      <c r="H804" s="77" t="s">
        <v>127</v>
      </c>
      <c r="I804" s="77" t="s">
        <v>84</v>
      </c>
      <c r="J804" s="76">
        <v>0</v>
      </c>
    </row>
    <row r="805" spans="1:10" x14ac:dyDescent="0.35">
      <c r="A805" t="s">
        <v>13</v>
      </c>
      <c r="B805" t="s">
        <v>35</v>
      </c>
      <c r="C805" s="77" t="s">
        <v>92</v>
      </c>
      <c r="D805" t="s">
        <v>81</v>
      </c>
      <c r="E805" s="77" t="s">
        <v>106</v>
      </c>
      <c r="F805" s="77" t="s">
        <v>73</v>
      </c>
      <c r="G805" s="77" t="s">
        <v>74</v>
      </c>
      <c r="H805" s="77" t="s">
        <v>127</v>
      </c>
      <c r="I805" s="77" t="s">
        <v>84</v>
      </c>
      <c r="J805" s="76">
        <v>0</v>
      </c>
    </row>
    <row r="806" spans="1:10" x14ac:dyDescent="0.35">
      <c r="A806" t="s">
        <v>13</v>
      </c>
      <c r="B806" t="s">
        <v>35</v>
      </c>
      <c r="C806" s="77" t="s">
        <v>93</v>
      </c>
      <c r="D806" t="s">
        <v>81</v>
      </c>
      <c r="E806" s="77" t="s">
        <v>119</v>
      </c>
      <c r="F806" s="77" t="s">
        <v>73</v>
      </c>
      <c r="G806" s="77" t="s">
        <v>74</v>
      </c>
      <c r="H806" s="77" t="s">
        <v>127</v>
      </c>
      <c r="I806" s="77" t="s">
        <v>84</v>
      </c>
      <c r="J806" s="76">
        <f>'SUT_EU27 total'!$M$107</f>
        <v>1.0000807460939076</v>
      </c>
    </row>
    <row r="807" spans="1:10" x14ac:dyDescent="0.35">
      <c r="A807" t="s">
        <v>13</v>
      </c>
      <c r="B807" t="s">
        <v>35</v>
      </c>
      <c r="C807" s="77" t="s">
        <v>93</v>
      </c>
      <c r="D807" t="s">
        <v>81</v>
      </c>
      <c r="E807" s="77" t="s">
        <v>124</v>
      </c>
      <c r="F807" s="77" t="s">
        <v>73</v>
      </c>
      <c r="G807" s="77" t="s">
        <v>74</v>
      </c>
      <c r="H807" s="77" t="s">
        <v>127</v>
      </c>
      <c r="I807" s="77" t="s">
        <v>84</v>
      </c>
      <c r="J807" s="76" cm="1">
        <f t="array" ref="J807:J815">'SUT_EU27 total'!$M$111:$M$119</f>
        <v>3.7052409430862396E-4</v>
      </c>
    </row>
    <row r="808" spans="1:10" x14ac:dyDescent="0.35">
      <c r="A808" t="s">
        <v>13</v>
      </c>
      <c r="B808" t="s">
        <v>35</v>
      </c>
      <c r="C808" s="77" t="s">
        <v>93</v>
      </c>
      <c r="D808" t="s">
        <v>81</v>
      </c>
      <c r="E808" s="77" t="s">
        <v>117</v>
      </c>
      <c r="F808" s="77" t="s">
        <v>73</v>
      </c>
      <c r="G808" s="77" t="s">
        <v>74</v>
      </c>
      <c r="H808" s="77" t="s">
        <v>127</v>
      </c>
      <c r="I808" s="77" t="s">
        <v>84</v>
      </c>
      <c r="J808" s="76">
        <v>5.8414042458127093E-3</v>
      </c>
    </row>
    <row r="809" spans="1:10" x14ac:dyDescent="0.35">
      <c r="A809" t="s">
        <v>13</v>
      </c>
      <c r="B809" t="s">
        <v>35</v>
      </c>
      <c r="C809" s="77" t="s">
        <v>93</v>
      </c>
      <c r="D809" t="s">
        <v>81</v>
      </c>
      <c r="E809" s="77" t="s">
        <v>82</v>
      </c>
      <c r="F809" s="77" t="s">
        <v>73</v>
      </c>
      <c r="G809" s="77" t="s">
        <v>74</v>
      </c>
      <c r="H809" s="77" t="s">
        <v>127</v>
      </c>
      <c r="I809" s="77" t="s">
        <v>84</v>
      </c>
      <c r="J809" s="76">
        <v>5.0319447308723453E-3</v>
      </c>
    </row>
    <row r="810" spans="1:10" x14ac:dyDescent="0.35">
      <c r="A810" t="s">
        <v>13</v>
      </c>
      <c r="B810" t="s">
        <v>35</v>
      </c>
      <c r="C810" s="77" t="s">
        <v>93</v>
      </c>
      <c r="D810" t="s">
        <v>81</v>
      </c>
      <c r="E810" s="77" t="s">
        <v>125</v>
      </c>
      <c r="F810" s="77" t="s">
        <v>73</v>
      </c>
      <c r="G810" s="77" t="s">
        <v>74</v>
      </c>
      <c r="H810" s="77" t="s">
        <v>127</v>
      </c>
      <c r="I810" s="77" t="s">
        <v>84</v>
      </c>
      <c r="J810" s="76">
        <v>4.336096678710085E-4</v>
      </c>
    </row>
    <row r="811" spans="1:10" x14ac:dyDescent="0.35">
      <c r="A811" t="s">
        <v>13</v>
      </c>
      <c r="B811" t="s">
        <v>35</v>
      </c>
      <c r="C811" s="77" t="s">
        <v>93</v>
      </c>
      <c r="D811" t="s">
        <v>81</v>
      </c>
      <c r="E811" s="77" t="s">
        <v>122</v>
      </c>
      <c r="F811" s="77" t="s">
        <v>73</v>
      </c>
      <c r="G811" s="77" t="s">
        <v>74</v>
      </c>
      <c r="H811" s="77" t="s">
        <v>127</v>
      </c>
      <c r="I811" s="77" t="s">
        <v>84</v>
      </c>
      <c r="J811" s="76">
        <v>2.7129607609988112E-3</v>
      </c>
    </row>
    <row r="812" spans="1:10" x14ac:dyDescent="0.35">
      <c r="A812" t="s">
        <v>13</v>
      </c>
      <c r="B812" t="s">
        <v>35</v>
      </c>
      <c r="C812" s="77" t="s">
        <v>93</v>
      </c>
      <c r="D812" t="s">
        <v>81</v>
      </c>
      <c r="E812" s="77" t="s">
        <v>126</v>
      </c>
      <c r="F812" s="77" t="s">
        <v>73</v>
      </c>
      <c r="G812" s="77" t="s">
        <v>74</v>
      </c>
      <c r="H812" s="77" t="s">
        <v>127</v>
      </c>
      <c r="I812" s="77" t="s">
        <v>84</v>
      </c>
      <c r="J812" s="76">
        <v>4.3855511603587784E-2</v>
      </c>
    </row>
    <row r="813" spans="1:10" x14ac:dyDescent="0.35">
      <c r="A813" t="s">
        <v>13</v>
      </c>
      <c r="B813" t="s">
        <v>35</v>
      </c>
      <c r="C813" s="77" t="s">
        <v>93</v>
      </c>
      <c r="D813" t="s">
        <v>81</v>
      </c>
      <c r="E813" s="77" t="s">
        <v>101</v>
      </c>
      <c r="F813" s="77" t="s">
        <v>73</v>
      </c>
      <c r="G813" s="77" t="s">
        <v>74</v>
      </c>
      <c r="H813" s="77" t="s">
        <v>127</v>
      </c>
      <c r="I813" s="77" t="s">
        <v>84</v>
      </c>
      <c r="J813" s="76">
        <v>0</v>
      </c>
    </row>
    <row r="814" spans="1:10" x14ac:dyDescent="0.35">
      <c r="A814" t="s">
        <v>13</v>
      </c>
      <c r="B814" t="s">
        <v>35</v>
      </c>
      <c r="C814" s="77" t="s">
        <v>93</v>
      </c>
      <c r="D814" t="s">
        <v>81</v>
      </c>
      <c r="E814" s="77" t="s">
        <v>104</v>
      </c>
      <c r="F814" s="77" t="s">
        <v>73</v>
      </c>
      <c r="G814" s="77" t="s">
        <v>74</v>
      </c>
      <c r="H814" s="77" t="s">
        <v>127</v>
      </c>
      <c r="I814" s="77" t="s">
        <v>84</v>
      </c>
      <c r="J814" s="76">
        <v>0</v>
      </c>
    </row>
    <row r="815" spans="1:10" x14ac:dyDescent="0.35">
      <c r="A815" t="s">
        <v>13</v>
      </c>
      <c r="B815" t="s">
        <v>35</v>
      </c>
      <c r="C815" s="77" t="s">
        <v>93</v>
      </c>
      <c r="D815" t="s">
        <v>81</v>
      </c>
      <c r="E815" s="77" t="s">
        <v>106</v>
      </c>
      <c r="F815" s="77" t="s">
        <v>73</v>
      </c>
      <c r="G815" s="77" t="s">
        <v>74</v>
      </c>
      <c r="H815" s="77" t="s">
        <v>127</v>
      </c>
      <c r="I815" s="77" t="s">
        <v>84</v>
      </c>
      <c r="J815" s="76">
        <v>0</v>
      </c>
    </row>
    <row r="816" spans="1:10" x14ac:dyDescent="0.35">
      <c r="A816" t="s">
        <v>13</v>
      </c>
      <c r="B816" t="s">
        <v>35</v>
      </c>
      <c r="C816" s="77" t="s">
        <v>73</v>
      </c>
      <c r="D816" t="s">
        <v>81</v>
      </c>
      <c r="E816" s="77" t="s">
        <v>82</v>
      </c>
      <c r="F816" s="77" t="s">
        <v>73</v>
      </c>
      <c r="G816" s="77" t="s">
        <v>74</v>
      </c>
      <c r="H816" s="77" t="s">
        <v>128</v>
      </c>
      <c r="I816" s="77" t="s">
        <v>84</v>
      </c>
      <c r="J816" s="76">
        <f>'SUT_EU27 total'!$N$28</f>
        <v>1.4658301341380521E-2</v>
      </c>
    </row>
    <row r="817" spans="1:10" x14ac:dyDescent="0.35">
      <c r="A817" t="s">
        <v>13</v>
      </c>
      <c r="B817" t="s">
        <v>35</v>
      </c>
      <c r="C817" s="77" t="s">
        <v>73</v>
      </c>
      <c r="D817" t="s">
        <v>81</v>
      </c>
      <c r="E817" s="77" t="s">
        <v>86</v>
      </c>
      <c r="F817" s="77" t="s">
        <v>73</v>
      </c>
      <c r="G817" s="77" t="s">
        <v>74</v>
      </c>
      <c r="H817" s="77" t="s">
        <v>128</v>
      </c>
      <c r="I817" s="77" t="s">
        <v>84</v>
      </c>
      <c r="J817" s="76">
        <f>'SUT_EU27 total'!$N$35</f>
        <v>3.0740776778828832E-3</v>
      </c>
    </row>
    <row r="818" spans="1:10" x14ac:dyDescent="0.35">
      <c r="A818" t="s">
        <v>13</v>
      </c>
      <c r="B818" t="s">
        <v>35</v>
      </c>
      <c r="C818" s="77" t="s">
        <v>88</v>
      </c>
      <c r="D818" t="s">
        <v>81</v>
      </c>
      <c r="E818" s="77" t="s">
        <v>82</v>
      </c>
      <c r="F818" s="77" t="s">
        <v>73</v>
      </c>
      <c r="G818" s="77" t="s">
        <v>74</v>
      </c>
      <c r="H818" s="77" t="s">
        <v>128</v>
      </c>
      <c r="I818" s="77" t="s">
        <v>84</v>
      </c>
      <c r="J818" s="76">
        <f>'SUT_EU27 total'!$N$45</f>
        <v>9.2276548594747033E-3</v>
      </c>
    </row>
    <row r="819" spans="1:10" x14ac:dyDescent="0.35">
      <c r="A819" t="s">
        <v>13</v>
      </c>
      <c r="B819" t="s">
        <v>35</v>
      </c>
      <c r="C819" s="77" t="s">
        <v>88</v>
      </c>
      <c r="D819" t="s">
        <v>81</v>
      </c>
      <c r="E819" s="77" t="s">
        <v>86</v>
      </c>
      <c r="F819" s="77" t="s">
        <v>73</v>
      </c>
      <c r="G819" s="77" t="s">
        <v>74</v>
      </c>
      <c r="H819" s="77" t="s">
        <v>128</v>
      </c>
      <c r="I819" s="77" t="s">
        <v>84</v>
      </c>
      <c r="J819" s="76">
        <f>'SUT_EU27 total'!$N$52</f>
        <v>6.9627451701437512E-2</v>
      </c>
    </row>
    <row r="820" spans="1:10" x14ac:dyDescent="0.35">
      <c r="A820" t="s">
        <v>13</v>
      </c>
      <c r="B820" t="s">
        <v>35</v>
      </c>
      <c r="C820" s="77" t="s">
        <v>90</v>
      </c>
      <c r="D820" t="s">
        <v>81</v>
      </c>
      <c r="E820" s="77" t="s">
        <v>82</v>
      </c>
      <c r="F820" s="77" t="s">
        <v>73</v>
      </c>
      <c r="G820" s="77" t="s">
        <v>74</v>
      </c>
      <c r="H820" s="77" t="s">
        <v>128</v>
      </c>
      <c r="I820" s="77" t="s">
        <v>84</v>
      </c>
      <c r="J820" s="76">
        <f>'SUT_EU27 total'!$N$62</f>
        <v>2.2200107734217647E-6</v>
      </c>
    </row>
    <row r="821" spans="1:10" x14ac:dyDescent="0.35">
      <c r="A821" t="s">
        <v>13</v>
      </c>
      <c r="B821" t="s">
        <v>35</v>
      </c>
      <c r="C821" s="77" t="s">
        <v>90</v>
      </c>
      <c r="D821" t="s">
        <v>81</v>
      </c>
      <c r="E821" s="77" t="s">
        <v>86</v>
      </c>
      <c r="F821" s="77" t="s">
        <v>73</v>
      </c>
      <c r="G821" s="77" t="s">
        <v>74</v>
      </c>
      <c r="H821" s="77" t="s">
        <v>128</v>
      </c>
      <c r="I821" s="77" t="s">
        <v>84</v>
      </c>
      <c r="J821" s="76">
        <f>'SUT_EU27 total'!$N$69</f>
        <v>9.1135123377023061E-3</v>
      </c>
    </row>
    <row r="822" spans="1:10" x14ac:dyDescent="0.35">
      <c r="A822" t="s">
        <v>13</v>
      </c>
      <c r="B822" t="s">
        <v>35</v>
      </c>
      <c r="C822" s="77" t="s">
        <v>91</v>
      </c>
      <c r="D822" t="s">
        <v>81</v>
      </c>
      <c r="E822" s="77" t="s">
        <v>82</v>
      </c>
      <c r="F822" s="77" t="s">
        <v>73</v>
      </c>
      <c r="G822" s="77" t="s">
        <v>74</v>
      </c>
      <c r="H822" s="77" t="s">
        <v>128</v>
      </c>
      <c r="I822" s="77" t="s">
        <v>84</v>
      </c>
      <c r="J822" s="76">
        <f>'SUT_EU27 total'!$N$79</f>
        <v>4.3195382907628159E-4</v>
      </c>
    </row>
    <row r="823" spans="1:10" x14ac:dyDescent="0.35">
      <c r="A823" t="s">
        <v>13</v>
      </c>
      <c r="B823" t="s">
        <v>35</v>
      </c>
      <c r="C823" s="77" t="s">
        <v>91</v>
      </c>
      <c r="D823" t="s">
        <v>81</v>
      </c>
      <c r="E823" s="77" t="s">
        <v>86</v>
      </c>
      <c r="F823" s="77" t="s">
        <v>73</v>
      </c>
      <c r="G823" s="77" t="s">
        <v>74</v>
      </c>
      <c r="H823" s="77" t="s">
        <v>128</v>
      </c>
      <c r="I823" s="77" t="s">
        <v>84</v>
      </c>
      <c r="J823" s="76">
        <f>'SUT_EU27 total'!$N$86</f>
        <v>1.1339568587203704E-2</v>
      </c>
    </row>
    <row r="824" spans="1:10" x14ac:dyDescent="0.35">
      <c r="A824" t="s">
        <v>13</v>
      </c>
      <c r="B824" t="s">
        <v>35</v>
      </c>
      <c r="C824" s="77" t="s">
        <v>92</v>
      </c>
      <c r="D824" t="s">
        <v>81</v>
      </c>
      <c r="E824" s="77" t="s">
        <v>82</v>
      </c>
      <c r="F824" s="77" t="s">
        <v>73</v>
      </c>
      <c r="G824" s="77" t="s">
        <v>74</v>
      </c>
      <c r="H824" s="77" t="s">
        <v>128</v>
      </c>
      <c r="I824" s="77" t="s">
        <v>84</v>
      </c>
      <c r="J824" s="76">
        <f>'SUT_EU27 total'!$N$96</f>
        <v>5.9963902402539811E-4</v>
      </c>
    </row>
    <row r="825" spans="1:10" x14ac:dyDescent="0.35">
      <c r="A825" t="s">
        <v>13</v>
      </c>
      <c r="B825" t="s">
        <v>35</v>
      </c>
      <c r="C825" s="77" t="s">
        <v>92</v>
      </c>
      <c r="D825" t="s">
        <v>81</v>
      </c>
      <c r="E825" s="77" t="s">
        <v>86</v>
      </c>
      <c r="F825" s="77" t="s">
        <v>73</v>
      </c>
      <c r="G825" s="77" t="s">
        <v>74</v>
      </c>
      <c r="H825" s="77" t="s">
        <v>128</v>
      </c>
      <c r="I825" s="77" t="s">
        <v>84</v>
      </c>
      <c r="J825" s="76">
        <f>'SUT_EU27 total'!$N$103</f>
        <v>7.0614092017150581E-3</v>
      </c>
    </row>
    <row r="826" spans="1:10" x14ac:dyDescent="0.35">
      <c r="A826" t="s">
        <v>13</v>
      </c>
      <c r="B826" t="s">
        <v>35</v>
      </c>
      <c r="C826" s="77" t="s">
        <v>93</v>
      </c>
      <c r="D826" t="s">
        <v>81</v>
      </c>
      <c r="E826" s="77" t="s">
        <v>82</v>
      </c>
      <c r="F826" s="77" t="s">
        <v>73</v>
      </c>
      <c r="G826" s="77" t="s">
        <v>74</v>
      </c>
      <c r="H826" s="77" t="s">
        <v>128</v>
      </c>
      <c r="I826" s="77" t="s">
        <v>84</v>
      </c>
      <c r="J826" s="76">
        <f>'SUT_EU27 total'!$N$113</f>
        <v>2.4854239602480213E-3</v>
      </c>
    </row>
    <row r="827" spans="1:10" x14ac:dyDescent="0.35">
      <c r="A827" t="s">
        <v>13</v>
      </c>
      <c r="B827" t="s">
        <v>35</v>
      </c>
      <c r="C827" s="77" t="s">
        <v>93</v>
      </c>
      <c r="D827" t="s">
        <v>81</v>
      </c>
      <c r="E827" s="77" t="s">
        <v>86</v>
      </c>
      <c r="F827" s="77" t="s">
        <v>73</v>
      </c>
      <c r="G827" s="77" t="s">
        <v>74</v>
      </c>
      <c r="H827" s="77" t="s">
        <v>128</v>
      </c>
      <c r="I827" s="77" t="s">
        <v>84</v>
      </c>
      <c r="J827" s="76">
        <f>'SUT_EU27 total'!$N$120</f>
        <v>3.1580644155014347E-2</v>
      </c>
    </row>
    <row r="828" spans="1:10" x14ac:dyDescent="0.35">
      <c r="A828" t="s">
        <v>13</v>
      </c>
      <c r="B828" t="s">
        <v>35</v>
      </c>
      <c r="C828" s="77" t="s">
        <v>73</v>
      </c>
      <c r="D828" t="s">
        <v>81</v>
      </c>
      <c r="E828" s="77" t="s">
        <v>82</v>
      </c>
      <c r="F828" s="77" t="s">
        <v>73</v>
      </c>
      <c r="G828" s="77" t="s">
        <v>74</v>
      </c>
      <c r="H828" s="77" t="s">
        <v>129</v>
      </c>
      <c r="I828" s="77" t="s">
        <v>84</v>
      </c>
      <c r="J828" s="76">
        <f>'SUT_EU27 total'!$O$28</f>
        <v>1.4658301341380521E-2</v>
      </c>
    </row>
    <row r="829" spans="1:10" x14ac:dyDescent="0.35">
      <c r="A829" t="s">
        <v>13</v>
      </c>
      <c r="B829" t="s">
        <v>35</v>
      </c>
      <c r="C829" s="77" t="s">
        <v>73</v>
      </c>
      <c r="D829" t="s">
        <v>81</v>
      </c>
      <c r="E829" s="77" t="s">
        <v>86</v>
      </c>
      <c r="F829" s="77" t="s">
        <v>73</v>
      </c>
      <c r="G829" s="77" t="s">
        <v>74</v>
      </c>
      <c r="H829" s="77" t="s">
        <v>129</v>
      </c>
      <c r="I829" s="77" t="s">
        <v>84</v>
      </c>
      <c r="J829" s="76">
        <f>'SUT_EU27 total'!$O$35</f>
        <v>3.0740776778828832E-3</v>
      </c>
    </row>
    <row r="830" spans="1:10" x14ac:dyDescent="0.35">
      <c r="A830" t="s">
        <v>13</v>
      </c>
      <c r="B830" t="s">
        <v>35</v>
      </c>
      <c r="C830" s="77" t="s">
        <v>88</v>
      </c>
      <c r="D830" t="s">
        <v>81</v>
      </c>
      <c r="E830" s="77" t="s">
        <v>82</v>
      </c>
      <c r="F830" s="77" t="s">
        <v>73</v>
      </c>
      <c r="G830" s="77" t="s">
        <v>74</v>
      </c>
      <c r="H830" s="77" t="s">
        <v>129</v>
      </c>
      <c r="I830" s="77" t="s">
        <v>84</v>
      </c>
      <c r="J830" s="76">
        <f>'SUT_EU27 total'!$O$45</f>
        <v>9.2276548594747033E-3</v>
      </c>
    </row>
    <row r="831" spans="1:10" x14ac:dyDescent="0.35">
      <c r="A831" t="s">
        <v>13</v>
      </c>
      <c r="B831" t="s">
        <v>35</v>
      </c>
      <c r="C831" s="77" t="s">
        <v>88</v>
      </c>
      <c r="D831" t="s">
        <v>81</v>
      </c>
      <c r="E831" s="77" t="s">
        <v>86</v>
      </c>
      <c r="F831" s="77" t="s">
        <v>73</v>
      </c>
      <c r="G831" s="77" t="s">
        <v>74</v>
      </c>
      <c r="H831" s="77" t="s">
        <v>129</v>
      </c>
      <c r="I831" s="77" t="s">
        <v>84</v>
      </c>
      <c r="J831" s="76">
        <f>'SUT_EU27 total'!$O$52</f>
        <v>6.9627451701437512E-2</v>
      </c>
    </row>
    <row r="832" spans="1:10" x14ac:dyDescent="0.35">
      <c r="A832" t="s">
        <v>13</v>
      </c>
      <c r="B832" t="s">
        <v>35</v>
      </c>
      <c r="C832" s="77" t="s">
        <v>90</v>
      </c>
      <c r="D832" t="s">
        <v>81</v>
      </c>
      <c r="E832" s="77" t="s">
        <v>82</v>
      </c>
      <c r="F832" s="77" t="s">
        <v>73</v>
      </c>
      <c r="G832" s="77" t="s">
        <v>74</v>
      </c>
      <c r="H832" s="77" t="s">
        <v>129</v>
      </c>
      <c r="I832" s="77" t="s">
        <v>84</v>
      </c>
      <c r="J832" s="76">
        <f>'SUT_EU27 total'!$O$62</f>
        <v>2.2200107734217647E-6</v>
      </c>
    </row>
    <row r="833" spans="1:10" x14ac:dyDescent="0.35">
      <c r="A833" t="s">
        <v>13</v>
      </c>
      <c r="B833" t="s">
        <v>35</v>
      </c>
      <c r="C833" s="77" t="s">
        <v>90</v>
      </c>
      <c r="D833" t="s">
        <v>81</v>
      </c>
      <c r="E833" s="77" t="s">
        <v>86</v>
      </c>
      <c r="F833" s="77" t="s">
        <v>73</v>
      </c>
      <c r="G833" s="77" t="s">
        <v>74</v>
      </c>
      <c r="H833" s="77" t="s">
        <v>129</v>
      </c>
      <c r="I833" s="77" t="s">
        <v>84</v>
      </c>
      <c r="J833" s="76">
        <f>'SUT_EU27 total'!$O$69</f>
        <v>9.1135123377023061E-3</v>
      </c>
    </row>
    <row r="834" spans="1:10" x14ac:dyDescent="0.35">
      <c r="A834" t="s">
        <v>13</v>
      </c>
      <c r="B834" t="s">
        <v>35</v>
      </c>
      <c r="C834" s="77" t="s">
        <v>91</v>
      </c>
      <c r="D834" t="s">
        <v>81</v>
      </c>
      <c r="E834" s="77" t="s">
        <v>82</v>
      </c>
      <c r="F834" s="77" t="s">
        <v>73</v>
      </c>
      <c r="G834" s="77" t="s">
        <v>74</v>
      </c>
      <c r="H834" s="77" t="s">
        <v>129</v>
      </c>
      <c r="I834" s="77" t="s">
        <v>84</v>
      </c>
      <c r="J834" s="76">
        <f>'SUT_EU27 total'!$O$79</f>
        <v>4.3195382907628159E-4</v>
      </c>
    </row>
    <row r="835" spans="1:10" x14ac:dyDescent="0.35">
      <c r="A835" t="s">
        <v>13</v>
      </c>
      <c r="B835" t="s">
        <v>35</v>
      </c>
      <c r="C835" s="77" t="s">
        <v>91</v>
      </c>
      <c r="D835" t="s">
        <v>81</v>
      </c>
      <c r="E835" s="77" t="s">
        <v>86</v>
      </c>
      <c r="F835" s="77" t="s">
        <v>73</v>
      </c>
      <c r="G835" s="77" t="s">
        <v>74</v>
      </c>
      <c r="H835" s="77" t="s">
        <v>129</v>
      </c>
      <c r="I835" s="77" t="s">
        <v>84</v>
      </c>
      <c r="J835" s="76">
        <f>'SUT_EU27 total'!$O$86</f>
        <v>1.1339568587203704E-2</v>
      </c>
    </row>
    <row r="836" spans="1:10" x14ac:dyDescent="0.35">
      <c r="A836" t="s">
        <v>13</v>
      </c>
      <c r="B836" t="s">
        <v>35</v>
      </c>
      <c r="C836" s="77" t="s">
        <v>92</v>
      </c>
      <c r="D836" t="s">
        <v>81</v>
      </c>
      <c r="E836" s="77" t="s">
        <v>82</v>
      </c>
      <c r="F836" s="77" t="s">
        <v>73</v>
      </c>
      <c r="G836" s="77" t="s">
        <v>74</v>
      </c>
      <c r="H836" s="77" t="s">
        <v>129</v>
      </c>
      <c r="I836" s="77" t="s">
        <v>84</v>
      </c>
      <c r="J836" s="76">
        <f>'SUT_EU27 total'!$O$96</f>
        <v>5.9963902402539811E-4</v>
      </c>
    </row>
    <row r="837" spans="1:10" x14ac:dyDescent="0.35">
      <c r="A837" t="s">
        <v>13</v>
      </c>
      <c r="B837" t="s">
        <v>35</v>
      </c>
      <c r="C837" s="77" t="s">
        <v>92</v>
      </c>
      <c r="D837" t="s">
        <v>81</v>
      </c>
      <c r="E837" s="77" t="s">
        <v>86</v>
      </c>
      <c r="F837" s="77" t="s">
        <v>73</v>
      </c>
      <c r="G837" s="77" t="s">
        <v>74</v>
      </c>
      <c r="H837" s="77" t="s">
        <v>129</v>
      </c>
      <c r="I837" s="77" t="s">
        <v>84</v>
      </c>
      <c r="J837" s="76">
        <f>'SUT_EU27 total'!$O$103</f>
        <v>7.0614092017150581E-3</v>
      </c>
    </row>
    <row r="838" spans="1:10" x14ac:dyDescent="0.35">
      <c r="A838" t="s">
        <v>13</v>
      </c>
      <c r="B838" t="s">
        <v>35</v>
      </c>
      <c r="C838" s="77" t="s">
        <v>93</v>
      </c>
      <c r="D838" t="s">
        <v>81</v>
      </c>
      <c r="E838" s="77" t="s">
        <v>82</v>
      </c>
      <c r="F838" s="77" t="s">
        <v>73</v>
      </c>
      <c r="G838" s="77" t="s">
        <v>74</v>
      </c>
      <c r="H838" s="77" t="s">
        <v>129</v>
      </c>
      <c r="I838" s="77" t="s">
        <v>84</v>
      </c>
      <c r="J838" s="76">
        <f>'SUT_EU27 total'!$O$113</f>
        <v>2.4854239602480213E-3</v>
      </c>
    </row>
    <row r="839" spans="1:10" x14ac:dyDescent="0.35">
      <c r="A839" t="s">
        <v>13</v>
      </c>
      <c r="B839" t="s">
        <v>35</v>
      </c>
      <c r="C839" s="77" t="s">
        <v>93</v>
      </c>
      <c r="D839" t="s">
        <v>81</v>
      </c>
      <c r="E839" s="77" t="s">
        <v>86</v>
      </c>
      <c r="F839" s="77" t="s">
        <v>73</v>
      </c>
      <c r="G839" s="77" t="s">
        <v>74</v>
      </c>
      <c r="H839" s="77" t="s">
        <v>129</v>
      </c>
      <c r="I839" s="77" t="s">
        <v>84</v>
      </c>
      <c r="J839" s="76">
        <f>'SUT_EU27 total'!$O$120</f>
        <v>3.1580644155014347E-2</v>
      </c>
    </row>
    <row r="840" spans="1:10" x14ac:dyDescent="0.35">
      <c r="A840" t="s">
        <v>13</v>
      </c>
      <c r="B840" t="s">
        <v>35</v>
      </c>
      <c r="C840" s="77" t="s">
        <v>73</v>
      </c>
      <c r="D840" t="s">
        <v>81</v>
      </c>
      <c r="E840" s="77" t="s">
        <v>82</v>
      </c>
      <c r="F840" s="77" t="s">
        <v>73</v>
      </c>
      <c r="G840" s="77" t="s">
        <v>74</v>
      </c>
      <c r="H840" s="77" t="s">
        <v>130</v>
      </c>
      <c r="I840" s="77" t="s">
        <v>84</v>
      </c>
      <c r="J840" s="55" cm="1">
        <f t="array" ref="J840:J845">Sensitivity!J76:J81</f>
        <v>8.2729226706694789E-2</v>
      </c>
    </row>
    <row r="841" spans="1:10" x14ac:dyDescent="0.35">
      <c r="A841" t="s">
        <v>13</v>
      </c>
      <c r="B841" t="s">
        <v>35</v>
      </c>
      <c r="C841" s="77" t="s">
        <v>88</v>
      </c>
      <c r="D841" t="s">
        <v>81</v>
      </c>
      <c r="E841" s="77" t="s">
        <v>82</v>
      </c>
      <c r="F841" s="77" t="s">
        <v>73</v>
      </c>
      <c r="G841" s="77" t="s">
        <v>74</v>
      </c>
      <c r="H841" s="77" t="s">
        <v>130</v>
      </c>
      <c r="I841" s="77" t="s">
        <v>84</v>
      </c>
      <c r="J841" s="55">
        <v>5.2079482680952971E-2</v>
      </c>
    </row>
    <row r="842" spans="1:10" x14ac:dyDescent="0.35">
      <c r="A842" t="s">
        <v>13</v>
      </c>
      <c r="B842" t="s">
        <v>35</v>
      </c>
      <c r="C842" s="77" t="s">
        <v>90</v>
      </c>
      <c r="D842" t="s">
        <v>81</v>
      </c>
      <c r="E842" s="77" t="s">
        <v>82</v>
      </c>
      <c r="F842" s="77" t="s">
        <v>73</v>
      </c>
      <c r="G842" s="77" t="s">
        <v>74</v>
      </c>
      <c r="H842" s="77" t="s">
        <v>130</v>
      </c>
      <c r="I842" s="77" t="s">
        <v>84</v>
      </c>
      <c r="J842" s="55">
        <v>1.2529403666115169E-5</v>
      </c>
    </row>
    <row r="843" spans="1:10" x14ac:dyDescent="0.35">
      <c r="A843" t="s">
        <v>13</v>
      </c>
      <c r="B843" t="s">
        <v>35</v>
      </c>
      <c r="C843" s="77" t="s">
        <v>91</v>
      </c>
      <c r="D843" t="s">
        <v>81</v>
      </c>
      <c r="E843" s="77" t="s">
        <v>82</v>
      </c>
      <c r="F843" s="77" t="s">
        <v>73</v>
      </c>
      <c r="G843" s="77" t="s">
        <v>74</v>
      </c>
      <c r="H843" s="77" t="s">
        <v>130</v>
      </c>
      <c r="I843" s="77" t="s">
        <v>84</v>
      </c>
      <c r="J843" s="55">
        <v>2.4378818131945324E-3</v>
      </c>
    </row>
    <row r="844" spans="1:10" x14ac:dyDescent="0.35">
      <c r="A844" t="s">
        <v>13</v>
      </c>
      <c r="B844" t="s">
        <v>35</v>
      </c>
      <c r="C844" s="77" t="s">
        <v>92</v>
      </c>
      <c r="D844" t="s">
        <v>81</v>
      </c>
      <c r="E844" s="77" t="s">
        <v>82</v>
      </c>
      <c r="F844" s="77" t="s">
        <v>73</v>
      </c>
      <c r="G844" s="77" t="s">
        <v>74</v>
      </c>
      <c r="H844" s="77" t="s">
        <v>130</v>
      </c>
      <c r="I844" s="77" t="s">
        <v>84</v>
      </c>
      <c r="J844" s="55">
        <v>3.3842715881911524E-3</v>
      </c>
    </row>
    <row r="845" spans="1:10" x14ac:dyDescent="0.35">
      <c r="A845" t="s">
        <v>13</v>
      </c>
      <c r="B845" t="s">
        <v>35</v>
      </c>
      <c r="C845" s="77" t="s">
        <v>93</v>
      </c>
      <c r="D845" t="s">
        <v>81</v>
      </c>
      <c r="E845" s="77" t="s">
        <v>82</v>
      </c>
      <c r="F845" s="77" t="s">
        <v>73</v>
      </c>
      <c r="G845" s="77" t="s">
        <v>74</v>
      </c>
      <c r="H845" s="77" t="s">
        <v>130</v>
      </c>
      <c r="I845" s="77" t="s">
        <v>84</v>
      </c>
      <c r="J845" s="55">
        <v>1.4027355385930732E-2</v>
      </c>
    </row>
    <row r="846" spans="1:10" x14ac:dyDescent="0.35">
      <c r="A846" t="s">
        <v>13</v>
      </c>
      <c r="B846" t="s">
        <v>35</v>
      </c>
      <c r="C846" s="77" t="s">
        <v>73</v>
      </c>
      <c r="D846" s="4" t="s">
        <v>81</v>
      </c>
      <c r="E846" s="77" t="s">
        <v>96</v>
      </c>
      <c r="F846" s="77" t="s">
        <v>73</v>
      </c>
      <c r="G846" s="77" t="s">
        <v>74</v>
      </c>
      <c r="H846" s="77" t="s">
        <v>130</v>
      </c>
      <c r="I846" s="77" t="s">
        <v>84</v>
      </c>
      <c r="J846" s="55" cm="1">
        <f t="array" ref="J846:J847">Sensitivity!J74:J75</f>
        <v>0.30207394048692521</v>
      </c>
    </row>
    <row r="847" spans="1:10" x14ac:dyDescent="0.35">
      <c r="A847" t="s">
        <v>13</v>
      </c>
      <c r="B847" t="s">
        <v>35</v>
      </c>
      <c r="C847" s="77" t="s">
        <v>73</v>
      </c>
      <c r="D847" s="4" t="s">
        <v>81</v>
      </c>
      <c r="E847" s="77" t="s">
        <v>99</v>
      </c>
      <c r="F847" s="77" t="s">
        <v>73</v>
      </c>
      <c r="G847" s="77" t="s">
        <v>74</v>
      </c>
      <c r="H847" s="77" t="s">
        <v>130</v>
      </c>
      <c r="I847" s="77" t="s">
        <v>84</v>
      </c>
      <c r="J847" s="55">
        <v>1.2082957619477008</v>
      </c>
    </row>
    <row r="848" spans="1:10" x14ac:dyDescent="0.35">
      <c r="A848" t="s">
        <v>13</v>
      </c>
      <c r="B848" t="s">
        <v>35</v>
      </c>
      <c r="C848" s="77" t="s">
        <v>73</v>
      </c>
      <c r="D848" t="s">
        <v>81</v>
      </c>
      <c r="E848" s="77" t="s">
        <v>131</v>
      </c>
      <c r="F848" s="77" t="s">
        <v>73</v>
      </c>
      <c r="G848" s="77" t="s">
        <v>74</v>
      </c>
      <c r="H848" s="77" t="s">
        <v>112</v>
      </c>
      <c r="I848" s="77" t="s">
        <v>84</v>
      </c>
      <c r="J848" s="76">
        <f>'SUT_EU27 total'!$R$24</f>
        <v>4.0146105919003111E-8</v>
      </c>
    </row>
    <row r="849" spans="1:10" x14ac:dyDescent="0.35">
      <c r="A849" t="s">
        <v>13</v>
      </c>
      <c r="B849" t="s">
        <v>35</v>
      </c>
      <c r="C849" s="77" t="s">
        <v>73</v>
      </c>
      <c r="D849" t="s">
        <v>81</v>
      </c>
      <c r="E849" s="77" t="s">
        <v>122</v>
      </c>
      <c r="F849" s="77" t="s">
        <v>73</v>
      </c>
      <c r="G849" s="77" t="s">
        <v>74</v>
      </c>
      <c r="H849" s="77" t="s">
        <v>112</v>
      </c>
      <c r="I849" s="77" t="s">
        <v>84</v>
      </c>
      <c r="J849" s="76">
        <f>'SUT_EU27 total'!$R$30</f>
        <v>3.9708116569218732E-4</v>
      </c>
    </row>
    <row r="850" spans="1:10" x14ac:dyDescent="0.35">
      <c r="A850" t="s">
        <v>13</v>
      </c>
      <c r="B850" t="s">
        <v>35</v>
      </c>
      <c r="C850" s="77" t="s">
        <v>73</v>
      </c>
      <c r="D850" t="s">
        <v>81</v>
      </c>
      <c r="E850" s="77" t="s">
        <v>101</v>
      </c>
      <c r="F850" s="77" t="s">
        <v>73</v>
      </c>
      <c r="G850" s="77" t="s">
        <v>74</v>
      </c>
      <c r="H850" s="77" t="s">
        <v>112</v>
      </c>
      <c r="I850" s="77" t="s">
        <v>84</v>
      </c>
      <c r="J850" s="76" cm="1">
        <f t="array" ref="J850:J852">'SUT_EU27 total'!$R$32:$R$34</f>
        <v>1.2183459827918709E-7</v>
      </c>
    </row>
    <row r="851" spans="1:10" x14ac:dyDescent="0.35">
      <c r="A851" t="s">
        <v>13</v>
      </c>
      <c r="B851" t="s">
        <v>35</v>
      </c>
      <c r="C851" s="77" t="s">
        <v>73</v>
      </c>
      <c r="D851" t="s">
        <v>81</v>
      </c>
      <c r="E851" s="77" t="s">
        <v>104</v>
      </c>
      <c r="F851" s="77" t="s">
        <v>73</v>
      </c>
      <c r="G851" s="77" t="s">
        <v>74</v>
      </c>
      <c r="H851" s="77" t="s">
        <v>112</v>
      </c>
      <c r="I851" s="77" t="s">
        <v>84</v>
      </c>
      <c r="J851" s="76">
        <v>2.3068290654205609E-7</v>
      </c>
    </row>
    <row r="852" spans="1:10" x14ac:dyDescent="0.35">
      <c r="A852" t="s">
        <v>13</v>
      </c>
      <c r="B852" t="s">
        <v>35</v>
      </c>
      <c r="C852" s="77" t="s">
        <v>73</v>
      </c>
      <c r="D852" t="s">
        <v>81</v>
      </c>
      <c r="E852" s="77" t="s">
        <v>106</v>
      </c>
      <c r="F852" s="77" t="s">
        <v>73</v>
      </c>
      <c r="G852" s="77" t="s">
        <v>74</v>
      </c>
      <c r="H852" s="77" t="s">
        <v>112</v>
      </c>
      <c r="I852" s="77" t="s">
        <v>84</v>
      </c>
      <c r="J852" s="76">
        <v>7.8463573653760568E-7</v>
      </c>
    </row>
    <row r="853" spans="1:10" x14ac:dyDescent="0.35">
      <c r="A853" t="s">
        <v>13</v>
      </c>
      <c r="B853" t="s">
        <v>35</v>
      </c>
      <c r="C853" s="77" t="s">
        <v>88</v>
      </c>
      <c r="D853" t="s">
        <v>81</v>
      </c>
      <c r="E853" s="77" t="s">
        <v>131</v>
      </c>
      <c r="F853" s="77" t="s">
        <v>73</v>
      </c>
      <c r="G853" s="77" t="s">
        <v>74</v>
      </c>
      <c r="H853" s="77" t="s">
        <v>112</v>
      </c>
      <c r="I853" s="77" t="s">
        <v>84</v>
      </c>
      <c r="J853" s="76">
        <f>'SUT_EU27 total'!$R$41</f>
        <v>0</v>
      </c>
    </row>
    <row r="854" spans="1:10" x14ac:dyDescent="0.35">
      <c r="A854" t="s">
        <v>13</v>
      </c>
      <c r="B854" t="s">
        <v>35</v>
      </c>
      <c r="C854" s="77" t="s">
        <v>88</v>
      </c>
      <c r="D854" t="s">
        <v>81</v>
      </c>
      <c r="E854" s="77" t="s">
        <v>122</v>
      </c>
      <c r="F854" s="77" t="s">
        <v>73</v>
      </c>
      <c r="G854" s="77" t="s">
        <v>74</v>
      </c>
      <c r="H854" s="77" t="s">
        <v>112</v>
      </c>
      <c r="I854" s="77" t="s">
        <v>84</v>
      </c>
      <c r="J854" s="76">
        <f>'SUT_EU27 total'!$R$47</f>
        <v>0</v>
      </c>
    </row>
    <row r="855" spans="1:10" x14ac:dyDescent="0.35">
      <c r="A855" t="s">
        <v>13</v>
      </c>
      <c r="B855" t="s">
        <v>35</v>
      </c>
      <c r="C855" s="77" t="s">
        <v>88</v>
      </c>
      <c r="D855" t="s">
        <v>81</v>
      </c>
      <c r="E855" s="77" t="s">
        <v>101</v>
      </c>
      <c r="F855" s="77" t="s">
        <v>73</v>
      </c>
      <c r="G855" s="77" t="s">
        <v>74</v>
      </c>
      <c r="H855" s="77" t="s">
        <v>112</v>
      </c>
      <c r="I855" s="77" t="s">
        <v>84</v>
      </c>
      <c r="J855" s="76" cm="1">
        <f t="array" ref="J855:J857">'SUT_EU27 total'!$R$49:$R$51</f>
        <v>0</v>
      </c>
    </row>
    <row r="856" spans="1:10" x14ac:dyDescent="0.35">
      <c r="A856" t="s">
        <v>13</v>
      </c>
      <c r="B856" t="s">
        <v>35</v>
      </c>
      <c r="C856" s="77" t="s">
        <v>88</v>
      </c>
      <c r="D856" t="s">
        <v>81</v>
      </c>
      <c r="E856" s="77" t="s">
        <v>104</v>
      </c>
      <c r="F856" s="77" t="s">
        <v>73</v>
      </c>
      <c r="G856" s="77" t="s">
        <v>74</v>
      </c>
      <c r="H856" s="77" t="s">
        <v>112</v>
      </c>
      <c r="I856" s="77" t="s">
        <v>84</v>
      </c>
      <c r="J856" s="76">
        <v>0</v>
      </c>
    </row>
    <row r="857" spans="1:10" x14ac:dyDescent="0.35">
      <c r="A857" t="s">
        <v>13</v>
      </c>
      <c r="B857" t="s">
        <v>35</v>
      </c>
      <c r="C857" s="77" t="s">
        <v>88</v>
      </c>
      <c r="D857" t="s">
        <v>81</v>
      </c>
      <c r="E857" s="77" t="s">
        <v>106</v>
      </c>
      <c r="F857" s="77" t="s">
        <v>73</v>
      </c>
      <c r="G857" s="77" t="s">
        <v>74</v>
      </c>
      <c r="H857" s="77" t="s">
        <v>112</v>
      </c>
      <c r="I857" s="77" t="s">
        <v>84</v>
      </c>
      <c r="J857" s="76">
        <v>0</v>
      </c>
    </row>
    <row r="858" spans="1:10" x14ac:dyDescent="0.35">
      <c r="A858" t="s">
        <v>13</v>
      </c>
      <c r="B858" t="s">
        <v>35</v>
      </c>
      <c r="C858" s="77" t="s">
        <v>90</v>
      </c>
      <c r="D858" t="s">
        <v>81</v>
      </c>
      <c r="E858" s="77" t="s">
        <v>131</v>
      </c>
      <c r="F858" s="77" t="s">
        <v>73</v>
      </c>
      <c r="G858" s="77" t="s">
        <v>74</v>
      </c>
      <c r="H858" s="77" t="s">
        <v>112</v>
      </c>
      <c r="I858" s="77" t="s">
        <v>84</v>
      </c>
      <c r="J858" s="76">
        <f>'SUT_EU27 total'!$R$58</f>
        <v>0</v>
      </c>
    </row>
    <row r="859" spans="1:10" x14ac:dyDescent="0.35">
      <c r="A859" t="s">
        <v>13</v>
      </c>
      <c r="B859" t="s">
        <v>35</v>
      </c>
      <c r="C859" s="77" t="s">
        <v>90</v>
      </c>
      <c r="D859" t="s">
        <v>81</v>
      </c>
      <c r="E859" s="77" t="s">
        <v>122</v>
      </c>
      <c r="F859" s="77" t="s">
        <v>73</v>
      </c>
      <c r="G859" s="77" t="s">
        <v>74</v>
      </c>
      <c r="H859" s="77" t="s">
        <v>112</v>
      </c>
      <c r="I859" s="77" t="s">
        <v>84</v>
      </c>
      <c r="J859" s="76">
        <f>'SUT_EU27 total'!$R$64</f>
        <v>6.4108466461028498E-4</v>
      </c>
    </row>
    <row r="860" spans="1:10" x14ac:dyDescent="0.35">
      <c r="A860" t="s">
        <v>13</v>
      </c>
      <c r="B860" t="s">
        <v>35</v>
      </c>
      <c r="C860" s="77" t="s">
        <v>90</v>
      </c>
      <c r="D860" t="s">
        <v>81</v>
      </c>
      <c r="E860" s="77" t="s">
        <v>101</v>
      </c>
      <c r="F860" s="77" t="s">
        <v>73</v>
      </c>
      <c r="G860" s="77" t="s">
        <v>74</v>
      </c>
      <c r="H860" s="77" t="s">
        <v>112</v>
      </c>
      <c r="I860" s="77" t="s">
        <v>84</v>
      </c>
      <c r="J860" s="76" cm="1">
        <f t="array" ref="J860:J862">'SUT_EU27 total'!$R$66:$R$68</f>
        <v>0</v>
      </c>
    </row>
    <row r="861" spans="1:10" x14ac:dyDescent="0.35">
      <c r="A861" t="s">
        <v>13</v>
      </c>
      <c r="B861" t="s">
        <v>35</v>
      </c>
      <c r="C861" s="77" t="s">
        <v>90</v>
      </c>
      <c r="D861" t="s">
        <v>81</v>
      </c>
      <c r="E861" s="77" t="s">
        <v>104</v>
      </c>
      <c r="F861" s="77" t="s">
        <v>73</v>
      </c>
      <c r="G861" s="77" t="s">
        <v>74</v>
      </c>
      <c r="H861" s="77" t="s">
        <v>112</v>
      </c>
      <c r="I861" s="77" t="s">
        <v>84</v>
      </c>
      <c r="J861" s="76">
        <v>0</v>
      </c>
    </row>
    <row r="862" spans="1:10" x14ac:dyDescent="0.35">
      <c r="A862" t="s">
        <v>13</v>
      </c>
      <c r="B862" t="s">
        <v>35</v>
      </c>
      <c r="C862" s="77" t="s">
        <v>90</v>
      </c>
      <c r="D862" t="s">
        <v>81</v>
      </c>
      <c r="E862" s="77" t="s">
        <v>106</v>
      </c>
      <c r="F862" s="77" t="s">
        <v>73</v>
      </c>
      <c r="G862" s="77" t="s">
        <v>74</v>
      </c>
      <c r="H862" s="77" t="s">
        <v>112</v>
      </c>
      <c r="I862" s="77" t="s">
        <v>84</v>
      </c>
      <c r="J862" s="76">
        <v>0</v>
      </c>
    </row>
    <row r="863" spans="1:10" x14ac:dyDescent="0.35">
      <c r="A863" t="s">
        <v>13</v>
      </c>
      <c r="B863" t="s">
        <v>35</v>
      </c>
      <c r="C863" s="77" t="s">
        <v>91</v>
      </c>
      <c r="D863" t="s">
        <v>81</v>
      </c>
      <c r="E863" s="77" t="s">
        <v>131</v>
      </c>
      <c r="F863" s="77" t="s">
        <v>73</v>
      </c>
      <c r="G863" s="77" t="s">
        <v>74</v>
      </c>
      <c r="H863" s="77" t="s">
        <v>112</v>
      </c>
      <c r="I863" s="77" t="s">
        <v>84</v>
      </c>
      <c r="J863" s="76">
        <f>'SUT_EU27 total'!$R$75</f>
        <v>0</v>
      </c>
    </row>
    <row r="864" spans="1:10" x14ac:dyDescent="0.35">
      <c r="A864" t="s">
        <v>13</v>
      </c>
      <c r="B864" t="s">
        <v>35</v>
      </c>
      <c r="C864" s="77" t="s">
        <v>91</v>
      </c>
      <c r="D864" t="s">
        <v>81</v>
      </c>
      <c r="E864" s="77" t="s">
        <v>122</v>
      </c>
      <c r="F864" s="77" t="s">
        <v>73</v>
      </c>
      <c r="G864" s="77" t="s">
        <v>74</v>
      </c>
      <c r="H864" s="77" t="s">
        <v>112</v>
      </c>
      <c r="I864" s="77" t="s">
        <v>84</v>
      </c>
      <c r="J864" s="76">
        <f>'SUT_EU27 total'!$R$81</f>
        <v>0</v>
      </c>
    </row>
    <row r="865" spans="1:10" x14ac:dyDescent="0.35">
      <c r="A865" t="s">
        <v>13</v>
      </c>
      <c r="B865" t="s">
        <v>35</v>
      </c>
      <c r="C865" s="77" t="s">
        <v>91</v>
      </c>
      <c r="D865" t="s">
        <v>81</v>
      </c>
      <c r="E865" s="77" t="s">
        <v>101</v>
      </c>
      <c r="F865" s="77" t="s">
        <v>73</v>
      </c>
      <c r="G865" s="77" t="s">
        <v>74</v>
      </c>
      <c r="H865" s="77" t="s">
        <v>112</v>
      </c>
      <c r="I865" s="77" t="s">
        <v>84</v>
      </c>
      <c r="J865" s="76" cm="1">
        <f t="array" ref="J865:J867">'SUT_EU27 total'!$R$83:$R$85</f>
        <v>0</v>
      </c>
    </row>
    <row r="866" spans="1:10" x14ac:dyDescent="0.35">
      <c r="A866" t="s">
        <v>13</v>
      </c>
      <c r="B866" t="s">
        <v>35</v>
      </c>
      <c r="C866" s="77" t="s">
        <v>91</v>
      </c>
      <c r="D866" t="s">
        <v>81</v>
      </c>
      <c r="E866" s="77" t="s">
        <v>104</v>
      </c>
      <c r="F866" s="77" t="s">
        <v>73</v>
      </c>
      <c r="G866" s="77" t="s">
        <v>74</v>
      </c>
      <c r="H866" s="77" t="s">
        <v>112</v>
      </c>
      <c r="I866" s="77" t="s">
        <v>84</v>
      </c>
      <c r="J866" s="76">
        <v>0</v>
      </c>
    </row>
    <row r="867" spans="1:10" x14ac:dyDescent="0.35">
      <c r="A867" t="s">
        <v>13</v>
      </c>
      <c r="B867" t="s">
        <v>35</v>
      </c>
      <c r="C867" s="77" t="s">
        <v>91</v>
      </c>
      <c r="D867" t="s">
        <v>81</v>
      </c>
      <c r="E867" s="77" t="s">
        <v>106</v>
      </c>
      <c r="F867" s="77" t="s">
        <v>73</v>
      </c>
      <c r="G867" s="77" t="s">
        <v>74</v>
      </c>
      <c r="H867" s="77" t="s">
        <v>112</v>
      </c>
      <c r="I867" s="77" t="s">
        <v>84</v>
      </c>
      <c r="J867" s="76">
        <v>0</v>
      </c>
    </row>
    <row r="868" spans="1:10" x14ac:dyDescent="0.35">
      <c r="A868" t="s">
        <v>13</v>
      </c>
      <c r="B868" t="s">
        <v>35</v>
      </c>
      <c r="C868" s="77" t="s">
        <v>92</v>
      </c>
      <c r="D868" t="s">
        <v>81</v>
      </c>
      <c r="E868" s="77" t="s">
        <v>131</v>
      </c>
      <c r="F868" s="77" t="s">
        <v>73</v>
      </c>
      <c r="G868" s="77" t="s">
        <v>74</v>
      </c>
      <c r="H868" s="77" t="s">
        <v>112</v>
      </c>
      <c r="I868" s="77" t="s">
        <v>84</v>
      </c>
      <c r="J868" s="76">
        <f>'SUT_EU27 total'!$R$92</f>
        <v>0</v>
      </c>
    </row>
    <row r="869" spans="1:10" x14ac:dyDescent="0.35">
      <c r="A869" t="s">
        <v>13</v>
      </c>
      <c r="B869" t="s">
        <v>35</v>
      </c>
      <c r="C869" s="77" t="s">
        <v>92</v>
      </c>
      <c r="D869" t="s">
        <v>81</v>
      </c>
      <c r="E869" s="77" t="s">
        <v>122</v>
      </c>
      <c r="F869" s="77" t="s">
        <v>73</v>
      </c>
      <c r="G869" s="77" t="s">
        <v>74</v>
      </c>
      <c r="H869" s="77" t="s">
        <v>112</v>
      </c>
      <c r="I869" s="77" t="s">
        <v>84</v>
      </c>
      <c r="J869" s="76">
        <f>'SUT_EU27 total'!$R$98</f>
        <v>0</v>
      </c>
    </row>
    <row r="870" spans="1:10" x14ac:dyDescent="0.35">
      <c r="A870" t="s">
        <v>13</v>
      </c>
      <c r="B870" t="s">
        <v>35</v>
      </c>
      <c r="C870" s="77" t="s">
        <v>92</v>
      </c>
      <c r="D870" t="s">
        <v>81</v>
      </c>
      <c r="E870" s="77" t="s">
        <v>101</v>
      </c>
      <c r="F870" s="77" t="s">
        <v>73</v>
      </c>
      <c r="G870" s="77" t="s">
        <v>74</v>
      </c>
      <c r="H870" s="77" t="s">
        <v>112</v>
      </c>
      <c r="I870" s="77" t="s">
        <v>84</v>
      </c>
      <c r="J870" s="76" cm="1">
        <f t="array" ref="J870:J872">'SUT_EU27 total'!$R$100:$R$102</f>
        <v>0</v>
      </c>
    </row>
    <row r="871" spans="1:10" x14ac:dyDescent="0.35">
      <c r="A871" t="s">
        <v>13</v>
      </c>
      <c r="B871" t="s">
        <v>35</v>
      </c>
      <c r="C871" s="77" t="s">
        <v>92</v>
      </c>
      <c r="D871" t="s">
        <v>81</v>
      </c>
      <c r="E871" s="77" t="s">
        <v>104</v>
      </c>
      <c r="F871" s="77" t="s">
        <v>73</v>
      </c>
      <c r="G871" s="77" t="s">
        <v>74</v>
      </c>
      <c r="H871" s="77" t="s">
        <v>112</v>
      </c>
      <c r="I871" s="77" t="s">
        <v>84</v>
      </c>
      <c r="J871" s="76">
        <v>0</v>
      </c>
    </row>
    <row r="872" spans="1:10" x14ac:dyDescent="0.35">
      <c r="A872" t="s">
        <v>13</v>
      </c>
      <c r="B872" t="s">
        <v>35</v>
      </c>
      <c r="C872" s="77" t="s">
        <v>92</v>
      </c>
      <c r="D872" t="s">
        <v>81</v>
      </c>
      <c r="E872" s="77" t="s">
        <v>106</v>
      </c>
      <c r="F872" s="77" t="s">
        <v>73</v>
      </c>
      <c r="G872" s="77" t="s">
        <v>74</v>
      </c>
      <c r="H872" s="77" t="s">
        <v>112</v>
      </c>
      <c r="I872" s="77" t="s">
        <v>84</v>
      </c>
      <c r="J872" s="76">
        <v>0</v>
      </c>
    </row>
    <row r="873" spans="1:10" x14ac:dyDescent="0.35">
      <c r="A873" t="s">
        <v>13</v>
      </c>
      <c r="B873" t="s">
        <v>35</v>
      </c>
      <c r="C873" s="77" t="s">
        <v>93</v>
      </c>
      <c r="D873" t="s">
        <v>81</v>
      </c>
      <c r="E873" s="77" t="s">
        <v>131</v>
      </c>
      <c r="F873" s="77" t="s">
        <v>73</v>
      </c>
      <c r="G873" s="77" t="s">
        <v>74</v>
      </c>
      <c r="H873" s="77" t="s">
        <v>112</v>
      </c>
      <c r="I873" s="77" t="s">
        <v>84</v>
      </c>
      <c r="J873" s="76">
        <f>'SUT_EU27 total'!$R$109</f>
        <v>0</v>
      </c>
    </row>
    <row r="874" spans="1:10" x14ac:dyDescent="0.35">
      <c r="A874" t="s">
        <v>13</v>
      </c>
      <c r="B874" t="s">
        <v>35</v>
      </c>
      <c r="C874" s="77" t="s">
        <v>93</v>
      </c>
      <c r="D874" t="s">
        <v>81</v>
      </c>
      <c r="E874" s="77" t="s">
        <v>122</v>
      </c>
      <c r="F874" s="77" t="s">
        <v>73</v>
      </c>
      <c r="G874" s="77" t="s">
        <v>74</v>
      </c>
      <c r="H874" s="77" t="s">
        <v>112</v>
      </c>
      <c r="I874" s="77" t="s">
        <v>84</v>
      </c>
      <c r="J874" s="76">
        <f>'SUT_EU27 total'!$R$115</f>
        <v>2.188358424259166E-3</v>
      </c>
    </row>
    <row r="875" spans="1:10" x14ac:dyDescent="0.35">
      <c r="A875" t="s">
        <v>13</v>
      </c>
      <c r="B875" t="s">
        <v>35</v>
      </c>
      <c r="C875" s="77" t="s">
        <v>93</v>
      </c>
      <c r="D875" t="s">
        <v>81</v>
      </c>
      <c r="E875" s="77" t="s">
        <v>101</v>
      </c>
      <c r="F875" s="77" t="s">
        <v>73</v>
      </c>
      <c r="G875" s="77" t="s">
        <v>74</v>
      </c>
      <c r="H875" s="77" t="s">
        <v>112</v>
      </c>
      <c r="I875" s="77" t="s">
        <v>84</v>
      </c>
      <c r="J875" s="76" cm="1">
        <f t="array" ref="J875:J877">'SUT_EU27 total'!$R$117:$R$119</f>
        <v>0</v>
      </c>
    </row>
    <row r="876" spans="1:10" x14ac:dyDescent="0.35">
      <c r="A876" t="s">
        <v>13</v>
      </c>
      <c r="B876" t="s">
        <v>35</v>
      </c>
      <c r="C876" s="77" t="s">
        <v>93</v>
      </c>
      <c r="D876" t="s">
        <v>81</v>
      </c>
      <c r="E876" s="77" t="s">
        <v>104</v>
      </c>
      <c r="F876" s="77" t="s">
        <v>73</v>
      </c>
      <c r="G876" s="77" t="s">
        <v>74</v>
      </c>
      <c r="H876" s="77" t="s">
        <v>112</v>
      </c>
      <c r="I876" s="77" t="s">
        <v>84</v>
      </c>
      <c r="J876" s="76">
        <v>0</v>
      </c>
    </row>
    <row r="877" spans="1:10" x14ac:dyDescent="0.35">
      <c r="A877" t="s">
        <v>13</v>
      </c>
      <c r="B877" t="s">
        <v>35</v>
      </c>
      <c r="C877" s="77" t="s">
        <v>93</v>
      </c>
      <c r="D877" t="s">
        <v>81</v>
      </c>
      <c r="E877" s="77" t="s">
        <v>106</v>
      </c>
      <c r="F877" s="77" t="s">
        <v>73</v>
      </c>
      <c r="G877" s="77" t="s">
        <v>74</v>
      </c>
      <c r="H877" s="77" t="s">
        <v>112</v>
      </c>
      <c r="I877" s="77" t="s">
        <v>84</v>
      </c>
      <c r="J877" s="76">
        <v>0</v>
      </c>
    </row>
    <row r="878" spans="1:10" x14ac:dyDescent="0.35">
      <c r="A878" t="s">
        <v>13</v>
      </c>
      <c r="B878" t="s">
        <v>35</v>
      </c>
      <c r="C878" s="77" t="s">
        <v>73</v>
      </c>
      <c r="D878" t="s">
        <v>81</v>
      </c>
      <c r="E878" s="77" t="s">
        <v>131</v>
      </c>
      <c r="F878" s="77" t="s">
        <v>73</v>
      </c>
      <c r="G878" s="77" t="s">
        <v>74</v>
      </c>
      <c r="H878" s="77" t="s">
        <v>113</v>
      </c>
      <c r="I878" s="77" t="s">
        <v>84</v>
      </c>
      <c r="J878" s="76">
        <f>'SUT_EU27 total'!$S$24</f>
        <v>5.0294789999999994E-8</v>
      </c>
    </row>
    <row r="879" spans="1:10" x14ac:dyDescent="0.35">
      <c r="A879" t="s">
        <v>13</v>
      </c>
      <c r="B879" t="s">
        <v>35</v>
      </c>
      <c r="C879" s="77" t="s">
        <v>73</v>
      </c>
      <c r="D879" t="s">
        <v>81</v>
      </c>
      <c r="E879" s="77" t="s">
        <v>101</v>
      </c>
      <c r="F879" s="77" t="s">
        <v>73</v>
      </c>
      <c r="G879" s="77" t="s">
        <v>74</v>
      </c>
      <c r="H879" s="77" t="s">
        <v>113</v>
      </c>
      <c r="I879" s="77" t="s">
        <v>84</v>
      </c>
      <c r="J879" s="76" cm="1">
        <f t="array" ref="J879:J881">'SUT_EU27 total'!$S$32:$S$34</f>
        <v>1.7883556705882356E-5</v>
      </c>
    </row>
    <row r="880" spans="1:10" x14ac:dyDescent="0.35">
      <c r="A880" t="s">
        <v>13</v>
      </c>
      <c r="B880" t="s">
        <v>35</v>
      </c>
      <c r="C880" s="77" t="s">
        <v>73</v>
      </c>
      <c r="D880" t="s">
        <v>81</v>
      </c>
      <c r="E880" s="77" t="s">
        <v>104</v>
      </c>
      <c r="F880" s="77" t="s">
        <v>73</v>
      </c>
      <c r="G880" s="77" t="s">
        <v>74</v>
      </c>
      <c r="H880" s="77" t="s">
        <v>113</v>
      </c>
      <c r="I880" s="77" t="s">
        <v>84</v>
      </c>
      <c r="J880" s="76">
        <v>3.3860913882352942E-5</v>
      </c>
    </row>
    <row r="881" spans="1:10" x14ac:dyDescent="0.35">
      <c r="A881" t="s">
        <v>13</v>
      </c>
      <c r="B881" t="s">
        <v>35</v>
      </c>
      <c r="C881" s="77" t="s">
        <v>73</v>
      </c>
      <c r="D881" t="s">
        <v>81</v>
      </c>
      <c r="E881" s="77" t="s">
        <v>106</v>
      </c>
      <c r="F881" s="77" t="s">
        <v>73</v>
      </c>
      <c r="G881" s="77" t="s">
        <v>74</v>
      </c>
      <c r="H881" s="77" t="s">
        <v>113</v>
      </c>
      <c r="I881" s="77" t="s">
        <v>84</v>
      </c>
      <c r="J881" s="76">
        <v>1.1517317647058823E-4</v>
      </c>
    </row>
    <row r="882" spans="1:10" x14ac:dyDescent="0.35">
      <c r="A882" t="s">
        <v>13</v>
      </c>
      <c r="B882" t="s">
        <v>35</v>
      </c>
      <c r="C882" s="77" t="s">
        <v>88</v>
      </c>
      <c r="D882" t="s">
        <v>81</v>
      </c>
      <c r="E882" s="77" t="s">
        <v>131</v>
      </c>
      <c r="F882" s="77" t="s">
        <v>73</v>
      </c>
      <c r="G882" s="77" t="s">
        <v>74</v>
      </c>
      <c r="H882" s="77" t="s">
        <v>113</v>
      </c>
      <c r="I882" s="77" t="s">
        <v>84</v>
      </c>
      <c r="J882" s="76">
        <f>'SUT_EU27 total'!$S$41</f>
        <v>0</v>
      </c>
    </row>
    <row r="883" spans="1:10" x14ac:dyDescent="0.35">
      <c r="A883" t="s">
        <v>13</v>
      </c>
      <c r="B883" t="s">
        <v>35</v>
      </c>
      <c r="C883" s="77" t="s">
        <v>88</v>
      </c>
      <c r="D883" t="s">
        <v>81</v>
      </c>
      <c r="E883" s="77" t="s">
        <v>101</v>
      </c>
      <c r="F883" s="77" t="s">
        <v>73</v>
      </c>
      <c r="G883" s="77" t="s">
        <v>74</v>
      </c>
      <c r="H883" s="77" t="s">
        <v>113</v>
      </c>
      <c r="I883" s="77" t="s">
        <v>84</v>
      </c>
      <c r="J883" s="76" cm="1">
        <f t="array" ref="J883:J885">'SUT_EU27 total'!$S$49:$S$51</f>
        <v>0</v>
      </c>
    </row>
    <row r="884" spans="1:10" x14ac:dyDescent="0.35">
      <c r="A884" t="s">
        <v>13</v>
      </c>
      <c r="B884" t="s">
        <v>35</v>
      </c>
      <c r="C884" s="77" t="s">
        <v>88</v>
      </c>
      <c r="D884" t="s">
        <v>81</v>
      </c>
      <c r="E884" s="77" t="s">
        <v>104</v>
      </c>
      <c r="F884" s="77" t="s">
        <v>73</v>
      </c>
      <c r="G884" s="77" t="s">
        <v>74</v>
      </c>
      <c r="H884" s="77" t="s">
        <v>113</v>
      </c>
      <c r="I884" s="77" t="s">
        <v>84</v>
      </c>
      <c r="J884" s="76">
        <v>0</v>
      </c>
    </row>
    <row r="885" spans="1:10" x14ac:dyDescent="0.35">
      <c r="A885" t="s">
        <v>13</v>
      </c>
      <c r="B885" t="s">
        <v>35</v>
      </c>
      <c r="C885" s="77" t="s">
        <v>88</v>
      </c>
      <c r="D885" t="s">
        <v>81</v>
      </c>
      <c r="E885" s="77" t="s">
        <v>106</v>
      </c>
      <c r="F885" s="77" t="s">
        <v>73</v>
      </c>
      <c r="G885" s="77" t="s">
        <v>74</v>
      </c>
      <c r="H885" s="77" t="s">
        <v>113</v>
      </c>
      <c r="I885" s="77" t="s">
        <v>84</v>
      </c>
      <c r="J885" s="76">
        <v>0</v>
      </c>
    </row>
    <row r="886" spans="1:10" x14ac:dyDescent="0.35">
      <c r="A886" t="s">
        <v>13</v>
      </c>
      <c r="B886" t="s">
        <v>35</v>
      </c>
      <c r="C886" s="77" t="s">
        <v>90</v>
      </c>
      <c r="D886" t="s">
        <v>81</v>
      </c>
      <c r="E886" s="77" t="s">
        <v>131</v>
      </c>
      <c r="F886" s="77" t="s">
        <v>73</v>
      </c>
      <c r="G886" s="77" t="s">
        <v>74</v>
      </c>
      <c r="H886" s="77" t="s">
        <v>113</v>
      </c>
      <c r="I886" s="77" t="s">
        <v>84</v>
      </c>
      <c r="J886" s="76">
        <f>'SUT_EU27 total'!$S$58</f>
        <v>0</v>
      </c>
    </row>
    <row r="887" spans="1:10" x14ac:dyDescent="0.35">
      <c r="A887" t="s">
        <v>13</v>
      </c>
      <c r="B887" t="s">
        <v>35</v>
      </c>
      <c r="C887" s="77" t="s">
        <v>90</v>
      </c>
      <c r="D887" t="s">
        <v>81</v>
      </c>
      <c r="E887" s="77" t="s">
        <v>101</v>
      </c>
      <c r="F887" s="77" t="s">
        <v>73</v>
      </c>
      <c r="G887" s="77" t="s">
        <v>74</v>
      </c>
      <c r="H887" s="77" t="s">
        <v>113</v>
      </c>
      <c r="I887" s="77" t="s">
        <v>84</v>
      </c>
      <c r="J887" s="76" cm="1">
        <f t="array" ref="J887:J889">'SUT_EU27 total'!$S$66:$S$68</f>
        <v>0</v>
      </c>
    </row>
    <row r="888" spans="1:10" x14ac:dyDescent="0.35">
      <c r="A888" t="s">
        <v>13</v>
      </c>
      <c r="B888" t="s">
        <v>35</v>
      </c>
      <c r="C888" s="77" t="s">
        <v>90</v>
      </c>
      <c r="D888" t="s">
        <v>81</v>
      </c>
      <c r="E888" s="77" t="s">
        <v>104</v>
      </c>
      <c r="F888" s="77" t="s">
        <v>73</v>
      </c>
      <c r="G888" s="77" t="s">
        <v>74</v>
      </c>
      <c r="H888" s="77" t="s">
        <v>113</v>
      </c>
      <c r="I888" s="77" t="s">
        <v>84</v>
      </c>
      <c r="J888" s="76">
        <v>0</v>
      </c>
    </row>
    <row r="889" spans="1:10" x14ac:dyDescent="0.35">
      <c r="A889" t="s">
        <v>13</v>
      </c>
      <c r="B889" t="s">
        <v>35</v>
      </c>
      <c r="C889" s="77" t="s">
        <v>90</v>
      </c>
      <c r="D889" t="s">
        <v>81</v>
      </c>
      <c r="E889" s="77" t="s">
        <v>106</v>
      </c>
      <c r="F889" s="77" t="s">
        <v>73</v>
      </c>
      <c r="G889" s="77" t="s">
        <v>74</v>
      </c>
      <c r="H889" s="77" t="s">
        <v>113</v>
      </c>
      <c r="I889" s="77" t="s">
        <v>84</v>
      </c>
      <c r="J889" s="76">
        <v>0</v>
      </c>
    </row>
    <row r="890" spans="1:10" x14ac:dyDescent="0.35">
      <c r="A890" t="s">
        <v>13</v>
      </c>
      <c r="B890" t="s">
        <v>35</v>
      </c>
      <c r="C890" s="77" t="s">
        <v>91</v>
      </c>
      <c r="D890" t="s">
        <v>81</v>
      </c>
      <c r="E890" s="77" t="s">
        <v>131</v>
      </c>
      <c r="F890" s="77" t="s">
        <v>73</v>
      </c>
      <c r="G890" s="77" t="s">
        <v>74</v>
      </c>
      <c r="H890" s="77" t="s">
        <v>113</v>
      </c>
      <c r="I890" s="77" t="s">
        <v>84</v>
      </c>
      <c r="J890" s="76">
        <f>'SUT_EU27 total'!$S$75</f>
        <v>0</v>
      </c>
    </row>
    <row r="891" spans="1:10" x14ac:dyDescent="0.35">
      <c r="A891" t="s">
        <v>13</v>
      </c>
      <c r="B891" t="s">
        <v>35</v>
      </c>
      <c r="C891" s="77" t="s">
        <v>91</v>
      </c>
      <c r="D891" t="s">
        <v>81</v>
      </c>
      <c r="E891" s="77" t="s">
        <v>101</v>
      </c>
      <c r="F891" s="77" t="s">
        <v>73</v>
      </c>
      <c r="G891" s="77" t="s">
        <v>74</v>
      </c>
      <c r="H891" s="77" t="s">
        <v>113</v>
      </c>
      <c r="I891" s="77" t="s">
        <v>84</v>
      </c>
      <c r="J891" s="76" cm="1">
        <f t="array" ref="J891:J893">'SUT_EU27 total'!$S$83:$S$85</f>
        <v>0</v>
      </c>
    </row>
    <row r="892" spans="1:10" x14ac:dyDescent="0.35">
      <c r="A892" t="s">
        <v>13</v>
      </c>
      <c r="B892" t="s">
        <v>35</v>
      </c>
      <c r="C892" s="77" t="s">
        <v>91</v>
      </c>
      <c r="D892" t="s">
        <v>81</v>
      </c>
      <c r="E892" s="77" t="s">
        <v>104</v>
      </c>
      <c r="F892" s="77" t="s">
        <v>73</v>
      </c>
      <c r="G892" s="77" t="s">
        <v>74</v>
      </c>
      <c r="H892" s="77" t="s">
        <v>113</v>
      </c>
      <c r="I892" s="77" t="s">
        <v>84</v>
      </c>
      <c r="J892" s="76">
        <v>0</v>
      </c>
    </row>
    <row r="893" spans="1:10" x14ac:dyDescent="0.35">
      <c r="A893" t="s">
        <v>13</v>
      </c>
      <c r="B893" t="s">
        <v>35</v>
      </c>
      <c r="C893" s="77" t="s">
        <v>91</v>
      </c>
      <c r="D893" t="s">
        <v>81</v>
      </c>
      <c r="E893" s="77" t="s">
        <v>106</v>
      </c>
      <c r="F893" s="77" t="s">
        <v>73</v>
      </c>
      <c r="G893" s="77" t="s">
        <v>74</v>
      </c>
      <c r="H893" s="77" t="s">
        <v>113</v>
      </c>
      <c r="I893" s="77" t="s">
        <v>84</v>
      </c>
      <c r="J893" s="76">
        <v>0</v>
      </c>
    </row>
    <row r="894" spans="1:10" x14ac:dyDescent="0.35">
      <c r="A894" t="s">
        <v>13</v>
      </c>
      <c r="B894" t="s">
        <v>35</v>
      </c>
      <c r="C894" s="77" t="s">
        <v>92</v>
      </c>
      <c r="D894" t="s">
        <v>81</v>
      </c>
      <c r="E894" s="77" t="s">
        <v>131</v>
      </c>
      <c r="F894" s="77" t="s">
        <v>73</v>
      </c>
      <c r="G894" s="77" t="s">
        <v>74</v>
      </c>
      <c r="H894" s="77" t="s">
        <v>113</v>
      </c>
      <c r="I894" s="77" t="s">
        <v>84</v>
      </c>
      <c r="J894" s="76">
        <f>'SUT_EU27 total'!$S$92</f>
        <v>0</v>
      </c>
    </row>
    <row r="895" spans="1:10" x14ac:dyDescent="0.35">
      <c r="A895" t="s">
        <v>13</v>
      </c>
      <c r="B895" t="s">
        <v>35</v>
      </c>
      <c r="C895" s="77" t="s">
        <v>92</v>
      </c>
      <c r="D895" t="s">
        <v>81</v>
      </c>
      <c r="E895" s="77" t="s">
        <v>101</v>
      </c>
      <c r="F895" s="77" t="s">
        <v>73</v>
      </c>
      <c r="G895" s="77" t="s">
        <v>74</v>
      </c>
      <c r="H895" s="77" t="s">
        <v>113</v>
      </c>
      <c r="I895" s="77" t="s">
        <v>84</v>
      </c>
      <c r="J895" s="76" cm="1">
        <f t="array" ref="J895:J897">'SUT_EU27 total'!$S$100:$S$102</f>
        <v>0</v>
      </c>
    </row>
    <row r="896" spans="1:10" x14ac:dyDescent="0.35">
      <c r="A896" t="s">
        <v>13</v>
      </c>
      <c r="B896" t="s">
        <v>35</v>
      </c>
      <c r="C896" s="77" t="s">
        <v>92</v>
      </c>
      <c r="D896" t="s">
        <v>81</v>
      </c>
      <c r="E896" s="77" t="s">
        <v>104</v>
      </c>
      <c r="F896" s="77" t="s">
        <v>73</v>
      </c>
      <c r="G896" s="77" t="s">
        <v>74</v>
      </c>
      <c r="H896" s="77" t="s">
        <v>113</v>
      </c>
      <c r="I896" s="77" t="s">
        <v>84</v>
      </c>
      <c r="J896" s="76">
        <v>0</v>
      </c>
    </row>
    <row r="897" spans="1:10" x14ac:dyDescent="0.35">
      <c r="A897" t="s">
        <v>13</v>
      </c>
      <c r="B897" t="s">
        <v>35</v>
      </c>
      <c r="C897" s="77" t="s">
        <v>92</v>
      </c>
      <c r="D897" t="s">
        <v>81</v>
      </c>
      <c r="E897" s="77" t="s">
        <v>106</v>
      </c>
      <c r="F897" s="77" t="s">
        <v>73</v>
      </c>
      <c r="G897" s="77" t="s">
        <v>74</v>
      </c>
      <c r="H897" s="77" t="s">
        <v>113</v>
      </c>
      <c r="I897" s="77" t="s">
        <v>84</v>
      </c>
      <c r="J897" s="76">
        <v>0</v>
      </c>
    </row>
    <row r="898" spans="1:10" x14ac:dyDescent="0.35">
      <c r="A898" t="s">
        <v>13</v>
      </c>
      <c r="B898" t="s">
        <v>35</v>
      </c>
      <c r="C898" s="77" t="s">
        <v>93</v>
      </c>
      <c r="D898" t="s">
        <v>81</v>
      </c>
      <c r="E898" s="77" t="s">
        <v>131</v>
      </c>
      <c r="F898" s="77" t="s">
        <v>73</v>
      </c>
      <c r="G898" s="77" t="s">
        <v>74</v>
      </c>
      <c r="H898" s="77" t="s">
        <v>113</v>
      </c>
      <c r="I898" s="77" t="s">
        <v>84</v>
      </c>
      <c r="J898" s="76">
        <f>'SUT_EU27 total'!$S$109</f>
        <v>0</v>
      </c>
    </row>
    <row r="899" spans="1:10" x14ac:dyDescent="0.35">
      <c r="A899" t="s">
        <v>13</v>
      </c>
      <c r="B899" t="s">
        <v>35</v>
      </c>
      <c r="C899" s="77" t="s">
        <v>93</v>
      </c>
      <c r="D899" t="s">
        <v>81</v>
      </c>
      <c r="E899" s="77" t="s">
        <v>101</v>
      </c>
      <c r="F899" s="77" t="s">
        <v>73</v>
      </c>
      <c r="G899" s="77" t="s">
        <v>74</v>
      </c>
      <c r="H899" s="77" t="s">
        <v>113</v>
      </c>
      <c r="I899" s="77" t="s">
        <v>84</v>
      </c>
      <c r="J899" s="76" cm="1">
        <f t="array" ref="J899:J901">'SUT_EU27 total'!$S$117:$S$119</f>
        <v>0</v>
      </c>
    </row>
    <row r="900" spans="1:10" x14ac:dyDescent="0.35">
      <c r="A900" t="s">
        <v>13</v>
      </c>
      <c r="B900" t="s">
        <v>35</v>
      </c>
      <c r="C900" s="77" t="s">
        <v>93</v>
      </c>
      <c r="D900" t="s">
        <v>81</v>
      </c>
      <c r="E900" s="77" t="s">
        <v>104</v>
      </c>
      <c r="F900" s="77" t="s">
        <v>73</v>
      </c>
      <c r="G900" s="77" t="s">
        <v>74</v>
      </c>
      <c r="H900" s="77" t="s">
        <v>113</v>
      </c>
      <c r="I900" s="77" t="s">
        <v>84</v>
      </c>
      <c r="J900" s="76">
        <v>0</v>
      </c>
    </row>
    <row r="901" spans="1:10" x14ac:dyDescent="0.35">
      <c r="A901" t="s">
        <v>13</v>
      </c>
      <c r="B901" t="s">
        <v>35</v>
      </c>
      <c r="C901" s="77" t="s">
        <v>93</v>
      </c>
      <c r="D901" t="s">
        <v>81</v>
      </c>
      <c r="E901" s="77" t="s">
        <v>106</v>
      </c>
      <c r="F901" s="77" t="s">
        <v>73</v>
      </c>
      <c r="G901" s="77" t="s">
        <v>74</v>
      </c>
      <c r="H901" s="77" t="s">
        <v>113</v>
      </c>
      <c r="I901" s="77" t="s">
        <v>84</v>
      </c>
      <c r="J901" s="76">
        <v>0</v>
      </c>
    </row>
    <row r="902" spans="1:10" x14ac:dyDescent="0.35">
      <c r="A902" t="s">
        <v>13</v>
      </c>
      <c r="B902" t="s">
        <v>35</v>
      </c>
      <c r="C902" s="77" t="s">
        <v>73</v>
      </c>
      <c r="D902" t="s">
        <v>74</v>
      </c>
      <c r="E902" s="77" t="s">
        <v>123</v>
      </c>
      <c r="F902" s="77" t="s">
        <v>73</v>
      </c>
      <c r="G902" s="77" t="s">
        <v>81</v>
      </c>
      <c r="H902" s="77" t="s">
        <v>115</v>
      </c>
      <c r="I902" s="77" t="s">
        <v>84</v>
      </c>
      <c r="J902" s="76" cm="1">
        <f t="array" ref="J902:J908">TRANSPOSE('2030 pathways'!$C$8:$I$8)</f>
        <v>0.11799999999999999</v>
      </c>
    </row>
    <row r="903" spans="1:10" x14ac:dyDescent="0.35">
      <c r="A903" t="s">
        <v>13</v>
      </c>
      <c r="B903" t="s">
        <v>35</v>
      </c>
      <c r="C903" s="77" t="s">
        <v>73</v>
      </c>
      <c r="D903" t="s">
        <v>74</v>
      </c>
      <c r="E903" s="77" t="s">
        <v>127</v>
      </c>
      <c r="F903" s="77" t="s">
        <v>73</v>
      </c>
      <c r="G903" s="77" t="s">
        <v>81</v>
      </c>
      <c r="H903" s="77" t="s">
        <v>115</v>
      </c>
      <c r="I903" s="77" t="s">
        <v>84</v>
      </c>
      <c r="J903" s="76">
        <v>1.18E-2</v>
      </c>
    </row>
    <row r="904" spans="1:10" x14ac:dyDescent="0.35">
      <c r="A904" t="s">
        <v>13</v>
      </c>
      <c r="B904" t="s">
        <v>35</v>
      </c>
      <c r="C904" s="77" t="s">
        <v>73</v>
      </c>
      <c r="D904" t="s">
        <v>74</v>
      </c>
      <c r="E904" s="77" t="s">
        <v>128</v>
      </c>
      <c r="F904" s="77" t="s">
        <v>73</v>
      </c>
      <c r="G904" s="77" t="s">
        <v>81</v>
      </c>
      <c r="H904" s="77" t="s">
        <v>115</v>
      </c>
      <c r="I904" s="77" t="s">
        <v>84</v>
      </c>
      <c r="J904" s="76">
        <v>2.3599999999999999E-2</v>
      </c>
    </row>
    <row r="905" spans="1:10" x14ac:dyDescent="0.35">
      <c r="A905" t="s">
        <v>13</v>
      </c>
      <c r="B905" t="s">
        <v>35</v>
      </c>
      <c r="C905" s="77" t="s">
        <v>73</v>
      </c>
      <c r="D905" t="s">
        <v>74</v>
      </c>
      <c r="E905" s="77" t="s">
        <v>129</v>
      </c>
      <c r="F905" s="77" t="s">
        <v>73</v>
      </c>
      <c r="G905" s="77" t="s">
        <v>81</v>
      </c>
      <c r="H905" s="77" t="s">
        <v>115</v>
      </c>
      <c r="I905" s="77" t="s">
        <v>84</v>
      </c>
      <c r="J905" s="76">
        <v>6.4899999999999999E-2</v>
      </c>
    </row>
    <row r="906" spans="1:10" x14ac:dyDescent="0.35">
      <c r="A906" t="s">
        <v>13</v>
      </c>
      <c r="B906" t="s">
        <v>35</v>
      </c>
      <c r="C906" s="77" t="s">
        <v>73</v>
      </c>
      <c r="D906" t="s">
        <v>74</v>
      </c>
      <c r="E906" s="77" t="s">
        <v>77</v>
      </c>
      <c r="F906" s="77" t="s">
        <v>73</v>
      </c>
      <c r="G906" s="77" t="s">
        <v>81</v>
      </c>
      <c r="H906" s="77" t="s">
        <v>115</v>
      </c>
      <c r="I906" s="77" t="s">
        <v>84</v>
      </c>
      <c r="J906" s="76">
        <v>4.1300000000000003E-2</v>
      </c>
    </row>
    <row r="907" spans="1:10" x14ac:dyDescent="0.35">
      <c r="A907" t="s">
        <v>13</v>
      </c>
      <c r="B907" t="s">
        <v>35</v>
      </c>
      <c r="C907" s="77" t="s">
        <v>73</v>
      </c>
      <c r="D907" t="s">
        <v>74</v>
      </c>
      <c r="E907" s="77" t="s">
        <v>130</v>
      </c>
      <c r="F907" s="77" t="s">
        <v>73</v>
      </c>
      <c r="G907" s="77" t="s">
        <v>81</v>
      </c>
      <c r="H907" s="77" t="s">
        <v>115</v>
      </c>
      <c r="I907" s="77" t="s">
        <v>84</v>
      </c>
      <c r="J907" s="76">
        <v>0.33040000000000003</v>
      </c>
    </row>
    <row r="908" spans="1:10" x14ac:dyDescent="0.35">
      <c r="A908" t="s">
        <v>13</v>
      </c>
      <c r="B908" t="s">
        <v>35</v>
      </c>
      <c r="C908" s="77" t="s">
        <v>73</v>
      </c>
      <c r="D908" t="s">
        <v>74</v>
      </c>
      <c r="E908" s="77" t="s">
        <v>132</v>
      </c>
      <c r="F908" s="77" t="s">
        <v>73</v>
      </c>
      <c r="G908" s="77" t="s">
        <v>81</v>
      </c>
      <c r="H908" s="77" t="s">
        <v>115</v>
      </c>
      <c r="I908" s="77" t="s">
        <v>84</v>
      </c>
      <c r="J908" s="76">
        <v>0.41</v>
      </c>
    </row>
    <row r="909" spans="1:10" x14ac:dyDescent="0.35">
      <c r="A909" t="s">
        <v>13</v>
      </c>
      <c r="B909" t="s">
        <v>35</v>
      </c>
      <c r="C909" s="77" t="s">
        <v>73</v>
      </c>
      <c r="D909" t="s">
        <v>74</v>
      </c>
      <c r="E909" s="77" t="s">
        <v>133</v>
      </c>
      <c r="F909" s="77" t="s">
        <v>73</v>
      </c>
      <c r="G909" s="77" t="s">
        <v>81</v>
      </c>
      <c r="H909" s="77" t="s">
        <v>115</v>
      </c>
      <c r="I909" s="77" t="s">
        <v>84</v>
      </c>
      <c r="J909" s="76">
        <v>0</v>
      </c>
    </row>
    <row r="910" spans="1:10" s="365" customFormat="1" x14ac:dyDescent="0.35">
      <c r="A910" s="469" t="s">
        <v>13</v>
      </c>
      <c r="B910" s="469" t="s">
        <v>37</v>
      </c>
      <c r="C910" s="480" t="s">
        <v>73</v>
      </c>
      <c r="D910" s="469" t="s">
        <v>81</v>
      </c>
      <c r="E910" s="480" t="s">
        <v>115</v>
      </c>
      <c r="F910" s="480" t="s">
        <v>73</v>
      </c>
      <c r="G910" s="480" t="s">
        <v>74</v>
      </c>
      <c r="H910" s="480" t="s">
        <v>102</v>
      </c>
      <c r="I910" s="480" t="s">
        <v>84</v>
      </c>
      <c r="J910" s="481" cm="1">
        <f t="array" ref="J910:J911">'SUT_EU27 total'!$J$19:$J$20</f>
        <v>11.828571428571427</v>
      </c>
    </row>
    <row r="911" spans="1:10" x14ac:dyDescent="0.35">
      <c r="A911" t="s">
        <v>13</v>
      </c>
      <c r="B911" t="s">
        <v>37</v>
      </c>
      <c r="C911" s="77" t="s">
        <v>73</v>
      </c>
      <c r="D911" t="s">
        <v>81</v>
      </c>
      <c r="E911" s="77" t="s">
        <v>116</v>
      </c>
      <c r="F911" s="77" t="s">
        <v>73</v>
      </c>
      <c r="G911" s="77" t="s">
        <v>74</v>
      </c>
      <c r="H911" s="77" t="s">
        <v>102</v>
      </c>
      <c r="I911" s="77" t="s">
        <v>84</v>
      </c>
      <c r="J911" s="76">
        <v>3.3421988920214002E-2</v>
      </c>
    </row>
    <row r="912" spans="1:10" x14ac:dyDescent="0.35">
      <c r="A912" t="s">
        <v>13</v>
      </c>
      <c r="B912" t="s">
        <v>37</v>
      </c>
      <c r="C912" s="77" t="s">
        <v>73</v>
      </c>
      <c r="D912" t="s">
        <v>81</v>
      </c>
      <c r="E912" s="77" t="s">
        <v>117</v>
      </c>
      <c r="F912" s="77" t="s">
        <v>73</v>
      </c>
      <c r="G912" s="77" t="s">
        <v>74</v>
      </c>
      <c r="H912" s="77" t="s">
        <v>102</v>
      </c>
      <c r="I912" s="77" t="s">
        <v>84</v>
      </c>
      <c r="J912" s="76">
        <f>'SUT_EU27 total'!$J$27</f>
        <v>20.996100000000002</v>
      </c>
    </row>
    <row r="913" spans="1:10" x14ac:dyDescent="0.35">
      <c r="A913" t="s">
        <v>13</v>
      </c>
      <c r="B913" t="s">
        <v>37</v>
      </c>
      <c r="C913" s="77" t="s">
        <v>73</v>
      </c>
      <c r="D913" t="s">
        <v>81</v>
      </c>
      <c r="E913" s="77" t="s">
        <v>101</v>
      </c>
      <c r="F913" s="77" t="s">
        <v>73</v>
      </c>
      <c r="G913" s="77" t="s">
        <v>74</v>
      </c>
      <c r="H913" s="77" t="s">
        <v>102</v>
      </c>
      <c r="I913" s="77" t="s">
        <v>84</v>
      </c>
      <c r="J913" s="76" cm="1">
        <f t="array" ref="J913:J915">'SUT_EU27 total'!$J$32:$J$34</f>
        <v>0.13437998483817604</v>
      </c>
    </row>
    <row r="914" spans="1:10" x14ac:dyDescent="0.35">
      <c r="A914" t="s">
        <v>13</v>
      </c>
      <c r="B914" t="s">
        <v>37</v>
      </c>
      <c r="C914" s="77" t="s">
        <v>73</v>
      </c>
      <c r="D914" t="s">
        <v>81</v>
      </c>
      <c r="E914" s="77" t="s">
        <v>104</v>
      </c>
      <c r="F914" s="77" t="s">
        <v>73</v>
      </c>
      <c r="G914" s="77" t="s">
        <v>74</v>
      </c>
      <c r="H914" s="77" t="s">
        <v>102</v>
      </c>
      <c r="I914" s="77" t="s">
        <v>84</v>
      </c>
      <c r="J914" s="76">
        <v>0.25443647306582401</v>
      </c>
    </row>
    <row r="915" spans="1:10" x14ac:dyDescent="0.35">
      <c r="A915" t="s">
        <v>13</v>
      </c>
      <c r="B915" t="s">
        <v>37</v>
      </c>
      <c r="C915" s="77" t="s">
        <v>73</v>
      </c>
      <c r="D915" t="s">
        <v>81</v>
      </c>
      <c r="E915" s="77" t="s">
        <v>106</v>
      </c>
      <c r="F915" s="77" t="s">
        <v>73</v>
      </c>
      <c r="G915" s="77" t="s">
        <v>74</v>
      </c>
      <c r="H915" s="77" t="s">
        <v>102</v>
      </c>
      <c r="I915" s="77" t="s">
        <v>84</v>
      </c>
      <c r="J915" s="76">
        <v>0.86543018049599985</v>
      </c>
    </row>
    <row r="916" spans="1:10" x14ac:dyDescent="0.35">
      <c r="A916" t="s">
        <v>13</v>
      </c>
      <c r="B916" t="s">
        <v>37</v>
      </c>
      <c r="C916" s="77" t="s">
        <v>88</v>
      </c>
      <c r="D916" t="s">
        <v>81</v>
      </c>
      <c r="E916" s="77" t="s">
        <v>115</v>
      </c>
      <c r="F916" s="77" t="s">
        <v>73</v>
      </c>
      <c r="G916" s="77" t="s">
        <v>74</v>
      </c>
      <c r="H916" s="77" t="s">
        <v>102</v>
      </c>
      <c r="I916" s="77" t="s">
        <v>84</v>
      </c>
      <c r="J916" s="76" cm="1">
        <f t="array" ref="J916:J917">'SUT_EU27 total'!$J$36:$J$37</f>
        <v>78.857142857142847</v>
      </c>
    </row>
    <row r="917" spans="1:10" x14ac:dyDescent="0.35">
      <c r="A917" t="s">
        <v>13</v>
      </c>
      <c r="B917" t="s">
        <v>37</v>
      </c>
      <c r="C917" s="77" t="s">
        <v>88</v>
      </c>
      <c r="D917" t="s">
        <v>81</v>
      </c>
      <c r="E917" s="77" t="s">
        <v>116</v>
      </c>
      <c r="F917" s="77" t="s">
        <v>73</v>
      </c>
      <c r="G917" s="77" t="s">
        <v>74</v>
      </c>
      <c r="H917" s="77" t="s">
        <v>102</v>
      </c>
      <c r="I917" s="77" t="s">
        <v>84</v>
      </c>
      <c r="J917" s="76">
        <v>0.7862213561563367</v>
      </c>
    </row>
    <row r="918" spans="1:10" x14ac:dyDescent="0.35">
      <c r="A918" t="s">
        <v>13</v>
      </c>
      <c r="B918" t="s">
        <v>37</v>
      </c>
      <c r="C918" s="77" t="s">
        <v>88</v>
      </c>
      <c r="D918" t="s">
        <v>81</v>
      </c>
      <c r="E918" s="77" t="s">
        <v>117</v>
      </c>
      <c r="F918" s="77" t="s">
        <v>73</v>
      </c>
      <c r="G918" s="77" t="s">
        <v>74</v>
      </c>
      <c r="H918" s="77" t="s">
        <v>102</v>
      </c>
      <c r="I918" s="77" t="s">
        <v>84</v>
      </c>
      <c r="J918" s="76">
        <f>'SUT_EU27 total'!$J$44</f>
        <v>286.26390000000004</v>
      </c>
    </row>
    <row r="919" spans="1:10" x14ac:dyDescent="0.35">
      <c r="A919" t="s">
        <v>13</v>
      </c>
      <c r="B919" t="s">
        <v>37</v>
      </c>
      <c r="C919" s="77" t="s">
        <v>88</v>
      </c>
      <c r="D919" t="s">
        <v>81</v>
      </c>
      <c r="E919" s="77" t="s">
        <v>101</v>
      </c>
      <c r="F919" s="77" t="s">
        <v>73</v>
      </c>
      <c r="G919" s="77" t="s">
        <v>74</v>
      </c>
      <c r="H919" s="77" t="s">
        <v>102</v>
      </c>
      <c r="I919" s="77" t="s">
        <v>84</v>
      </c>
      <c r="J919" s="76" cm="1">
        <f t="array" ref="J919:J921">'SUT_EU27 total'!$J$49:$J$51</f>
        <v>0</v>
      </c>
    </row>
    <row r="920" spans="1:10" x14ac:dyDescent="0.35">
      <c r="A920" t="s">
        <v>13</v>
      </c>
      <c r="B920" t="s">
        <v>37</v>
      </c>
      <c r="C920" s="77" t="s">
        <v>88</v>
      </c>
      <c r="D920" t="s">
        <v>81</v>
      </c>
      <c r="E920" s="77" t="s">
        <v>104</v>
      </c>
      <c r="F920" s="77" t="s">
        <v>73</v>
      </c>
      <c r="G920" s="77" t="s">
        <v>74</v>
      </c>
      <c r="H920" s="77" t="s">
        <v>102</v>
      </c>
      <c r="I920" s="77" t="s">
        <v>84</v>
      </c>
      <c r="J920" s="76">
        <v>0</v>
      </c>
    </row>
    <row r="921" spans="1:10" x14ac:dyDescent="0.35">
      <c r="A921" t="s">
        <v>13</v>
      </c>
      <c r="B921" t="s">
        <v>37</v>
      </c>
      <c r="C921" s="77" t="s">
        <v>88</v>
      </c>
      <c r="D921" t="s">
        <v>81</v>
      </c>
      <c r="E921" s="77" t="s">
        <v>106</v>
      </c>
      <c r="F921" s="77" t="s">
        <v>73</v>
      </c>
      <c r="G921" s="77" t="s">
        <v>74</v>
      </c>
      <c r="H921" s="77" t="s">
        <v>102</v>
      </c>
      <c r="I921" s="77" t="s">
        <v>84</v>
      </c>
      <c r="J921" s="76">
        <v>0</v>
      </c>
    </row>
    <row r="922" spans="1:10" x14ac:dyDescent="0.35">
      <c r="A922" t="s">
        <v>13</v>
      </c>
      <c r="B922" t="s">
        <v>37</v>
      </c>
      <c r="C922" s="77" t="s">
        <v>90</v>
      </c>
      <c r="D922" t="s">
        <v>81</v>
      </c>
      <c r="E922" s="77" t="s">
        <v>115</v>
      </c>
      <c r="F922" s="77" t="s">
        <v>73</v>
      </c>
      <c r="G922" s="77" t="s">
        <v>74</v>
      </c>
      <c r="H922" s="77" t="s">
        <v>102</v>
      </c>
      <c r="I922" s="77" t="s">
        <v>84</v>
      </c>
      <c r="J922" s="76" cm="1">
        <f t="array" ref="J922:J923">'SUT_EU27 total'!$J$53:$J$54</f>
        <v>7.7904761904761894</v>
      </c>
    </row>
    <row r="923" spans="1:10" x14ac:dyDescent="0.35">
      <c r="A923" t="s">
        <v>13</v>
      </c>
      <c r="B923" t="s">
        <v>37</v>
      </c>
      <c r="C923" s="77" t="s">
        <v>90</v>
      </c>
      <c r="D923" t="s">
        <v>81</v>
      </c>
      <c r="E923" s="77" t="s">
        <v>116</v>
      </c>
      <c r="F923" s="77" t="s">
        <v>73</v>
      </c>
      <c r="G923" s="77" t="s">
        <v>74</v>
      </c>
      <c r="H923" s="77" t="s">
        <v>102</v>
      </c>
      <c r="I923" s="77" t="s">
        <v>84</v>
      </c>
      <c r="J923" s="76">
        <v>1.5473889063756709E-2</v>
      </c>
    </row>
    <row r="924" spans="1:10" x14ac:dyDescent="0.35">
      <c r="A924" t="s">
        <v>13</v>
      </c>
      <c r="B924" t="s">
        <v>37</v>
      </c>
      <c r="C924" s="77" t="s">
        <v>90</v>
      </c>
      <c r="D924" t="s">
        <v>81</v>
      </c>
      <c r="E924" s="77" t="s">
        <v>117</v>
      </c>
      <c r="F924" s="77" t="s">
        <v>73</v>
      </c>
      <c r="G924" s="77" t="s">
        <v>74</v>
      </c>
      <c r="H924" s="77" t="s">
        <v>102</v>
      </c>
      <c r="I924" s="77" t="s">
        <v>84</v>
      </c>
      <c r="J924" s="76">
        <f>'SUT_EU27 total'!$J$61</f>
        <v>11.2662</v>
      </c>
    </row>
    <row r="925" spans="1:10" x14ac:dyDescent="0.35">
      <c r="A925" t="s">
        <v>13</v>
      </c>
      <c r="B925" t="s">
        <v>37</v>
      </c>
      <c r="C925" s="77" t="s">
        <v>90</v>
      </c>
      <c r="D925" t="s">
        <v>81</v>
      </c>
      <c r="E925" s="77" t="s">
        <v>101</v>
      </c>
      <c r="F925" s="77" t="s">
        <v>73</v>
      </c>
      <c r="G925" s="77" t="s">
        <v>74</v>
      </c>
      <c r="H925" s="77" t="s">
        <v>102</v>
      </c>
      <c r="I925" s="77" t="s">
        <v>84</v>
      </c>
      <c r="J925" s="76" cm="1">
        <f t="array" ref="J925:J927">'SUT_EU27 total'!$J$66:$J$68</f>
        <v>0</v>
      </c>
    </row>
    <row r="926" spans="1:10" x14ac:dyDescent="0.35">
      <c r="A926" t="s">
        <v>13</v>
      </c>
      <c r="B926" t="s">
        <v>37</v>
      </c>
      <c r="C926" s="77" t="s">
        <v>90</v>
      </c>
      <c r="D926" t="s">
        <v>81</v>
      </c>
      <c r="E926" s="77" t="s">
        <v>104</v>
      </c>
      <c r="F926" s="77" t="s">
        <v>73</v>
      </c>
      <c r="G926" s="77" t="s">
        <v>74</v>
      </c>
      <c r="H926" s="77" t="s">
        <v>102</v>
      </c>
      <c r="I926" s="77" t="s">
        <v>84</v>
      </c>
      <c r="J926" s="76">
        <v>0</v>
      </c>
    </row>
    <row r="927" spans="1:10" x14ac:dyDescent="0.35">
      <c r="A927" t="s">
        <v>13</v>
      </c>
      <c r="B927" t="s">
        <v>37</v>
      </c>
      <c r="C927" s="77" t="s">
        <v>90</v>
      </c>
      <c r="D927" t="s">
        <v>81</v>
      </c>
      <c r="E927" s="77" t="s">
        <v>106</v>
      </c>
      <c r="F927" s="77" t="s">
        <v>73</v>
      </c>
      <c r="G927" s="77" t="s">
        <v>74</v>
      </c>
      <c r="H927" s="77" t="s">
        <v>102</v>
      </c>
      <c r="I927" s="77" t="s">
        <v>84</v>
      </c>
      <c r="J927" s="76">
        <v>0</v>
      </c>
    </row>
    <row r="928" spans="1:10" x14ac:dyDescent="0.35">
      <c r="A928" t="s">
        <v>13</v>
      </c>
      <c r="B928" t="s">
        <v>37</v>
      </c>
      <c r="C928" s="77" t="s">
        <v>91</v>
      </c>
      <c r="D928" t="s">
        <v>81</v>
      </c>
      <c r="E928" s="77" t="s">
        <v>115</v>
      </c>
      <c r="F928" s="77" t="s">
        <v>73</v>
      </c>
      <c r="G928" s="77" t="s">
        <v>74</v>
      </c>
      <c r="H928" s="77" t="s">
        <v>102</v>
      </c>
      <c r="I928" s="77" t="s">
        <v>84</v>
      </c>
      <c r="J928" s="76" cm="1">
        <f t="array" ref="J928:J929">'SUT_EU27 total'!$J$70:$J$71</f>
        <v>15.771428571428569</v>
      </c>
    </row>
    <row r="929" spans="1:10" x14ac:dyDescent="0.35">
      <c r="A929" t="s">
        <v>13</v>
      </c>
      <c r="B929" t="s">
        <v>37</v>
      </c>
      <c r="C929" s="77" t="s">
        <v>91</v>
      </c>
      <c r="D929" t="s">
        <v>81</v>
      </c>
      <c r="E929" s="77" t="s">
        <v>116</v>
      </c>
      <c r="F929" s="77" t="s">
        <v>73</v>
      </c>
      <c r="G929" s="77" t="s">
        <v>74</v>
      </c>
      <c r="H929" s="77" t="s">
        <v>102</v>
      </c>
      <c r="I929" s="77" t="s">
        <v>84</v>
      </c>
      <c r="J929" s="76">
        <v>8.7507175559917313E-2</v>
      </c>
    </row>
    <row r="930" spans="1:10" x14ac:dyDescent="0.35">
      <c r="A930" t="s">
        <v>13</v>
      </c>
      <c r="B930" t="s">
        <v>37</v>
      </c>
      <c r="C930" s="77" t="s">
        <v>91</v>
      </c>
      <c r="D930" t="s">
        <v>81</v>
      </c>
      <c r="E930" s="77" t="s">
        <v>117</v>
      </c>
      <c r="F930" s="77" t="s">
        <v>73</v>
      </c>
      <c r="G930" s="77" t="s">
        <v>74</v>
      </c>
      <c r="H930" s="77" t="s">
        <v>102</v>
      </c>
      <c r="I930" s="77" t="s">
        <v>84</v>
      </c>
      <c r="J930" s="76">
        <f>'SUT_EU27 total'!$J$78</f>
        <v>41.4801</v>
      </c>
    </row>
    <row r="931" spans="1:10" x14ac:dyDescent="0.35">
      <c r="A931" t="s">
        <v>13</v>
      </c>
      <c r="B931" t="s">
        <v>37</v>
      </c>
      <c r="C931" s="77" t="s">
        <v>91</v>
      </c>
      <c r="D931" t="s">
        <v>81</v>
      </c>
      <c r="E931" s="77" t="s">
        <v>101</v>
      </c>
      <c r="F931" s="77" t="s">
        <v>73</v>
      </c>
      <c r="G931" s="77" t="s">
        <v>74</v>
      </c>
      <c r="H931" s="77" t="s">
        <v>102</v>
      </c>
      <c r="I931" s="77" t="s">
        <v>84</v>
      </c>
      <c r="J931" s="76" cm="1">
        <f t="array" ref="J931:J933">'SUT_EU27 total'!$J$83:$J$85</f>
        <v>0</v>
      </c>
    </row>
    <row r="932" spans="1:10" x14ac:dyDescent="0.35">
      <c r="A932" t="s">
        <v>13</v>
      </c>
      <c r="B932" t="s">
        <v>37</v>
      </c>
      <c r="C932" s="77" t="s">
        <v>91</v>
      </c>
      <c r="D932" t="s">
        <v>81</v>
      </c>
      <c r="E932" s="77" t="s">
        <v>104</v>
      </c>
      <c r="F932" s="77" t="s">
        <v>73</v>
      </c>
      <c r="G932" s="77" t="s">
        <v>74</v>
      </c>
      <c r="H932" s="77" t="s">
        <v>102</v>
      </c>
      <c r="I932" s="77" t="s">
        <v>84</v>
      </c>
      <c r="J932" s="76">
        <v>0</v>
      </c>
    </row>
    <row r="933" spans="1:10" x14ac:dyDescent="0.35">
      <c r="A933" t="s">
        <v>13</v>
      </c>
      <c r="B933" t="s">
        <v>37</v>
      </c>
      <c r="C933" s="77" t="s">
        <v>91</v>
      </c>
      <c r="D933" t="s">
        <v>81</v>
      </c>
      <c r="E933" s="77" t="s">
        <v>106</v>
      </c>
      <c r="F933" s="77" t="s">
        <v>73</v>
      </c>
      <c r="G933" s="77" t="s">
        <v>74</v>
      </c>
      <c r="H933" s="77" t="s">
        <v>102</v>
      </c>
      <c r="I933" s="77" t="s">
        <v>84</v>
      </c>
      <c r="J933" s="76">
        <v>0</v>
      </c>
    </row>
    <row r="934" spans="1:10" x14ac:dyDescent="0.35">
      <c r="A934" t="s">
        <v>13</v>
      </c>
      <c r="B934" t="s">
        <v>37</v>
      </c>
      <c r="C934" s="77" t="s">
        <v>92</v>
      </c>
      <c r="D934" t="s">
        <v>81</v>
      </c>
      <c r="E934" s="77" t="s">
        <v>115</v>
      </c>
      <c r="F934" s="77" t="s">
        <v>73</v>
      </c>
      <c r="G934" s="77" t="s">
        <v>74</v>
      </c>
      <c r="H934" s="77" t="s">
        <v>102</v>
      </c>
      <c r="I934" s="77" t="s">
        <v>84</v>
      </c>
      <c r="J934" s="76" cm="1">
        <f t="array" ref="J934:J935">'SUT_EU27 total'!$J$87:$J$88</f>
        <v>6.6239999999999997</v>
      </c>
    </row>
    <row r="935" spans="1:10" x14ac:dyDescent="0.35">
      <c r="A935" t="s">
        <v>13</v>
      </c>
      <c r="B935" t="s">
        <v>37</v>
      </c>
      <c r="C935" s="77" t="s">
        <v>92</v>
      </c>
      <c r="D935" t="s">
        <v>81</v>
      </c>
      <c r="E935" s="77" t="s">
        <v>116</v>
      </c>
      <c r="F935" s="77" t="s">
        <v>73</v>
      </c>
      <c r="G935" s="77" t="s">
        <v>74</v>
      </c>
      <c r="H935" s="77" t="s">
        <v>102</v>
      </c>
      <c r="I935" s="77" t="s">
        <v>84</v>
      </c>
      <c r="J935" s="76">
        <v>6.0040746268656714E-2</v>
      </c>
    </row>
    <row r="936" spans="1:10" x14ac:dyDescent="0.35">
      <c r="A936" t="s">
        <v>13</v>
      </c>
      <c r="B936" t="s">
        <v>37</v>
      </c>
      <c r="C936" s="77" t="s">
        <v>92</v>
      </c>
      <c r="D936" t="s">
        <v>81</v>
      </c>
      <c r="E936" s="77" t="s">
        <v>117</v>
      </c>
      <c r="F936" s="77" t="s">
        <v>73</v>
      </c>
      <c r="G936" s="77" t="s">
        <v>74</v>
      </c>
      <c r="H936" s="77" t="s">
        <v>102</v>
      </c>
      <c r="I936" s="77" t="s">
        <v>84</v>
      </c>
      <c r="J936" s="76">
        <f>'SUT_EU27 total'!$J$95</f>
        <v>13.3146</v>
      </c>
    </row>
    <row r="937" spans="1:10" x14ac:dyDescent="0.35">
      <c r="A937" t="s">
        <v>13</v>
      </c>
      <c r="B937" t="s">
        <v>37</v>
      </c>
      <c r="C937" s="77" t="s">
        <v>92</v>
      </c>
      <c r="D937" t="s">
        <v>81</v>
      </c>
      <c r="E937" s="77" t="s">
        <v>101</v>
      </c>
      <c r="F937" s="77" t="s">
        <v>73</v>
      </c>
      <c r="G937" s="77" t="s">
        <v>74</v>
      </c>
      <c r="H937" s="77" t="s">
        <v>102</v>
      </c>
      <c r="I937" s="77" t="s">
        <v>84</v>
      </c>
      <c r="J937" s="76" cm="1">
        <f t="array" ref="J937:J939">'SUT_EU27 total'!$J$100:$J$102</f>
        <v>0</v>
      </c>
    </row>
    <row r="938" spans="1:10" x14ac:dyDescent="0.35">
      <c r="A938" t="s">
        <v>13</v>
      </c>
      <c r="B938" t="s">
        <v>37</v>
      </c>
      <c r="C938" s="77" t="s">
        <v>92</v>
      </c>
      <c r="D938" t="s">
        <v>81</v>
      </c>
      <c r="E938" s="77" t="s">
        <v>104</v>
      </c>
      <c r="F938" s="77" t="s">
        <v>73</v>
      </c>
      <c r="G938" s="77" t="s">
        <v>74</v>
      </c>
      <c r="H938" s="77" t="s">
        <v>102</v>
      </c>
      <c r="I938" s="77" t="s">
        <v>84</v>
      </c>
      <c r="J938" s="76">
        <v>0</v>
      </c>
    </row>
    <row r="939" spans="1:10" x14ac:dyDescent="0.35">
      <c r="A939" t="s">
        <v>13</v>
      </c>
      <c r="B939" t="s">
        <v>37</v>
      </c>
      <c r="C939" s="77" t="s">
        <v>92</v>
      </c>
      <c r="D939" t="s">
        <v>81</v>
      </c>
      <c r="E939" s="77" t="s">
        <v>106</v>
      </c>
      <c r="F939" s="77" t="s">
        <v>73</v>
      </c>
      <c r="G939" s="77" t="s">
        <v>74</v>
      </c>
      <c r="H939" s="77" t="s">
        <v>102</v>
      </c>
      <c r="I939" s="77" t="s">
        <v>84</v>
      </c>
      <c r="J939" s="76">
        <v>0</v>
      </c>
    </row>
    <row r="940" spans="1:10" x14ac:dyDescent="0.35">
      <c r="A940" t="s">
        <v>13</v>
      </c>
      <c r="B940" t="s">
        <v>37</v>
      </c>
      <c r="C940" s="77" t="s">
        <v>93</v>
      </c>
      <c r="D940" t="s">
        <v>81</v>
      </c>
      <c r="E940" s="77" t="s">
        <v>115</v>
      </c>
      <c r="F940" s="77" t="s">
        <v>73</v>
      </c>
      <c r="G940" s="77" t="s">
        <v>74</v>
      </c>
      <c r="H940" s="77" t="s">
        <v>102</v>
      </c>
      <c r="I940" s="77" t="s">
        <v>84</v>
      </c>
      <c r="J940" s="76" cm="1">
        <f t="array" ref="J940:J941">'SUT_EU27 total'!$J$104:$J$105</f>
        <v>44.633142857142865</v>
      </c>
    </row>
    <row r="941" spans="1:10" x14ac:dyDescent="0.35">
      <c r="A941" t="s">
        <v>13</v>
      </c>
      <c r="B941" t="s">
        <v>37</v>
      </c>
      <c r="C941" s="77" t="s">
        <v>93</v>
      </c>
      <c r="D941" t="s">
        <v>81</v>
      </c>
      <c r="E941" s="77" t="s">
        <v>116</v>
      </c>
      <c r="F941" s="77" t="s">
        <v>73</v>
      </c>
      <c r="G941" s="77" t="s">
        <v>74</v>
      </c>
      <c r="H941" s="77" t="s">
        <v>102</v>
      </c>
      <c r="I941" s="77" t="s">
        <v>84</v>
      </c>
      <c r="J941" s="76">
        <v>0.3673348440311186</v>
      </c>
    </row>
    <row r="942" spans="1:10" x14ac:dyDescent="0.35">
      <c r="A942" t="s">
        <v>13</v>
      </c>
      <c r="B942" t="s">
        <v>37</v>
      </c>
      <c r="C942" s="77" t="s">
        <v>93</v>
      </c>
      <c r="D942" t="s">
        <v>81</v>
      </c>
      <c r="E942" s="77" t="s">
        <v>117</v>
      </c>
      <c r="F942" s="77" t="s">
        <v>73</v>
      </c>
      <c r="G942" s="77" t="s">
        <v>74</v>
      </c>
      <c r="H942" s="77" t="s">
        <v>102</v>
      </c>
      <c r="I942" s="77" t="s">
        <v>84</v>
      </c>
      <c r="J942" s="76">
        <f>'SUT_EU27 total'!$J$112</f>
        <v>138.77909999999997</v>
      </c>
    </row>
    <row r="943" spans="1:10" x14ac:dyDescent="0.35">
      <c r="A943" t="s">
        <v>13</v>
      </c>
      <c r="B943" t="s">
        <v>37</v>
      </c>
      <c r="C943" s="77" t="s">
        <v>93</v>
      </c>
      <c r="D943" t="s">
        <v>81</v>
      </c>
      <c r="E943" s="77" t="s">
        <v>101</v>
      </c>
      <c r="F943" s="77" t="s">
        <v>73</v>
      </c>
      <c r="G943" s="77" t="s">
        <v>74</v>
      </c>
      <c r="H943" s="77" t="s">
        <v>102</v>
      </c>
      <c r="I943" s="77" t="s">
        <v>84</v>
      </c>
      <c r="J943" s="76" cm="1">
        <f t="array" ref="J943:J945">'SUT_EU27 total'!$J$117:$J$119</f>
        <v>0</v>
      </c>
    </row>
    <row r="944" spans="1:10" x14ac:dyDescent="0.35">
      <c r="A944" t="s">
        <v>13</v>
      </c>
      <c r="B944" t="s">
        <v>37</v>
      </c>
      <c r="C944" s="77" t="s">
        <v>93</v>
      </c>
      <c r="D944" t="s">
        <v>81</v>
      </c>
      <c r="E944" s="77" t="s">
        <v>104</v>
      </c>
      <c r="F944" s="77" t="s">
        <v>73</v>
      </c>
      <c r="G944" s="77" t="s">
        <v>74</v>
      </c>
      <c r="H944" s="77" t="s">
        <v>102</v>
      </c>
      <c r="I944" s="77" t="s">
        <v>84</v>
      </c>
      <c r="J944" s="76">
        <v>0</v>
      </c>
    </row>
    <row r="945" spans="1:10" x14ac:dyDescent="0.35">
      <c r="A945" t="s">
        <v>13</v>
      </c>
      <c r="B945" t="s">
        <v>37</v>
      </c>
      <c r="C945" s="77" t="s">
        <v>93</v>
      </c>
      <c r="D945" t="s">
        <v>81</v>
      </c>
      <c r="E945" s="77" t="s">
        <v>106</v>
      </c>
      <c r="F945" s="77" t="s">
        <v>73</v>
      </c>
      <c r="G945" s="77" t="s">
        <v>74</v>
      </c>
      <c r="H945" s="77" t="s">
        <v>102</v>
      </c>
      <c r="I945" s="77" t="s">
        <v>84</v>
      </c>
      <c r="J945" s="76">
        <v>0</v>
      </c>
    </row>
    <row r="946" spans="1:10" x14ac:dyDescent="0.35">
      <c r="A946" t="s">
        <v>13</v>
      </c>
      <c r="B946" t="s">
        <v>37</v>
      </c>
      <c r="C946" s="77" t="s">
        <v>73</v>
      </c>
      <c r="D946" t="s">
        <v>81</v>
      </c>
      <c r="E946" s="77" t="s">
        <v>118</v>
      </c>
      <c r="F946" s="77" t="s">
        <v>73</v>
      </c>
      <c r="G946" s="77" t="s">
        <v>74</v>
      </c>
      <c r="H946" s="77" t="s">
        <v>108</v>
      </c>
      <c r="I946" s="77" t="s">
        <v>84</v>
      </c>
      <c r="J946" s="76" cm="1">
        <f t="array" ref="J946:J948">'SUT_EU27 total'!$K$21:$K$23</f>
        <v>1.4582562144772118E-3</v>
      </c>
    </row>
    <row r="947" spans="1:10" x14ac:dyDescent="0.35">
      <c r="A947" t="s">
        <v>13</v>
      </c>
      <c r="B947" t="s">
        <v>37</v>
      </c>
      <c r="C947" s="77" t="s">
        <v>73</v>
      </c>
      <c r="D947" t="s">
        <v>81</v>
      </c>
      <c r="E947" s="77" t="s">
        <v>119</v>
      </c>
      <c r="F947" s="77" t="s">
        <v>73</v>
      </c>
      <c r="G947" s="77" t="s">
        <v>74</v>
      </c>
      <c r="H947" s="77" t="s">
        <v>108</v>
      </c>
      <c r="I947" s="77" t="s">
        <v>84</v>
      </c>
      <c r="J947" s="76">
        <v>8.4634636521458274E-4</v>
      </c>
    </row>
    <row r="948" spans="1:10" x14ac:dyDescent="0.35">
      <c r="A948" t="s">
        <v>13</v>
      </c>
      <c r="B948" t="s">
        <v>37</v>
      </c>
      <c r="C948" s="77" t="s">
        <v>73</v>
      </c>
      <c r="D948" t="s">
        <v>81</v>
      </c>
      <c r="E948" s="77" t="s">
        <v>120</v>
      </c>
      <c r="F948" s="77" t="s">
        <v>73</v>
      </c>
      <c r="G948" s="77" t="s">
        <v>74</v>
      </c>
      <c r="H948" s="77" t="s">
        <v>108</v>
      </c>
      <c r="I948" s="77" t="s">
        <v>84</v>
      </c>
      <c r="J948" s="76">
        <v>1.2517329093179335E-4</v>
      </c>
    </row>
    <row r="949" spans="1:10" x14ac:dyDescent="0.35">
      <c r="A949" t="s">
        <v>13</v>
      </c>
      <c r="B949" t="s">
        <v>37</v>
      </c>
      <c r="C949" s="77" t="s">
        <v>73</v>
      </c>
      <c r="D949" t="s">
        <v>81</v>
      </c>
      <c r="E949" s="77" t="s">
        <v>121</v>
      </c>
      <c r="F949" s="77" t="s">
        <v>73</v>
      </c>
      <c r="G949" s="77" t="s">
        <v>74</v>
      </c>
      <c r="H949" s="77" t="s">
        <v>108</v>
      </c>
      <c r="I949" s="77" t="s">
        <v>84</v>
      </c>
      <c r="J949" s="76">
        <f>'SUT_EU27 total'!$K$25</f>
        <v>6.9749679999999994E-2</v>
      </c>
    </row>
    <row r="950" spans="1:10" x14ac:dyDescent="0.35">
      <c r="A950" t="s">
        <v>13</v>
      </c>
      <c r="B950" t="s">
        <v>37</v>
      </c>
      <c r="C950" s="77" t="s">
        <v>73</v>
      </c>
      <c r="D950" t="s">
        <v>81</v>
      </c>
      <c r="E950" s="77" t="s">
        <v>117</v>
      </c>
      <c r="F950" s="77" t="s">
        <v>73</v>
      </c>
      <c r="G950" s="77" t="s">
        <v>74</v>
      </c>
      <c r="H950" s="77" t="s">
        <v>108</v>
      </c>
      <c r="I950" s="77" t="s">
        <v>84</v>
      </c>
      <c r="J950" s="76">
        <f>'SUT_EU27 total'!$K$27</f>
        <v>1.1932942595726979E-3</v>
      </c>
    </row>
    <row r="951" spans="1:10" x14ac:dyDescent="0.35">
      <c r="A951" t="s">
        <v>13</v>
      </c>
      <c r="B951" t="s">
        <v>37</v>
      </c>
      <c r="C951" s="77" t="s">
        <v>73</v>
      </c>
      <c r="D951" t="s">
        <v>81</v>
      </c>
      <c r="E951" s="77" t="s">
        <v>122</v>
      </c>
      <c r="F951" s="77" t="s">
        <v>73</v>
      </c>
      <c r="G951" s="77" t="s">
        <v>74</v>
      </c>
      <c r="H951" s="77" t="s">
        <v>108</v>
      </c>
      <c r="I951" s="77" t="s">
        <v>84</v>
      </c>
      <c r="J951" s="76">
        <f>'SUT_EU27 total'!$K$30</f>
        <v>1.5965533412604042E-3</v>
      </c>
    </row>
    <row r="952" spans="1:10" x14ac:dyDescent="0.35">
      <c r="A952" t="s">
        <v>13</v>
      </c>
      <c r="B952" t="s">
        <v>37</v>
      </c>
      <c r="C952" s="77" t="s">
        <v>73</v>
      </c>
      <c r="D952" t="s">
        <v>81</v>
      </c>
      <c r="E952" s="77" t="s">
        <v>101</v>
      </c>
      <c r="F952" s="77" t="s">
        <v>73</v>
      </c>
      <c r="G952" s="77" t="s">
        <v>74</v>
      </c>
      <c r="H952" s="77" t="s">
        <v>108</v>
      </c>
      <c r="I952" s="77" t="s">
        <v>84</v>
      </c>
      <c r="J952" s="76" cm="1">
        <f t="array" ref="J952:J954">'SUT_EU27 total'!$K$32:$K$34</f>
        <v>2.4335351040000001E-4</v>
      </c>
    </row>
    <row r="953" spans="1:10" x14ac:dyDescent="0.35">
      <c r="A953" t="s">
        <v>13</v>
      </c>
      <c r="B953" t="s">
        <v>37</v>
      </c>
      <c r="C953" s="77" t="s">
        <v>73</v>
      </c>
      <c r="D953" t="s">
        <v>81</v>
      </c>
      <c r="E953" s="77" t="s">
        <v>104</v>
      </c>
      <c r="F953" s="77" t="s">
        <v>73</v>
      </c>
      <c r="G953" s="77" t="s">
        <v>74</v>
      </c>
      <c r="H953" s="77" t="s">
        <v>108</v>
      </c>
      <c r="I953" s="77" t="s">
        <v>84</v>
      </c>
      <c r="J953" s="76">
        <v>4.6076808959999996E-4</v>
      </c>
    </row>
    <row r="954" spans="1:10" x14ac:dyDescent="0.35">
      <c r="A954" t="s">
        <v>13</v>
      </c>
      <c r="B954" t="s">
        <v>37</v>
      </c>
      <c r="C954" s="77" t="s">
        <v>73</v>
      </c>
      <c r="D954" t="s">
        <v>81</v>
      </c>
      <c r="E954" s="77" t="s">
        <v>106</v>
      </c>
      <c r="F954" s="77" t="s">
        <v>73</v>
      </c>
      <c r="G954" s="77" t="s">
        <v>74</v>
      </c>
      <c r="H954" s="77" t="s">
        <v>108</v>
      </c>
      <c r="I954" s="77" t="s">
        <v>84</v>
      </c>
      <c r="J954" s="76">
        <v>1.5672383999999996E-3</v>
      </c>
    </row>
    <row r="955" spans="1:10" x14ac:dyDescent="0.35">
      <c r="A955" t="s">
        <v>13</v>
      </c>
      <c r="B955" t="s">
        <v>37</v>
      </c>
      <c r="C955" s="77" t="s">
        <v>88</v>
      </c>
      <c r="D955" t="s">
        <v>81</v>
      </c>
      <c r="E955" s="77" t="s">
        <v>118</v>
      </c>
      <c r="F955" s="77" t="s">
        <v>73</v>
      </c>
      <c r="G955" s="77" t="s">
        <v>74</v>
      </c>
      <c r="H955" s="77" t="s">
        <v>108</v>
      </c>
      <c r="I955" s="77" t="s">
        <v>84</v>
      </c>
      <c r="J955" s="76" cm="1">
        <f t="array" ref="J955:J957">'SUT_EU27 total'!$K$38:$K$40</f>
        <v>3.3029309855227888E-2</v>
      </c>
    </row>
    <row r="956" spans="1:10" x14ac:dyDescent="0.35">
      <c r="A956" t="s">
        <v>13</v>
      </c>
      <c r="B956" t="s">
        <v>37</v>
      </c>
      <c r="C956" s="77" t="s">
        <v>88</v>
      </c>
      <c r="D956" t="s">
        <v>81</v>
      </c>
      <c r="E956" s="77" t="s">
        <v>119</v>
      </c>
      <c r="F956" s="77" t="s">
        <v>73</v>
      </c>
      <c r="G956" s="77" t="s">
        <v>74</v>
      </c>
      <c r="H956" s="77" t="s">
        <v>108</v>
      </c>
      <c r="I956" s="77" t="s">
        <v>84</v>
      </c>
      <c r="J956" s="76">
        <v>6.9915569300335089E-3</v>
      </c>
    </row>
    <row r="957" spans="1:10" x14ac:dyDescent="0.35">
      <c r="A957" t="s">
        <v>13</v>
      </c>
      <c r="B957" t="s">
        <v>37</v>
      </c>
      <c r="C957" s="77" t="s">
        <v>88</v>
      </c>
      <c r="D957" t="s">
        <v>81</v>
      </c>
      <c r="E957" s="77" t="s">
        <v>120</v>
      </c>
      <c r="F957" s="77" t="s">
        <v>73</v>
      </c>
      <c r="G957" s="77" t="s">
        <v>74</v>
      </c>
      <c r="H957" s="77" t="s">
        <v>108</v>
      </c>
      <c r="I957" s="77" t="s">
        <v>84</v>
      </c>
      <c r="J957" s="76">
        <v>1.5283979779928203E-3</v>
      </c>
    </row>
    <row r="958" spans="1:10" x14ac:dyDescent="0.35">
      <c r="A958" t="s">
        <v>13</v>
      </c>
      <c r="B958" t="s">
        <v>37</v>
      </c>
      <c r="C958" s="77" t="s">
        <v>88</v>
      </c>
      <c r="D958" t="s">
        <v>81</v>
      </c>
      <c r="E958" s="77" t="s">
        <v>121</v>
      </c>
      <c r="F958" s="77" t="s">
        <v>73</v>
      </c>
      <c r="G958" s="77" t="s">
        <v>74</v>
      </c>
      <c r="H958" s="77" t="s">
        <v>108</v>
      </c>
      <c r="I958" s="77" t="s">
        <v>84</v>
      </c>
      <c r="J958" s="76">
        <f>'SUT_EU27 total'!$K$42</f>
        <v>0</v>
      </c>
    </row>
    <row r="959" spans="1:10" x14ac:dyDescent="0.35">
      <c r="A959" t="s">
        <v>13</v>
      </c>
      <c r="B959" t="s">
        <v>37</v>
      </c>
      <c r="C959" s="77" t="s">
        <v>88</v>
      </c>
      <c r="D959" t="s">
        <v>81</v>
      </c>
      <c r="E959" s="77" t="s">
        <v>117</v>
      </c>
      <c r="F959" s="77" t="s">
        <v>73</v>
      </c>
      <c r="G959" s="77" t="s">
        <v>74</v>
      </c>
      <c r="H959" s="77" t="s">
        <v>108</v>
      </c>
      <c r="I959" s="77" t="s">
        <v>84</v>
      </c>
      <c r="J959" s="76">
        <f>'SUT_EU27 total'!$K$44</f>
        <v>9.9090099874062521E-4</v>
      </c>
    </row>
    <row r="960" spans="1:10" x14ac:dyDescent="0.35">
      <c r="A960" t="s">
        <v>13</v>
      </c>
      <c r="B960" t="s">
        <v>37</v>
      </c>
      <c r="C960" s="77" t="s">
        <v>88</v>
      </c>
      <c r="D960" t="s">
        <v>81</v>
      </c>
      <c r="E960" s="77" t="s">
        <v>122</v>
      </c>
      <c r="F960" s="77" t="s">
        <v>73</v>
      </c>
      <c r="G960" s="77" t="s">
        <v>74</v>
      </c>
      <c r="H960" s="77" t="s">
        <v>108</v>
      </c>
      <c r="I960" s="77" t="s">
        <v>84</v>
      </c>
      <c r="J960" s="76">
        <f>'SUT_EU27 total'!$K$47</f>
        <v>0</v>
      </c>
    </row>
    <row r="961" spans="1:10" x14ac:dyDescent="0.35">
      <c r="A961" t="s">
        <v>13</v>
      </c>
      <c r="B961" t="s">
        <v>37</v>
      </c>
      <c r="C961" s="77" t="s">
        <v>88</v>
      </c>
      <c r="D961" t="s">
        <v>81</v>
      </c>
      <c r="E961" s="77" t="s">
        <v>101</v>
      </c>
      <c r="F961" s="77" t="s">
        <v>73</v>
      </c>
      <c r="G961" s="77" t="s">
        <v>74</v>
      </c>
      <c r="H961" s="77" t="s">
        <v>108</v>
      </c>
      <c r="I961" s="77" t="s">
        <v>84</v>
      </c>
      <c r="J961" s="76" cm="1">
        <f t="array" ref="J961:J963">'SUT_EU27 total'!$K$49:$K$51</f>
        <v>0</v>
      </c>
    </row>
    <row r="962" spans="1:10" x14ac:dyDescent="0.35">
      <c r="A962" t="s">
        <v>13</v>
      </c>
      <c r="B962" t="s">
        <v>37</v>
      </c>
      <c r="C962" s="77" t="s">
        <v>88</v>
      </c>
      <c r="D962" t="s">
        <v>81</v>
      </c>
      <c r="E962" s="77" t="s">
        <v>104</v>
      </c>
      <c r="F962" s="77" t="s">
        <v>73</v>
      </c>
      <c r="G962" s="77" t="s">
        <v>74</v>
      </c>
      <c r="H962" s="77" t="s">
        <v>108</v>
      </c>
      <c r="I962" s="77" t="s">
        <v>84</v>
      </c>
      <c r="J962" s="76">
        <v>0</v>
      </c>
    </row>
    <row r="963" spans="1:10" x14ac:dyDescent="0.35">
      <c r="A963" t="s">
        <v>13</v>
      </c>
      <c r="B963" t="s">
        <v>37</v>
      </c>
      <c r="C963" s="77" t="s">
        <v>88</v>
      </c>
      <c r="D963" t="s">
        <v>81</v>
      </c>
      <c r="E963" s="77" t="s">
        <v>106</v>
      </c>
      <c r="F963" s="77" t="s">
        <v>73</v>
      </c>
      <c r="G963" s="77" t="s">
        <v>74</v>
      </c>
      <c r="H963" s="77" t="s">
        <v>108</v>
      </c>
      <c r="I963" s="77" t="s">
        <v>84</v>
      </c>
      <c r="J963" s="76">
        <v>0</v>
      </c>
    </row>
    <row r="964" spans="1:10" x14ac:dyDescent="0.35">
      <c r="A964" t="s">
        <v>13</v>
      </c>
      <c r="B964" t="s">
        <v>37</v>
      </c>
      <c r="C964" s="77" t="s">
        <v>90</v>
      </c>
      <c r="D964" t="s">
        <v>81</v>
      </c>
      <c r="E964" s="77" t="s">
        <v>118</v>
      </c>
      <c r="F964" s="77" t="s">
        <v>73</v>
      </c>
      <c r="G964" s="77" t="s">
        <v>74</v>
      </c>
      <c r="H964" s="77" t="s">
        <v>108</v>
      </c>
      <c r="I964" s="77" t="s">
        <v>84</v>
      </c>
      <c r="J964" s="76" cm="1">
        <f t="array" ref="J964:J966">'SUT_EU27 total'!$K$55:$K$57</f>
        <v>4.323194595174263E-3</v>
      </c>
    </row>
    <row r="965" spans="1:10" x14ac:dyDescent="0.35">
      <c r="A965" t="s">
        <v>13</v>
      </c>
      <c r="B965" t="s">
        <v>37</v>
      </c>
      <c r="C965" s="77" t="s">
        <v>90</v>
      </c>
      <c r="D965" t="s">
        <v>81</v>
      </c>
      <c r="E965" s="77" t="s">
        <v>119</v>
      </c>
      <c r="F965" s="77" t="s">
        <v>73</v>
      </c>
      <c r="G965" s="77" t="s">
        <v>74</v>
      </c>
      <c r="H965" s="77" t="s">
        <v>108</v>
      </c>
      <c r="I965" s="77" t="s">
        <v>84</v>
      </c>
      <c r="J965" s="76">
        <v>1.2800331672655335E-3</v>
      </c>
    </row>
    <row r="966" spans="1:10" x14ac:dyDescent="0.35">
      <c r="A966" t="s">
        <v>13</v>
      </c>
      <c r="B966" t="s">
        <v>37</v>
      </c>
      <c r="C966" s="77" t="s">
        <v>90</v>
      </c>
      <c r="D966" t="s">
        <v>81</v>
      </c>
      <c r="E966" s="77" t="s">
        <v>120</v>
      </c>
      <c r="F966" s="77" t="s">
        <v>73</v>
      </c>
      <c r="G966" s="77" t="s">
        <v>74</v>
      </c>
      <c r="H966" s="77" t="s">
        <v>108</v>
      </c>
      <c r="I966" s="77" t="s">
        <v>84</v>
      </c>
      <c r="J966" s="76">
        <v>5.6700291220540041E-3</v>
      </c>
    </row>
    <row r="967" spans="1:10" x14ac:dyDescent="0.35">
      <c r="A967" t="s">
        <v>13</v>
      </c>
      <c r="B967" t="s">
        <v>37</v>
      </c>
      <c r="C967" s="77" t="s">
        <v>90</v>
      </c>
      <c r="D967" t="s">
        <v>81</v>
      </c>
      <c r="E967" s="77" t="s">
        <v>121</v>
      </c>
      <c r="F967" s="77" t="s">
        <v>73</v>
      </c>
      <c r="G967" s="77" t="s">
        <v>74</v>
      </c>
      <c r="H967" s="77" t="s">
        <v>108</v>
      </c>
      <c r="I967" s="77" t="s">
        <v>84</v>
      </c>
      <c r="J967" s="76">
        <f>'SUT_EU27 total'!$K$59</f>
        <v>0</v>
      </c>
    </row>
    <row r="968" spans="1:10" x14ac:dyDescent="0.35">
      <c r="A968" t="s">
        <v>13</v>
      </c>
      <c r="B968" t="s">
        <v>37</v>
      </c>
      <c r="C968" s="77" t="s">
        <v>90</v>
      </c>
      <c r="D968" t="s">
        <v>81</v>
      </c>
      <c r="E968" s="77" t="s">
        <v>117</v>
      </c>
      <c r="F968" s="77" t="s">
        <v>73</v>
      </c>
      <c r="G968" s="77" t="s">
        <v>74</v>
      </c>
      <c r="H968" s="77" t="s">
        <v>108</v>
      </c>
      <c r="I968" s="77" t="s">
        <v>84</v>
      </c>
      <c r="J968" s="76">
        <f>'SUT_EU27 total'!$K$61</f>
        <v>1.1930979242119881E-3</v>
      </c>
    </row>
    <row r="969" spans="1:10" x14ac:dyDescent="0.35">
      <c r="A969" t="s">
        <v>13</v>
      </c>
      <c r="B969" t="s">
        <v>37</v>
      </c>
      <c r="C969" s="77" t="s">
        <v>90</v>
      </c>
      <c r="D969" t="s">
        <v>81</v>
      </c>
      <c r="E969" s="77" t="s">
        <v>122</v>
      </c>
      <c r="F969" s="77" t="s">
        <v>73</v>
      </c>
      <c r="G969" s="77" t="s">
        <v>74</v>
      </c>
      <c r="H969" s="77" t="s">
        <v>108</v>
      </c>
      <c r="I969" s="77" t="s">
        <v>84</v>
      </c>
      <c r="J969" s="76">
        <f>'SUT_EU27 total'!$K$64</f>
        <v>2.5776238002378116E-3</v>
      </c>
    </row>
    <row r="970" spans="1:10" x14ac:dyDescent="0.35">
      <c r="A970" t="s">
        <v>13</v>
      </c>
      <c r="B970" t="s">
        <v>37</v>
      </c>
      <c r="C970" s="77" t="s">
        <v>90</v>
      </c>
      <c r="D970" t="s">
        <v>81</v>
      </c>
      <c r="E970" s="77" t="s">
        <v>101</v>
      </c>
      <c r="F970" s="77" t="s">
        <v>73</v>
      </c>
      <c r="G970" s="77" t="s">
        <v>74</v>
      </c>
      <c r="H970" s="77" t="s">
        <v>108</v>
      </c>
      <c r="I970" s="77" t="s">
        <v>84</v>
      </c>
      <c r="J970" s="76" cm="1">
        <f t="array" ref="J970:J972">'SUT_EU27 total'!$K$66:$K$68</f>
        <v>0</v>
      </c>
    </row>
    <row r="971" spans="1:10" x14ac:dyDescent="0.35">
      <c r="A971" t="s">
        <v>13</v>
      </c>
      <c r="B971" t="s">
        <v>37</v>
      </c>
      <c r="C971" s="77" t="s">
        <v>90</v>
      </c>
      <c r="D971" t="s">
        <v>81</v>
      </c>
      <c r="E971" s="77" t="s">
        <v>104</v>
      </c>
      <c r="F971" s="77" t="s">
        <v>73</v>
      </c>
      <c r="G971" s="77" t="s">
        <v>74</v>
      </c>
      <c r="H971" s="77" t="s">
        <v>108</v>
      </c>
      <c r="I971" s="77" t="s">
        <v>84</v>
      </c>
      <c r="J971" s="76">
        <v>0</v>
      </c>
    </row>
    <row r="972" spans="1:10" x14ac:dyDescent="0.35">
      <c r="A972" t="s">
        <v>13</v>
      </c>
      <c r="B972" t="s">
        <v>37</v>
      </c>
      <c r="C972" s="77" t="s">
        <v>90</v>
      </c>
      <c r="D972" t="s">
        <v>81</v>
      </c>
      <c r="E972" s="77" t="s">
        <v>106</v>
      </c>
      <c r="F972" s="77" t="s">
        <v>73</v>
      </c>
      <c r="G972" s="77" t="s">
        <v>74</v>
      </c>
      <c r="H972" s="77" t="s">
        <v>108</v>
      </c>
      <c r="I972" s="77" t="s">
        <v>84</v>
      </c>
      <c r="J972" s="76">
        <v>0</v>
      </c>
    </row>
    <row r="973" spans="1:10" x14ac:dyDescent="0.35">
      <c r="A973" t="s">
        <v>13</v>
      </c>
      <c r="B973" t="s">
        <v>37</v>
      </c>
      <c r="C973" s="77" t="s">
        <v>91</v>
      </c>
      <c r="D973" t="s">
        <v>81</v>
      </c>
      <c r="E973" s="77" t="s">
        <v>118</v>
      </c>
      <c r="F973" s="77" t="s">
        <v>73</v>
      </c>
      <c r="G973" s="77" t="s">
        <v>74</v>
      </c>
      <c r="H973" s="77" t="s">
        <v>108</v>
      </c>
      <c r="I973" s="77" t="s">
        <v>84</v>
      </c>
      <c r="J973" s="76" cm="1">
        <f t="array" ref="J973:J975">'SUT_EU27 total'!$K$72:$K$74</f>
        <v>5.3791732332439677E-3</v>
      </c>
    </row>
    <row r="974" spans="1:10" x14ac:dyDescent="0.35">
      <c r="A974" t="s">
        <v>13</v>
      </c>
      <c r="B974" t="s">
        <v>37</v>
      </c>
      <c r="C974" s="77" t="s">
        <v>91</v>
      </c>
      <c r="D974" t="s">
        <v>81</v>
      </c>
      <c r="E974" s="77" t="s">
        <v>119</v>
      </c>
      <c r="F974" s="77" t="s">
        <v>73</v>
      </c>
      <c r="G974" s="77" t="s">
        <v>74</v>
      </c>
      <c r="H974" s="77" t="s">
        <v>108</v>
      </c>
      <c r="I974" s="77" t="s">
        <v>84</v>
      </c>
      <c r="J974" s="76">
        <v>6.5526133182607291E-3</v>
      </c>
    </row>
    <row r="975" spans="1:10" x14ac:dyDescent="0.35">
      <c r="A975" t="s">
        <v>13</v>
      </c>
      <c r="B975" t="s">
        <v>37</v>
      </c>
      <c r="C975" s="77" t="s">
        <v>91</v>
      </c>
      <c r="D975" t="s">
        <v>81</v>
      </c>
      <c r="E975" s="77" t="s">
        <v>120</v>
      </c>
      <c r="F975" s="77" t="s">
        <v>73</v>
      </c>
      <c r="G975" s="77" t="s">
        <v>74</v>
      </c>
      <c r="H975" s="77" t="s">
        <v>108</v>
      </c>
      <c r="I975" s="77" t="s">
        <v>84</v>
      </c>
      <c r="J975" s="76">
        <v>2.464950959887623E-4</v>
      </c>
    </row>
    <row r="976" spans="1:10" x14ac:dyDescent="0.35">
      <c r="A976" t="s">
        <v>13</v>
      </c>
      <c r="B976" t="s">
        <v>37</v>
      </c>
      <c r="C976" s="77" t="s">
        <v>91</v>
      </c>
      <c r="D976" t="s">
        <v>81</v>
      </c>
      <c r="E976" s="77" t="s">
        <v>121</v>
      </c>
      <c r="F976" s="77" t="s">
        <v>73</v>
      </c>
      <c r="G976" s="77" t="s">
        <v>74</v>
      </c>
      <c r="H976" s="77" t="s">
        <v>108</v>
      </c>
      <c r="I976" s="77" t="s">
        <v>84</v>
      </c>
      <c r="J976" s="76">
        <f>'SUT_EU27 total'!$K$76</f>
        <v>0</v>
      </c>
    </row>
    <row r="977" spans="1:10" x14ac:dyDescent="0.35">
      <c r="A977" t="s">
        <v>13</v>
      </c>
      <c r="B977" t="s">
        <v>37</v>
      </c>
      <c r="C977" s="77" t="s">
        <v>91</v>
      </c>
      <c r="D977" t="s">
        <v>81</v>
      </c>
      <c r="E977" s="77" t="s">
        <v>117</v>
      </c>
      <c r="F977" s="77" t="s">
        <v>73</v>
      </c>
      <c r="G977" s="77" t="s">
        <v>74</v>
      </c>
      <c r="H977" s="77" t="s">
        <v>108</v>
      </c>
      <c r="I977" s="77" t="s">
        <v>84</v>
      </c>
      <c r="J977" s="76">
        <f>'SUT_EU27 total'!$K$78</f>
        <v>1.1485683451306521E-3</v>
      </c>
    </row>
    <row r="978" spans="1:10" x14ac:dyDescent="0.35">
      <c r="A978" t="s">
        <v>13</v>
      </c>
      <c r="B978" t="s">
        <v>37</v>
      </c>
      <c r="C978" s="77" t="s">
        <v>91</v>
      </c>
      <c r="D978" t="s">
        <v>81</v>
      </c>
      <c r="E978" s="77" t="s">
        <v>122</v>
      </c>
      <c r="F978" s="77" t="s">
        <v>73</v>
      </c>
      <c r="G978" s="77" t="s">
        <v>74</v>
      </c>
      <c r="H978" s="77" t="s">
        <v>108</v>
      </c>
      <c r="I978" s="77" t="s">
        <v>84</v>
      </c>
      <c r="J978" s="76">
        <f>'SUT_EU27 total'!$K$81</f>
        <v>0</v>
      </c>
    </row>
    <row r="979" spans="1:10" x14ac:dyDescent="0.35">
      <c r="A979" t="s">
        <v>13</v>
      </c>
      <c r="B979" t="s">
        <v>37</v>
      </c>
      <c r="C979" s="77" t="s">
        <v>91</v>
      </c>
      <c r="D979" t="s">
        <v>81</v>
      </c>
      <c r="E979" s="77" t="s">
        <v>101</v>
      </c>
      <c r="F979" s="77" t="s">
        <v>73</v>
      </c>
      <c r="G979" s="77" t="s">
        <v>74</v>
      </c>
      <c r="H979" s="77" t="s">
        <v>108</v>
      </c>
      <c r="I979" s="77" t="s">
        <v>84</v>
      </c>
      <c r="J979" s="76" cm="1">
        <f t="array" ref="J979:J981">'SUT_EU27 total'!$K$83:$K$85</f>
        <v>0</v>
      </c>
    </row>
    <row r="980" spans="1:10" x14ac:dyDescent="0.35">
      <c r="A980" t="s">
        <v>13</v>
      </c>
      <c r="B980" t="s">
        <v>37</v>
      </c>
      <c r="C980" s="77" t="s">
        <v>91</v>
      </c>
      <c r="D980" t="s">
        <v>81</v>
      </c>
      <c r="E980" s="77" t="s">
        <v>104</v>
      </c>
      <c r="F980" s="77" t="s">
        <v>73</v>
      </c>
      <c r="G980" s="77" t="s">
        <v>74</v>
      </c>
      <c r="H980" s="77" t="s">
        <v>108</v>
      </c>
      <c r="I980" s="77" t="s">
        <v>84</v>
      </c>
      <c r="J980" s="76">
        <v>0</v>
      </c>
    </row>
    <row r="981" spans="1:10" x14ac:dyDescent="0.35">
      <c r="A981" t="s">
        <v>13</v>
      </c>
      <c r="B981" t="s">
        <v>37</v>
      </c>
      <c r="C981" s="77" t="s">
        <v>91</v>
      </c>
      <c r="D981" t="s">
        <v>81</v>
      </c>
      <c r="E981" s="77" t="s">
        <v>106</v>
      </c>
      <c r="F981" s="77" t="s">
        <v>73</v>
      </c>
      <c r="G981" s="77" t="s">
        <v>74</v>
      </c>
      <c r="H981" s="77" t="s">
        <v>108</v>
      </c>
      <c r="I981" s="77" t="s">
        <v>84</v>
      </c>
      <c r="J981" s="76">
        <v>0</v>
      </c>
    </row>
    <row r="982" spans="1:10" x14ac:dyDescent="0.35">
      <c r="A982" t="s">
        <v>13</v>
      </c>
      <c r="B982" t="s">
        <v>37</v>
      </c>
      <c r="C982" s="77" t="s">
        <v>92</v>
      </c>
      <c r="D982" t="s">
        <v>81</v>
      </c>
      <c r="E982" s="77" t="s">
        <v>118</v>
      </c>
      <c r="F982" s="77" t="s">
        <v>73</v>
      </c>
      <c r="G982" s="77" t="s">
        <v>74</v>
      </c>
      <c r="H982" s="77" t="s">
        <v>108</v>
      </c>
      <c r="I982" s="77" t="s">
        <v>84</v>
      </c>
      <c r="J982" s="76" cm="1">
        <f t="array" ref="J982:J984">'SUT_EU27 total'!$K$89:$K$91</f>
        <v>3.3497344343163542E-3</v>
      </c>
    </row>
    <row r="983" spans="1:10" x14ac:dyDescent="0.35">
      <c r="A983" t="s">
        <v>13</v>
      </c>
      <c r="B983" t="s">
        <v>37</v>
      </c>
      <c r="C983" s="77" t="s">
        <v>92</v>
      </c>
      <c r="D983" t="s">
        <v>81</v>
      </c>
      <c r="E983" s="77" t="s">
        <v>119</v>
      </c>
      <c r="F983" s="77" t="s">
        <v>73</v>
      </c>
      <c r="G983" s="77" t="s">
        <v>74</v>
      </c>
      <c r="H983" s="77" t="s">
        <v>108</v>
      </c>
      <c r="I983" s="77" t="s">
        <v>84</v>
      </c>
      <c r="J983" s="76">
        <v>6.0269323460777589E-3</v>
      </c>
    </row>
    <row r="984" spans="1:10" x14ac:dyDescent="0.35">
      <c r="A984" t="s">
        <v>13</v>
      </c>
      <c r="B984" t="s">
        <v>37</v>
      </c>
      <c r="C984" s="77" t="s">
        <v>92</v>
      </c>
      <c r="D984" t="s">
        <v>81</v>
      </c>
      <c r="E984" s="77" t="s">
        <v>120</v>
      </c>
      <c r="F984" s="77" t="s">
        <v>73</v>
      </c>
      <c r="G984" s="77" t="s">
        <v>74</v>
      </c>
      <c r="H984" s="77" t="s">
        <v>108</v>
      </c>
      <c r="I984" s="77" t="s">
        <v>84</v>
      </c>
      <c r="J984" s="76">
        <v>4.0947713992508196E-3</v>
      </c>
    </row>
    <row r="985" spans="1:10" x14ac:dyDescent="0.35">
      <c r="A985" t="s">
        <v>13</v>
      </c>
      <c r="B985" t="s">
        <v>37</v>
      </c>
      <c r="C985" s="77" t="s">
        <v>92</v>
      </c>
      <c r="D985" t="s">
        <v>81</v>
      </c>
      <c r="E985" s="77" t="s">
        <v>121</v>
      </c>
      <c r="F985" s="77" t="s">
        <v>73</v>
      </c>
      <c r="G985" s="77" t="s">
        <v>74</v>
      </c>
      <c r="H985" s="77" t="s">
        <v>108</v>
      </c>
      <c r="I985" s="77" t="s">
        <v>84</v>
      </c>
      <c r="J985" s="76">
        <f>'SUT_EU27 total'!$K$93</f>
        <v>0</v>
      </c>
    </row>
    <row r="986" spans="1:10" x14ac:dyDescent="0.35">
      <c r="A986" t="s">
        <v>13</v>
      </c>
      <c r="B986" t="s">
        <v>37</v>
      </c>
      <c r="C986" s="77" t="s">
        <v>92</v>
      </c>
      <c r="D986" t="s">
        <v>81</v>
      </c>
      <c r="E986" s="77" t="s">
        <v>117</v>
      </c>
      <c r="F986" s="77" t="s">
        <v>73</v>
      </c>
      <c r="G986" s="77" t="s">
        <v>74</v>
      </c>
      <c r="H986" s="77" t="s">
        <v>108</v>
      </c>
      <c r="I986" s="77" t="s">
        <v>84</v>
      </c>
      <c r="J986" s="76">
        <f>'SUT_EU27 total'!$K$95</f>
        <v>0</v>
      </c>
    </row>
    <row r="987" spans="1:10" x14ac:dyDescent="0.35">
      <c r="A987" t="s">
        <v>13</v>
      </c>
      <c r="B987" t="s">
        <v>37</v>
      </c>
      <c r="C987" s="77" t="s">
        <v>92</v>
      </c>
      <c r="D987" t="s">
        <v>81</v>
      </c>
      <c r="E987" s="77" t="s">
        <v>122</v>
      </c>
      <c r="F987" s="77" t="s">
        <v>73</v>
      </c>
      <c r="G987" s="77" t="s">
        <v>74</v>
      </c>
      <c r="H987" s="77" t="s">
        <v>108</v>
      </c>
      <c r="I987" s="77" t="s">
        <v>84</v>
      </c>
      <c r="J987" s="76">
        <f>'SUT_EU27 total'!$K$98</f>
        <v>0</v>
      </c>
    </row>
    <row r="988" spans="1:10" x14ac:dyDescent="0.35">
      <c r="A988" t="s">
        <v>13</v>
      </c>
      <c r="B988" t="s">
        <v>37</v>
      </c>
      <c r="C988" s="77" t="s">
        <v>92</v>
      </c>
      <c r="D988" t="s">
        <v>81</v>
      </c>
      <c r="E988" s="77" t="s">
        <v>101</v>
      </c>
      <c r="F988" s="77" t="s">
        <v>73</v>
      </c>
      <c r="G988" s="77" t="s">
        <v>74</v>
      </c>
      <c r="H988" s="77" t="s">
        <v>108</v>
      </c>
      <c r="I988" s="77" t="s">
        <v>84</v>
      </c>
      <c r="J988" s="76" cm="1">
        <f t="array" ref="J988:J990">'SUT_EU27 total'!$K$100:$K$102</f>
        <v>0</v>
      </c>
    </row>
    <row r="989" spans="1:10" x14ac:dyDescent="0.35">
      <c r="A989" t="s">
        <v>13</v>
      </c>
      <c r="B989" t="s">
        <v>37</v>
      </c>
      <c r="C989" s="77" t="s">
        <v>92</v>
      </c>
      <c r="D989" t="s">
        <v>81</v>
      </c>
      <c r="E989" s="77" t="s">
        <v>104</v>
      </c>
      <c r="F989" s="77" t="s">
        <v>73</v>
      </c>
      <c r="G989" s="77" t="s">
        <v>74</v>
      </c>
      <c r="H989" s="77" t="s">
        <v>108</v>
      </c>
      <c r="I989" s="77" t="s">
        <v>84</v>
      </c>
      <c r="J989" s="76">
        <v>0</v>
      </c>
    </row>
    <row r="990" spans="1:10" x14ac:dyDescent="0.35">
      <c r="A990" t="s">
        <v>13</v>
      </c>
      <c r="B990" t="s">
        <v>37</v>
      </c>
      <c r="C990" s="77" t="s">
        <v>92</v>
      </c>
      <c r="D990" t="s">
        <v>81</v>
      </c>
      <c r="E990" s="77" t="s">
        <v>106</v>
      </c>
      <c r="F990" s="77" t="s">
        <v>73</v>
      </c>
      <c r="G990" s="77" t="s">
        <v>74</v>
      </c>
      <c r="H990" s="77" t="s">
        <v>108</v>
      </c>
      <c r="I990" s="77" t="s">
        <v>84</v>
      </c>
      <c r="J990" s="76">
        <v>0</v>
      </c>
    </row>
    <row r="991" spans="1:10" x14ac:dyDescent="0.35">
      <c r="A991" t="s">
        <v>13</v>
      </c>
      <c r="B991" t="s">
        <v>37</v>
      </c>
      <c r="C991" s="77" t="s">
        <v>93</v>
      </c>
      <c r="D991" t="s">
        <v>81</v>
      </c>
      <c r="E991" s="77" t="s">
        <v>118</v>
      </c>
      <c r="F991" s="77" t="s">
        <v>73</v>
      </c>
      <c r="G991" s="77" t="s">
        <v>74</v>
      </c>
      <c r="H991" s="77" t="s">
        <v>108</v>
      </c>
      <c r="I991" s="77" t="s">
        <v>84</v>
      </c>
      <c r="J991" s="76" cm="1">
        <f t="array" ref="J991:J993">'SUT_EU27 total'!$K$106:$K$108</f>
        <v>1.4980971667560324E-2</v>
      </c>
    </row>
    <row r="992" spans="1:10" x14ac:dyDescent="0.35">
      <c r="A992" t="s">
        <v>13</v>
      </c>
      <c r="B992" t="s">
        <v>37</v>
      </c>
      <c r="C992" s="77" t="s">
        <v>93</v>
      </c>
      <c r="D992" t="s">
        <v>81</v>
      </c>
      <c r="E992" s="77" t="s">
        <v>119</v>
      </c>
      <c r="F992" s="77" t="s">
        <v>73</v>
      </c>
      <c r="G992" s="77" t="s">
        <v>74</v>
      </c>
      <c r="H992" s="77" t="s">
        <v>108</v>
      </c>
      <c r="I992" s="77" t="s">
        <v>84</v>
      </c>
      <c r="J992" s="76">
        <v>4.3405477873147885E-2</v>
      </c>
    </row>
    <row r="993" spans="1:10" x14ac:dyDescent="0.35">
      <c r="A993" t="s">
        <v>13</v>
      </c>
      <c r="B993" t="s">
        <v>37</v>
      </c>
      <c r="C993" s="77" t="s">
        <v>93</v>
      </c>
      <c r="D993" t="s">
        <v>81</v>
      </c>
      <c r="E993" s="77" t="s">
        <v>120</v>
      </c>
      <c r="F993" s="77" t="s">
        <v>73</v>
      </c>
      <c r="G993" s="77" t="s">
        <v>74</v>
      </c>
      <c r="H993" s="77" t="s">
        <v>108</v>
      </c>
      <c r="I993" s="77" t="s">
        <v>84</v>
      </c>
      <c r="J993" s="76">
        <v>2.1237093113781802E-2</v>
      </c>
    </row>
    <row r="994" spans="1:10" x14ac:dyDescent="0.35">
      <c r="A994" t="s">
        <v>13</v>
      </c>
      <c r="B994" t="s">
        <v>37</v>
      </c>
      <c r="C994" s="77" t="s">
        <v>93</v>
      </c>
      <c r="D994" t="s">
        <v>81</v>
      </c>
      <c r="E994" s="77" t="s">
        <v>121</v>
      </c>
      <c r="F994" s="77" t="s">
        <v>73</v>
      </c>
      <c r="G994" s="77" t="s">
        <v>74</v>
      </c>
      <c r="H994" s="77" t="s">
        <v>108</v>
      </c>
      <c r="I994" s="77" t="s">
        <v>84</v>
      </c>
      <c r="J994" s="76">
        <f>'SUT_EU27 total'!$K$110</f>
        <v>0</v>
      </c>
    </row>
    <row r="995" spans="1:10" x14ac:dyDescent="0.35">
      <c r="A995" t="s">
        <v>13</v>
      </c>
      <c r="B995" t="s">
        <v>37</v>
      </c>
      <c r="C995" s="77" t="s">
        <v>93</v>
      </c>
      <c r="D995" t="s">
        <v>81</v>
      </c>
      <c r="E995" s="77" t="s">
        <v>117</v>
      </c>
      <c r="F995" s="77" t="s">
        <v>73</v>
      </c>
      <c r="G995" s="77" t="s">
        <v>74</v>
      </c>
      <c r="H995" s="77" t="s">
        <v>108</v>
      </c>
      <c r="I995" s="77" t="s">
        <v>84</v>
      </c>
      <c r="J995" s="76">
        <f>'SUT_EU27 total'!$K$112</f>
        <v>1.1930984723440377E-3</v>
      </c>
    </row>
    <row r="996" spans="1:10" x14ac:dyDescent="0.35">
      <c r="A996" t="s">
        <v>13</v>
      </c>
      <c r="B996" t="s">
        <v>37</v>
      </c>
      <c r="C996" s="77" t="s">
        <v>93</v>
      </c>
      <c r="D996" t="s">
        <v>81</v>
      </c>
      <c r="E996" s="77" t="s">
        <v>122</v>
      </c>
      <c r="F996" s="77" t="s">
        <v>73</v>
      </c>
      <c r="G996" s="77" t="s">
        <v>74</v>
      </c>
      <c r="H996" s="77" t="s">
        <v>108</v>
      </c>
      <c r="I996" s="77" t="s">
        <v>84</v>
      </c>
      <c r="J996" s="76">
        <f>'SUT_EU27 total'!$K$115</f>
        <v>8.7987828585017833E-3</v>
      </c>
    </row>
    <row r="997" spans="1:10" x14ac:dyDescent="0.35">
      <c r="A997" t="s">
        <v>13</v>
      </c>
      <c r="B997" t="s">
        <v>37</v>
      </c>
      <c r="C997" s="77" t="s">
        <v>93</v>
      </c>
      <c r="D997" t="s">
        <v>81</v>
      </c>
      <c r="E997" s="77" t="s">
        <v>101</v>
      </c>
      <c r="F997" s="77" t="s">
        <v>73</v>
      </c>
      <c r="G997" s="77" t="s">
        <v>74</v>
      </c>
      <c r="H997" s="77" t="s">
        <v>108</v>
      </c>
      <c r="I997" s="77" t="s">
        <v>84</v>
      </c>
      <c r="J997" s="76" cm="1">
        <f t="array" ref="J997:J999">'SUT_EU27 total'!$K$117:$K$119</f>
        <v>0</v>
      </c>
    </row>
    <row r="998" spans="1:10" x14ac:dyDescent="0.35">
      <c r="A998" t="s">
        <v>13</v>
      </c>
      <c r="B998" t="s">
        <v>37</v>
      </c>
      <c r="C998" s="77" t="s">
        <v>93</v>
      </c>
      <c r="D998" t="s">
        <v>81</v>
      </c>
      <c r="E998" s="77" t="s">
        <v>104</v>
      </c>
      <c r="F998" s="77" t="s">
        <v>73</v>
      </c>
      <c r="G998" s="77" t="s">
        <v>74</v>
      </c>
      <c r="H998" s="77" t="s">
        <v>108</v>
      </c>
      <c r="I998" s="77" t="s">
        <v>84</v>
      </c>
      <c r="J998" s="76">
        <v>0</v>
      </c>
    </row>
    <row r="999" spans="1:10" x14ac:dyDescent="0.35">
      <c r="A999" t="s">
        <v>13</v>
      </c>
      <c r="B999" t="s">
        <v>37</v>
      </c>
      <c r="C999" s="77" t="s">
        <v>93</v>
      </c>
      <c r="D999" t="s">
        <v>81</v>
      </c>
      <c r="E999" s="77" t="s">
        <v>106</v>
      </c>
      <c r="F999" s="77" t="s">
        <v>73</v>
      </c>
      <c r="G999" s="77" t="s">
        <v>74</v>
      </c>
      <c r="H999" s="77" t="s">
        <v>108</v>
      </c>
      <c r="I999" s="77" t="s">
        <v>84</v>
      </c>
      <c r="J999" s="76">
        <v>0</v>
      </c>
    </row>
    <row r="1000" spans="1:10" x14ac:dyDescent="0.35">
      <c r="A1000" t="s">
        <v>13</v>
      </c>
      <c r="B1000" t="s">
        <v>37</v>
      </c>
      <c r="C1000" s="77" t="s">
        <v>73</v>
      </c>
      <c r="D1000" t="s">
        <v>81</v>
      </c>
      <c r="E1000" s="77" t="s">
        <v>119</v>
      </c>
      <c r="F1000" s="77" t="s">
        <v>73</v>
      </c>
      <c r="G1000" s="77" t="s">
        <v>74</v>
      </c>
      <c r="H1000" s="77" t="s">
        <v>123</v>
      </c>
      <c r="I1000" s="77" t="s">
        <v>84</v>
      </c>
      <c r="J1000" s="76">
        <f>'SUT_EU27 total'!$L$22</f>
        <v>1.9500181678711294E-2</v>
      </c>
    </row>
    <row r="1001" spans="1:10" x14ac:dyDescent="0.35">
      <c r="A1001" t="s">
        <v>13</v>
      </c>
      <c r="B1001" t="s">
        <v>37</v>
      </c>
      <c r="C1001" s="77" t="s">
        <v>73</v>
      </c>
      <c r="D1001" t="s">
        <v>81</v>
      </c>
      <c r="E1001" s="77" t="s">
        <v>124</v>
      </c>
      <c r="F1001" s="77" t="s">
        <v>73</v>
      </c>
      <c r="G1001" s="77" t="s">
        <v>74</v>
      </c>
      <c r="H1001" s="77" t="s">
        <v>123</v>
      </c>
      <c r="I1001" s="77" t="s">
        <v>84</v>
      </c>
      <c r="J1001" s="76" cm="1">
        <f t="array" ref="J1001:J1009">'SUT_EU27 total'!$L$26:$L$34</f>
        <v>1.9404661061278542E-3</v>
      </c>
    </row>
    <row r="1002" spans="1:10" x14ac:dyDescent="0.35">
      <c r="A1002" t="s">
        <v>13</v>
      </c>
      <c r="B1002" t="s">
        <v>37</v>
      </c>
      <c r="C1002" s="77" t="s">
        <v>73</v>
      </c>
      <c r="D1002" t="s">
        <v>81</v>
      </c>
      <c r="E1002" s="77" t="s">
        <v>117</v>
      </c>
      <c r="F1002" s="77" t="s">
        <v>73</v>
      </c>
      <c r="G1002" s="77" t="s">
        <v>74</v>
      </c>
      <c r="H1002" s="77" t="s">
        <v>123</v>
      </c>
      <c r="I1002" s="77" t="s">
        <v>84</v>
      </c>
      <c r="J1002" s="76">
        <v>5.8423628191201782E-3</v>
      </c>
    </row>
    <row r="1003" spans="1:10" x14ac:dyDescent="0.35">
      <c r="A1003" t="s">
        <v>13</v>
      </c>
      <c r="B1003" t="s">
        <v>37</v>
      </c>
      <c r="C1003" s="77" t="s">
        <v>73</v>
      </c>
      <c r="D1003" t="s">
        <v>81</v>
      </c>
      <c r="E1003" s="77" t="s">
        <v>82</v>
      </c>
      <c r="F1003" s="77" t="s">
        <v>73</v>
      </c>
      <c r="G1003" s="77" t="s">
        <v>74</v>
      </c>
      <c r="H1003" s="77" t="s">
        <v>123</v>
      </c>
      <c r="I1003" s="77" t="s">
        <v>84</v>
      </c>
      <c r="J1003" s="76">
        <v>4.8981233243967828E-4</v>
      </c>
    </row>
    <row r="1004" spans="1:10" x14ac:dyDescent="0.35">
      <c r="A1004" t="s">
        <v>13</v>
      </c>
      <c r="B1004" t="s">
        <v>37</v>
      </c>
      <c r="C1004" s="77" t="s">
        <v>73</v>
      </c>
      <c r="D1004" t="s">
        <v>81</v>
      </c>
      <c r="E1004" s="77" t="s">
        <v>125</v>
      </c>
      <c r="F1004" s="77" t="s">
        <v>73</v>
      </c>
      <c r="G1004" s="77" t="s">
        <v>74</v>
      </c>
      <c r="H1004" s="77" t="s">
        <v>123</v>
      </c>
      <c r="I1004" s="77" t="s">
        <v>84</v>
      </c>
      <c r="J1004" s="76">
        <v>2.4658201215687387E-3</v>
      </c>
    </row>
    <row r="1005" spans="1:10" x14ac:dyDescent="0.35">
      <c r="A1005" t="s">
        <v>13</v>
      </c>
      <c r="B1005" t="s">
        <v>37</v>
      </c>
      <c r="C1005" s="77" t="s">
        <v>73</v>
      </c>
      <c r="D1005" t="s">
        <v>81</v>
      </c>
      <c r="E1005" s="77" t="s">
        <v>122</v>
      </c>
      <c r="F1005" s="77" t="s">
        <v>73</v>
      </c>
      <c r="G1005" s="77" t="s">
        <v>74</v>
      </c>
      <c r="H1005" s="77" t="s">
        <v>123</v>
      </c>
      <c r="I1005" s="77" t="s">
        <v>84</v>
      </c>
      <c r="J1005" s="76">
        <v>4.922711058263972E-4</v>
      </c>
    </row>
    <row r="1006" spans="1:10" x14ac:dyDescent="0.35">
      <c r="A1006" t="s">
        <v>13</v>
      </c>
      <c r="B1006" t="s">
        <v>37</v>
      </c>
      <c r="C1006" s="77" t="s">
        <v>73</v>
      </c>
      <c r="D1006" t="s">
        <v>81</v>
      </c>
      <c r="E1006" s="77" t="s">
        <v>126</v>
      </c>
      <c r="F1006" s="77" t="s">
        <v>73</v>
      </c>
      <c r="G1006" s="77" t="s">
        <v>74</v>
      </c>
      <c r="H1006" s="77" t="s">
        <v>123</v>
      </c>
      <c r="I1006" s="77" t="s">
        <v>84</v>
      </c>
      <c r="J1006" s="76">
        <v>0</v>
      </c>
    </row>
    <row r="1007" spans="1:10" x14ac:dyDescent="0.35">
      <c r="A1007" t="s">
        <v>13</v>
      </c>
      <c r="B1007" t="s">
        <v>37</v>
      </c>
      <c r="C1007" s="77" t="s">
        <v>73</v>
      </c>
      <c r="D1007" t="s">
        <v>81</v>
      </c>
      <c r="E1007" s="77" t="s">
        <v>101</v>
      </c>
      <c r="F1007" s="77" t="s">
        <v>73</v>
      </c>
      <c r="G1007" s="77" t="s">
        <v>74</v>
      </c>
      <c r="H1007" s="77" t="s">
        <v>123</v>
      </c>
      <c r="I1007" s="77" t="s">
        <v>84</v>
      </c>
      <c r="J1007" s="76">
        <v>3.7860913795851507E-4</v>
      </c>
    </row>
    <row r="1008" spans="1:10" x14ac:dyDescent="0.35">
      <c r="A1008" t="s">
        <v>13</v>
      </c>
      <c r="B1008" t="s">
        <v>37</v>
      </c>
      <c r="C1008" s="77" t="s">
        <v>73</v>
      </c>
      <c r="D1008" t="s">
        <v>81</v>
      </c>
      <c r="E1008" s="77" t="s">
        <v>104</v>
      </c>
      <c r="F1008" s="77" t="s">
        <v>73</v>
      </c>
      <c r="G1008" s="77" t="s">
        <v>74</v>
      </c>
      <c r="H1008" s="77" t="s">
        <v>123</v>
      </c>
      <c r="I1008" s="77" t="s">
        <v>84</v>
      </c>
      <c r="J1008" s="76">
        <v>7.1686251377883477E-4</v>
      </c>
    </row>
    <row r="1009" spans="1:10" x14ac:dyDescent="0.35">
      <c r="A1009" t="s">
        <v>13</v>
      </c>
      <c r="B1009" t="s">
        <v>37</v>
      </c>
      <c r="C1009" s="77" t="s">
        <v>73</v>
      </c>
      <c r="D1009" t="s">
        <v>81</v>
      </c>
      <c r="E1009" s="77" t="s">
        <v>106</v>
      </c>
      <c r="F1009" s="77" t="s">
        <v>73</v>
      </c>
      <c r="G1009" s="77" t="s">
        <v>74</v>
      </c>
      <c r="H1009" s="77" t="s">
        <v>123</v>
      </c>
      <c r="I1009" s="77" t="s">
        <v>84</v>
      </c>
      <c r="J1009" s="76">
        <v>2.438307869996036E-3</v>
      </c>
    </row>
    <row r="1010" spans="1:10" x14ac:dyDescent="0.35">
      <c r="A1010" t="s">
        <v>13</v>
      </c>
      <c r="B1010" t="s">
        <v>37</v>
      </c>
      <c r="C1010" s="77" t="s">
        <v>88</v>
      </c>
      <c r="D1010" t="s">
        <v>81</v>
      </c>
      <c r="E1010" s="77" t="s">
        <v>119</v>
      </c>
      <c r="F1010" s="77" t="s">
        <v>73</v>
      </c>
      <c r="G1010" s="77" t="s">
        <v>74</v>
      </c>
      <c r="H1010" s="77" t="s">
        <v>123</v>
      </c>
      <c r="I1010" s="77" t="s">
        <v>84</v>
      </c>
      <c r="J1010" s="76">
        <f>'SUT_EU27 total'!$L$39</f>
        <v>0.16108845734587587</v>
      </c>
    </row>
    <row r="1011" spans="1:10" x14ac:dyDescent="0.35">
      <c r="A1011" t="s">
        <v>13</v>
      </c>
      <c r="B1011" t="s">
        <v>37</v>
      </c>
      <c r="C1011" s="77" t="s">
        <v>88</v>
      </c>
      <c r="D1011" t="s">
        <v>81</v>
      </c>
      <c r="E1011" s="77" t="s">
        <v>124</v>
      </c>
      <c r="F1011" s="77" t="s">
        <v>73</v>
      </c>
      <c r="G1011" s="77" t="s">
        <v>74</v>
      </c>
      <c r="H1011" s="77" t="s">
        <v>123</v>
      </c>
      <c r="I1011" s="77" t="s">
        <v>84</v>
      </c>
      <c r="J1011" s="76" cm="1">
        <f t="array" ref="J1011:J1019">'SUT_EU27 total'!$M$43:$M$51</f>
        <v>5.0558836222750793E-4</v>
      </c>
    </row>
    <row r="1012" spans="1:10" x14ac:dyDescent="0.35">
      <c r="A1012" t="s">
        <v>13</v>
      </c>
      <c r="B1012" t="s">
        <v>37</v>
      </c>
      <c r="C1012" s="77" t="s">
        <v>88</v>
      </c>
      <c r="D1012" t="s">
        <v>81</v>
      </c>
      <c r="E1012" s="77" t="s">
        <v>117</v>
      </c>
      <c r="F1012" s="77" t="s">
        <v>73</v>
      </c>
      <c r="G1012" s="77" t="s">
        <v>74</v>
      </c>
      <c r="H1012" s="77" t="s">
        <v>123</v>
      </c>
      <c r="I1012" s="77" t="s">
        <v>84</v>
      </c>
      <c r="J1012" s="76">
        <v>4.8514464106651379E-3</v>
      </c>
    </row>
    <row r="1013" spans="1:10" x14ac:dyDescent="0.35">
      <c r="A1013" t="s">
        <v>13</v>
      </c>
      <c r="B1013" t="s">
        <v>37</v>
      </c>
      <c r="C1013" s="77" t="s">
        <v>88</v>
      </c>
      <c r="D1013" t="s">
        <v>81</v>
      </c>
      <c r="E1013" s="77" t="s">
        <v>82</v>
      </c>
      <c r="F1013" s="77" t="s">
        <v>73</v>
      </c>
      <c r="G1013" s="77" t="s">
        <v>74</v>
      </c>
      <c r="H1013" s="77" t="s">
        <v>123</v>
      </c>
      <c r="I1013" s="77" t="s">
        <v>84</v>
      </c>
      <c r="J1013" s="76">
        <v>1.109418436791091E-2</v>
      </c>
    </row>
    <row r="1014" spans="1:10" x14ac:dyDescent="0.35">
      <c r="A1014" t="s">
        <v>13</v>
      </c>
      <c r="B1014" t="s">
        <v>37</v>
      </c>
      <c r="C1014" s="77" t="s">
        <v>88</v>
      </c>
      <c r="D1014" t="s">
        <v>81</v>
      </c>
      <c r="E1014" s="77" t="s">
        <v>125</v>
      </c>
      <c r="F1014" s="77" t="s">
        <v>73</v>
      </c>
      <c r="G1014" s="77" t="s">
        <v>74</v>
      </c>
      <c r="H1014" s="77" t="s">
        <v>123</v>
      </c>
      <c r="I1014" s="77" t="s">
        <v>84</v>
      </c>
      <c r="J1014" s="76">
        <v>2.890870278990243E-5</v>
      </c>
    </row>
    <row r="1015" spans="1:10" x14ac:dyDescent="0.35">
      <c r="A1015" t="s">
        <v>13</v>
      </c>
      <c r="B1015" t="s">
        <v>37</v>
      </c>
      <c r="C1015" s="77" t="s">
        <v>88</v>
      </c>
      <c r="D1015" t="s">
        <v>81</v>
      </c>
      <c r="E1015" s="77" t="s">
        <v>122</v>
      </c>
      <c r="F1015" s="77" t="s">
        <v>73</v>
      </c>
      <c r="G1015" s="77" t="s">
        <v>74</v>
      </c>
      <c r="H1015" s="77" t="s">
        <v>123</v>
      </c>
      <c r="I1015" s="77" t="s">
        <v>84</v>
      </c>
      <c r="J1015" s="76">
        <v>0</v>
      </c>
    </row>
    <row r="1016" spans="1:10" x14ac:dyDescent="0.35">
      <c r="A1016" t="s">
        <v>13</v>
      </c>
      <c r="B1016" t="s">
        <v>37</v>
      </c>
      <c r="C1016" s="77" t="s">
        <v>88</v>
      </c>
      <c r="D1016" t="s">
        <v>81</v>
      </c>
      <c r="E1016" s="77" t="s">
        <v>126</v>
      </c>
      <c r="F1016" s="77" t="s">
        <v>73</v>
      </c>
      <c r="G1016" s="77" t="s">
        <v>74</v>
      </c>
      <c r="H1016" s="77" t="s">
        <v>123</v>
      </c>
      <c r="I1016" s="77" t="s">
        <v>84</v>
      </c>
      <c r="J1016" s="76">
        <v>2.8514320987501449E-3</v>
      </c>
    </row>
    <row r="1017" spans="1:10" x14ac:dyDescent="0.35">
      <c r="A1017" t="s">
        <v>13</v>
      </c>
      <c r="B1017" t="s">
        <v>37</v>
      </c>
      <c r="C1017" s="77" t="s">
        <v>88</v>
      </c>
      <c r="D1017" t="s">
        <v>81</v>
      </c>
      <c r="E1017" s="77" t="s">
        <v>101</v>
      </c>
      <c r="F1017" s="77" t="s">
        <v>73</v>
      </c>
      <c r="G1017" s="77" t="s">
        <v>74</v>
      </c>
      <c r="H1017" s="77" t="s">
        <v>123</v>
      </c>
      <c r="I1017" s="77" t="s">
        <v>84</v>
      </c>
      <c r="J1017" s="76">
        <v>0</v>
      </c>
    </row>
    <row r="1018" spans="1:10" x14ac:dyDescent="0.35">
      <c r="A1018" t="s">
        <v>13</v>
      </c>
      <c r="B1018" t="s">
        <v>37</v>
      </c>
      <c r="C1018" s="77" t="s">
        <v>88</v>
      </c>
      <c r="D1018" t="s">
        <v>81</v>
      </c>
      <c r="E1018" s="77" t="s">
        <v>104</v>
      </c>
      <c r="F1018" s="77" t="s">
        <v>73</v>
      </c>
      <c r="G1018" s="77" t="s">
        <v>74</v>
      </c>
      <c r="H1018" s="77" t="s">
        <v>123</v>
      </c>
      <c r="I1018" s="77" t="s">
        <v>84</v>
      </c>
      <c r="J1018" s="76">
        <v>0</v>
      </c>
    </row>
    <row r="1019" spans="1:10" x14ac:dyDescent="0.35">
      <c r="A1019" t="s">
        <v>13</v>
      </c>
      <c r="B1019" t="s">
        <v>37</v>
      </c>
      <c r="C1019" s="77" t="s">
        <v>88</v>
      </c>
      <c r="D1019" t="s">
        <v>81</v>
      </c>
      <c r="E1019" s="77" t="s">
        <v>106</v>
      </c>
      <c r="F1019" s="77" t="s">
        <v>73</v>
      </c>
      <c r="G1019" s="77" t="s">
        <v>74</v>
      </c>
      <c r="H1019" s="77" t="s">
        <v>123</v>
      </c>
      <c r="I1019" s="77" t="s">
        <v>84</v>
      </c>
      <c r="J1019" s="76">
        <v>0</v>
      </c>
    </row>
    <row r="1020" spans="1:10" x14ac:dyDescent="0.35">
      <c r="A1020" t="s">
        <v>13</v>
      </c>
      <c r="B1020" t="s">
        <v>37</v>
      </c>
      <c r="C1020" s="77" t="s">
        <v>90</v>
      </c>
      <c r="D1020" t="s">
        <v>81</v>
      </c>
      <c r="E1020" s="77" t="s">
        <v>119</v>
      </c>
      <c r="F1020" s="77" t="s">
        <v>73</v>
      </c>
      <c r="G1020" s="77" t="s">
        <v>74</v>
      </c>
      <c r="H1020" s="77" t="s">
        <v>123</v>
      </c>
      <c r="I1020" s="77" t="s">
        <v>84</v>
      </c>
      <c r="J1020" s="76">
        <f>'SUT_EU27 total'!$M$56</f>
        <v>2.949251079979006E-2</v>
      </c>
    </row>
    <row r="1021" spans="1:10" x14ac:dyDescent="0.35">
      <c r="A1021" t="s">
        <v>13</v>
      </c>
      <c r="B1021" t="s">
        <v>37</v>
      </c>
      <c r="C1021" s="77" t="s">
        <v>90</v>
      </c>
      <c r="D1021" t="s">
        <v>81</v>
      </c>
      <c r="E1021" s="77" t="s">
        <v>124</v>
      </c>
      <c r="F1021" s="77" t="s">
        <v>73</v>
      </c>
      <c r="G1021" s="77" t="s">
        <v>74</v>
      </c>
      <c r="H1021" s="77" t="s">
        <v>123</v>
      </c>
      <c r="I1021" s="77" t="s">
        <v>84</v>
      </c>
      <c r="J1021" s="76" cm="1">
        <f t="array" ref="J1021:J1029">'SUT_EU27 total'!$L$60:$L$68</f>
        <v>2.1047443073980527E-5</v>
      </c>
    </row>
    <row r="1022" spans="1:10" x14ac:dyDescent="0.35">
      <c r="A1022" t="s">
        <v>13</v>
      </c>
      <c r="B1022" t="s">
        <v>37</v>
      </c>
      <c r="C1022" s="77" t="s">
        <v>90</v>
      </c>
      <c r="D1022" t="s">
        <v>81</v>
      </c>
      <c r="E1022" s="77" t="s">
        <v>117</v>
      </c>
      <c r="F1022" s="77" t="s">
        <v>73</v>
      </c>
      <c r="G1022" s="77" t="s">
        <v>74</v>
      </c>
      <c r="H1022" s="77" t="s">
        <v>123</v>
      </c>
      <c r="I1022" s="77" t="s">
        <v>84</v>
      </c>
      <c r="J1022" s="76">
        <v>5.8414015621608938E-3</v>
      </c>
    </row>
    <row r="1023" spans="1:10" x14ac:dyDescent="0.35">
      <c r="A1023" t="s">
        <v>13</v>
      </c>
      <c r="B1023" t="s">
        <v>37</v>
      </c>
      <c r="C1023" s="77" t="s">
        <v>90</v>
      </c>
      <c r="D1023" t="s">
        <v>81</v>
      </c>
      <c r="E1023" s="77" t="s">
        <v>82</v>
      </c>
      <c r="F1023" s="77" t="s">
        <v>73</v>
      </c>
      <c r="G1023" s="77" t="s">
        <v>74</v>
      </c>
      <c r="H1023" s="77" t="s">
        <v>123</v>
      </c>
      <c r="I1023" s="77" t="s">
        <v>84</v>
      </c>
      <c r="J1023" s="76">
        <v>1.4521138379047227E-3</v>
      </c>
    </row>
    <row r="1024" spans="1:10" x14ac:dyDescent="0.35">
      <c r="A1024" t="s">
        <v>13</v>
      </c>
      <c r="B1024" t="s">
        <v>37</v>
      </c>
      <c r="C1024" s="77" t="s">
        <v>90</v>
      </c>
      <c r="D1024" t="s">
        <v>81</v>
      </c>
      <c r="E1024" s="77" t="s">
        <v>125</v>
      </c>
      <c r="F1024" s="77" t="s">
        <v>73</v>
      </c>
      <c r="G1024" s="77" t="s">
        <v>74</v>
      </c>
      <c r="H1024" s="77" t="s">
        <v>123</v>
      </c>
      <c r="I1024" s="77" t="s">
        <v>84</v>
      </c>
      <c r="J1024" s="76">
        <v>6.5130870114372285E-5</v>
      </c>
    </row>
    <row r="1025" spans="1:10" x14ac:dyDescent="0.35">
      <c r="A1025" t="s">
        <v>13</v>
      </c>
      <c r="B1025" t="s">
        <v>37</v>
      </c>
      <c r="C1025" s="77" t="s">
        <v>90</v>
      </c>
      <c r="D1025" t="s">
        <v>81</v>
      </c>
      <c r="E1025" s="77" t="s">
        <v>122</v>
      </c>
      <c r="F1025" s="77" t="s">
        <v>73</v>
      </c>
      <c r="G1025" s="77" t="s">
        <v>74</v>
      </c>
      <c r="H1025" s="77" t="s">
        <v>123</v>
      </c>
      <c r="I1025" s="77" t="s">
        <v>84</v>
      </c>
      <c r="J1025" s="76">
        <v>7.9476813317479189E-4</v>
      </c>
    </row>
    <row r="1026" spans="1:10" x14ac:dyDescent="0.35">
      <c r="A1026" t="s">
        <v>13</v>
      </c>
      <c r="B1026" t="s">
        <v>37</v>
      </c>
      <c r="C1026" s="77" t="s">
        <v>90</v>
      </c>
      <c r="D1026" t="s">
        <v>81</v>
      </c>
      <c r="E1026" s="77" t="s">
        <v>126</v>
      </c>
      <c r="F1026" s="77" t="s">
        <v>73</v>
      </c>
      <c r="G1026" s="77" t="s">
        <v>74</v>
      </c>
      <c r="H1026" s="77" t="s">
        <v>123</v>
      </c>
      <c r="I1026" s="77" t="s">
        <v>84</v>
      </c>
      <c r="J1026" s="76">
        <v>8.4821183458843076E-3</v>
      </c>
    </row>
    <row r="1027" spans="1:10" x14ac:dyDescent="0.35">
      <c r="A1027" t="s">
        <v>13</v>
      </c>
      <c r="B1027" t="s">
        <v>37</v>
      </c>
      <c r="C1027" s="77" t="s">
        <v>90</v>
      </c>
      <c r="D1027" t="s">
        <v>81</v>
      </c>
      <c r="E1027" s="77" t="s">
        <v>101</v>
      </c>
      <c r="F1027" s="77" t="s">
        <v>73</v>
      </c>
      <c r="G1027" s="77" t="s">
        <v>74</v>
      </c>
      <c r="H1027" s="77" t="s">
        <v>123</v>
      </c>
      <c r="I1027" s="77" t="s">
        <v>84</v>
      </c>
      <c r="J1027" s="76">
        <v>0</v>
      </c>
    </row>
    <row r="1028" spans="1:10" x14ac:dyDescent="0.35">
      <c r="A1028" t="s">
        <v>13</v>
      </c>
      <c r="B1028" t="s">
        <v>37</v>
      </c>
      <c r="C1028" s="77" t="s">
        <v>90</v>
      </c>
      <c r="D1028" t="s">
        <v>81</v>
      </c>
      <c r="E1028" s="77" t="s">
        <v>104</v>
      </c>
      <c r="F1028" s="77" t="s">
        <v>73</v>
      </c>
      <c r="G1028" s="77" t="s">
        <v>74</v>
      </c>
      <c r="H1028" s="77" t="s">
        <v>123</v>
      </c>
      <c r="I1028" s="77" t="s">
        <v>84</v>
      </c>
      <c r="J1028" s="76">
        <v>0</v>
      </c>
    </row>
    <row r="1029" spans="1:10" x14ac:dyDescent="0.35">
      <c r="A1029" t="s">
        <v>13</v>
      </c>
      <c r="B1029" t="s">
        <v>37</v>
      </c>
      <c r="C1029" s="77" t="s">
        <v>90</v>
      </c>
      <c r="D1029" t="s">
        <v>81</v>
      </c>
      <c r="E1029" s="77" t="s">
        <v>106</v>
      </c>
      <c r="F1029" s="77" t="s">
        <v>73</v>
      </c>
      <c r="G1029" s="77" t="s">
        <v>74</v>
      </c>
      <c r="H1029" s="77" t="s">
        <v>123</v>
      </c>
      <c r="I1029" s="77" t="s">
        <v>84</v>
      </c>
      <c r="J1029" s="76">
        <v>0</v>
      </c>
    </row>
    <row r="1030" spans="1:10" x14ac:dyDescent="0.35">
      <c r="A1030" t="s">
        <v>13</v>
      </c>
      <c r="B1030" t="s">
        <v>37</v>
      </c>
      <c r="C1030" s="77" t="s">
        <v>91</v>
      </c>
      <c r="D1030" t="s">
        <v>81</v>
      </c>
      <c r="E1030" s="77" t="s">
        <v>119</v>
      </c>
      <c r="F1030" s="77" t="s">
        <v>73</v>
      </c>
      <c r="G1030" s="77" t="s">
        <v>74</v>
      </c>
      <c r="H1030" s="77" t="s">
        <v>123</v>
      </c>
      <c r="I1030" s="77" t="s">
        <v>84</v>
      </c>
      <c r="J1030" s="76">
        <f>'SUT_EU27 total'!$L$73</f>
        <v>0.15097500908393557</v>
      </c>
    </row>
    <row r="1031" spans="1:10" x14ac:dyDescent="0.35">
      <c r="A1031" t="s">
        <v>13</v>
      </c>
      <c r="B1031" t="s">
        <v>37</v>
      </c>
      <c r="C1031" s="77" t="s">
        <v>91</v>
      </c>
      <c r="D1031" t="s">
        <v>81</v>
      </c>
      <c r="E1031" s="77" t="s">
        <v>124</v>
      </c>
      <c r="F1031" s="77" t="s">
        <v>73</v>
      </c>
      <c r="G1031" s="77" t="s">
        <v>74</v>
      </c>
      <c r="H1031" s="77" t="s">
        <v>123</v>
      </c>
      <c r="I1031" s="77" t="s">
        <v>84</v>
      </c>
      <c r="J1031" s="76" cm="1">
        <f t="array" ref="J1031:J1039">'SUT_EU27 total'!$L$77:$L$85</f>
        <v>6.7728942399646885E-5</v>
      </c>
    </row>
    <row r="1032" spans="1:10" x14ac:dyDescent="0.35">
      <c r="A1032" t="s">
        <v>13</v>
      </c>
      <c r="B1032" t="s">
        <v>37</v>
      </c>
      <c r="C1032" s="77" t="s">
        <v>91</v>
      </c>
      <c r="D1032" t="s">
        <v>81</v>
      </c>
      <c r="E1032" s="77" t="s">
        <v>117</v>
      </c>
      <c r="F1032" s="77" t="s">
        <v>73</v>
      </c>
      <c r="G1032" s="77" t="s">
        <v>74</v>
      </c>
      <c r="H1032" s="77" t="s">
        <v>123</v>
      </c>
      <c r="I1032" s="77" t="s">
        <v>84</v>
      </c>
      <c r="J1032" s="76">
        <v>5.6233849622410815E-3</v>
      </c>
    </row>
    <row r="1033" spans="1:10" x14ac:dyDescent="0.35">
      <c r="A1033" t="s">
        <v>13</v>
      </c>
      <c r="B1033" t="s">
        <v>37</v>
      </c>
      <c r="C1033" s="77" t="s">
        <v>91</v>
      </c>
      <c r="D1033" t="s">
        <v>81</v>
      </c>
      <c r="E1033" s="77" t="s">
        <v>82</v>
      </c>
      <c r="F1033" s="77" t="s">
        <v>73</v>
      </c>
      <c r="G1033" s="77" t="s">
        <v>74</v>
      </c>
      <c r="H1033" s="77" t="s">
        <v>123</v>
      </c>
      <c r="I1033" s="77" t="s">
        <v>84</v>
      </c>
      <c r="J1033" s="76">
        <v>1.8068055269127655E-3</v>
      </c>
    </row>
    <row r="1034" spans="1:10" x14ac:dyDescent="0.35">
      <c r="A1034" t="s">
        <v>13</v>
      </c>
      <c r="B1034" t="s">
        <v>37</v>
      </c>
      <c r="C1034" s="77" t="s">
        <v>91</v>
      </c>
      <c r="D1034" t="s">
        <v>81</v>
      </c>
      <c r="E1034" s="77" t="s">
        <v>125</v>
      </c>
      <c r="F1034" s="77" t="s">
        <v>73</v>
      </c>
      <c r="G1034" s="77" t="s">
        <v>74</v>
      </c>
      <c r="H1034" s="77" t="s">
        <v>123</v>
      </c>
      <c r="I1034" s="77" t="s">
        <v>84</v>
      </c>
      <c r="J1034" s="76">
        <v>5.6492118062760293E-6</v>
      </c>
    </row>
    <row r="1035" spans="1:10" x14ac:dyDescent="0.35">
      <c r="A1035" t="s">
        <v>13</v>
      </c>
      <c r="B1035" t="s">
        <v>37</v>
      </c>
      <c r="C1035" s="77" t="s">
        <v>91</v>
      </c>
      <c r="D1035" t="s">
        <v>81</v>
      </c>
      <c r="E1035" s="77" t="s">
        <v>122</v>
      </c>
      <c r="F1035" s="77" t="s">
        <v>73</v>
      </c>
      <c r="G1035" s="77" t="s">
        <v>74</v>
      </c>
      <c r="H1035" s="77" t="s">
        <v>123</v>
      </c>
      <c r="I1035" s="77" t="s">
        <v>84</v>
      </c>
      <c r="J1035" s="76">
        <v>0</v>
      </c>
    </row>
    <row r="1036" spans="1:10" x14ac:dyDescent="0.35">
      <c r="A1036" t="s">
        <v>13</v>
      </c>
      <c r="B1036" t="s">
        <v>37</v>
      </c>
      <c r="C1036" s="77" t="s">
        <v>91</v>
      </c>
      <c r="D1036" t="s">
        <v>81</v>
      </c>
      <c r="E1036" s="77" t="s">
        <v>126</v>
      </c>
      <c r="F1036" s="77" t="s">
        <v>73</v>
      </c>
      <c r="G1036" s="77" t="s">
        <v>74</v>
      </c>
      <c r="H1036" s="77" t="s">
        <v>123</v>
      </c>
      <c r="I1036" s="77" t="s">
        <v>84</v>
      </c>
      <c r="J1036" s="76">
        <v>8.1093795177776388E-4</v>
      </c>
    </row>
    <row r="1037" spans="1:10" x14ac:dyDescent="0.35">
      <c r="A1037" t="s">
        <v>13</v>
      </c>
      <c r="B1037" t="s">
        <v>37</v>
      </c>
      <c r="C1037" s="77" t="s">
        <v>91</v>
      </c>
      <c r="D1037" t="s">
        <v>81</v>
      </c>
      <c r="E1037" s="77" t="s">
        <v>101</v>
      </c>
      <c r="F1037" s="77" t="s">
        <v>73</v>
      </c>
      <c r="G1037" s="77" t="s">
        <v>74</v>
      </c>
      <c r="H1037" s="77" t="s">
        <v>123</v>
      </c>
      <c r="I1037" s="77" t="s">
        <v>84</v>
      </c>
      <c r="J1037" s="76">
        <v>0</v>
      </c>
    </row>
    <row r="1038" spans="1:10" x14ac:dyDescent="0.35">
      <c r="A1038" t="s">
        <v>13</v>
      </c>
      <c r="B1038" t="s">
        <v>37</v>
      </c>
      <c r="C1038" s="77" t="s">
        <v>91</v>
      </c>
      <c r="D1038" t="s">
        <v>81</v>
      </c>
      <c r="E1038" s="77" t="s">
        <v>104</v>
      </c>
      <c r="F1038" s="77" t="s">
        <v>73</v>
      </c>
      <c r="G1038" s="77" t="s">
        <v>74</v>
      </c>
      <c r="H1038" s="77" t="s">
        <v>123</v>
      </c>
      <c r="I1038" s="77" t="s">
        <v>84</v>
      </c>
      <c r="J1038" s="76">
        <v>0</v>
      </c>
    </row>
    <row r="1039" spans="1:10" x14ac:dyDescent="0.35">
      <c r="A1039" t="s">
        <v>13</v>
      </c>
      <c r="B1039" t="s">
        <v>37</v>
      </c>
      <c r="C1039" s="77" t="s">
        <v>91</v>
      </c>
      <c r="D1039" t="s">
        <v>81</v>
      </c>
      <c r="E1039" s="77" t="s">
        <v>106</v>
      </c>
      <c r="F1039" s="77" t="s">
        <v>73</v>
      </c>
      <c r="G1039" s="77" t="s">
        <v>74</v>
      </c>
      <c r="H1039" s="77" t="s">
        <v>123</v>
      </c>
      <c r="I1039" s="77" t="s">
        <v>84</v>
      </c>
      <c r="J1039" s="76">
        <v>0</v>
      </c>
    </row>
    <row r="1040" spans="1:10" x14ac:dyDescent="0.35">
      <c r="A1040" t="s">
        <v>13</v>
      </c>
      <c r="B1040" t="s">
        <v>37</v>
      </c>
      <c r="C1040" s="77" t="s">
        <v>92</v>
      </c>
      <c r="D1040" t="s">
        <v>81</v>
      </c>
      <c r="E1040" s="77" t="s">
        <v>119</v>
      </c>
      <c r="F1040" s="77" t="s">
        <v>73</v>
      </c>
      <c r="G1040" s="77" t="s">
        <v>74</v>
      </c>
      <c r="H1040" s="77" t="s">
        <v>123</v>
      </c>
      <c r="I1040" s="77" t="s">
        <v>84</v>
      </c>
      <c r="J1040" s="76">
        <f>'SUT_EU27 total'!$L$90</f>
        <v>0.13886309499777949</v>
      </c>
    </row>
    <row r="1041" spans="1:10" x14ac:dyDescent="0.35">
      <c r="A1041" t="s">
        <v>13</v>
      </c>
      <c r="B1041" t="s">
        <v>37</v>
      </c>
      <c r="C1041" s="77" t="s">
        <v>92</v>
      </c>
      <c r="D1041" t="s">
        <v>81</v>
      </c>
      <c r="E1041" s="77" t="s">
        <v>124</v>
      </c>
      <c r="F1041" s="77" t="s">
        <v>73</v>
      </c>
      <c r="G1041" s="77" t="s">
        <v>74</v>
      </c>
      <c r="H1041" s="77" t="s">
        <v>123</v>
      </c>
      <c r="I1041" s="77" t="s">
        <v>84</v>
      </c>
      <c r="J1041" s="76" cm="1">
        <f t="array" ref="J1041:J1049">'SUT_EU27 total'!$L$94:$L$102</f>
        <v>9.2968907089085616E-5</v>
      </c>
    </row>
    <row r="1042" spans="1:10" x14ac:dyDescent="0.35">
      <c r="A1042" t="s">
        <v>13</v>
      </c>
      <c r="B1042" t="s">
        <v>37</v>
      </c>
      <c r="C1042" s="77" t="s">
        <v>92</v>
      </c>
      <c r="D1042" t="s">
        <v>81</v>
      </c>
      <c r="E1042" s="77" t="s">
        <v>117</v>
      </c>
      <c r="F1042" s="77" t="s">
        <v>73</v>
      </c>
      <c r="G1042" s="77" t="s">
        <v>74</v>
      </c>
      <c r="H1042" s="77" t="s">
        <v>123</v>
      </c>
      <c r="I1042" s="77" t="s">
        <v>84</v>
      </c>
      <c r="J1042" s="76">
        <v>0</v>
      </c>
    </row>
    <row r="1043" spans="1:10" x14ac:dyDescent="0.35">
      <c r="A1043" t="s">
        <v>13</v>
      </c>
      <c r="B1043" t="s">
        <v>37</v>
      </c>
      <c r="C1043" s="77" t="s">
        <v>92</v>
      </c>
      <c r="D1043" t="s">
        <v>81</v>
      </c>
      <c r="E1043" s="77" t="s">
        <v>82</v>
      </c>
      <c r="F1043" s="77" t="s">
        <v>73</v>
      </c>
      <c r="G1043" s="77" t="s">
        <v>74</v>
      </c>
      <c r="H1043" s="77" t="s">
        <v>123</v>
      </c>
      <c r="I1043" s="77" t="s">
        <v>84</v>
      </c>
      <c r="J1043" s="76">
        <v>1.1251392039595793E-3</v>
      </c>
    </row>
    <row r="1044" spans="1:10" x14ac:dyDescent="0.35">
      <c r="A1044" t="s">
        <v>13</v>
      </c>
      <c r="B1044" t="s">
        <v>37</v>
      </c>
      <c r="C1044" s="77" t="s">
        <v>92</v>
      </c>
      <c r="D1044" t="s">
        <v>81</v>
      </c>
      <c r="E1044" s="77" t="s">
        <v>125</v>
      </c>
      <c r="F1044" s="77" t="s">
        <v>73</v>
      </c>
      <c r="G1044" s="77" t="s">
        <v>74</v>
      </c>
      <c r="H1044" s="77" t="s">
        <v>123</v>
      </c>
      <c r="I1044" s="77" t="s">
        <v>84</v>
      </c>
      <c r="J1044" s="76">
        <v>5.0048817841215026E-7</v>
      </c>
    </row>
    <row r="1045" spans="1:10" x14ac:dyDescent="0.35">
      <c r="A1045" t="s">
        <v>13</v>
      </c>
      <c r="B1045" t="s">
        <v>37</v>
      </c>
      <c r="C1045" s="77" t="s">
        <v>92</v>
      </c>
      <c r="D1045" t="s">
        <v>81</v>
      </c>
      <c r="E1045" s="77" t="s">
        <v>122</v>
      </c>
      <c r="F1045" s="77" t="s">
        <v>73</v>
      </c>
      <c r="G1045" s="77" t="s">
        <v>74</v>
      </c>
      <c r="H1045" s="77" t="s">
        <v>123</v>
      </c>
      <c r="I1045" s="77" t="s">
        <v>84</v>
      </c>
      <c r="J1045" s="76">
        <v>0</v>
      </c>
    </row>
    <row r="1046" spans="1:10" x14ac:dyDescent="0.35">
      <c r="A1046" t="s">
        <v>13</v>
      </c>
      <c r="B1046" t="s">
        <v>37</v>
      </c>
      <c r="C1046" s="77" t="s">
        <v>92</v>
      </c>
      <c r="D1046" t="s">
        <v>81</v>
      </c>
      <c r="E1046" s="77" t="s">
        <v>126</v>
      </c>
      <c r="F1046" s="77" t="s">
        <v>73</v>
      </c>
      <c r="G1046" s="77" t="s">
        <v>74</v>
      </c>
      <c r="H1046" s="77" t="s">
        <v>123</v>
      </c>
      <c r="I1046" s="77" t="s">
        <v>84</v>
      </c>
      <c r="J1046" s="76">
        <v>0</v>
      </c>
    </row>
    <row r="1047" spans="1:10" x14ac:dyDescent="0.35">
      <c r="A1047" t="s">
        <v>13</v>
      </c>
      <c r="B1047" t="s">
        <v>37</v>
      </c>
      <c r="C1047" s="77" t="s">
        <v>92</v>
      </c>
      <c r="D1047" t="s">
        <v>81</v>
      </c>
      <c r="E1047" s="77" t="s">
        <v>101</v>
      </c>
      <c r="F1047" s="77" t="s">
        <v>73</v>
      </c>
      <c r="G1047" s="77" t="s">
        <v>74</v>
      </c>
      <c r="H1047" s="77" t="s">
        <v>123</v>
      </c>
      <c r="I1047" s="77" t="s">
        <v>84</v>
      </c>
      <c r="J1047" s="76">
        <v>0</v>
      </c>
    </row>
    <row r="1048" spans="1:10" x14ac:dyDescent="0.35">
      <c r="A1048" t="s">
        <v>13</v>
      </c>
      <c r="B1048" t="s">
        <v>37</v>
      </c>
      <c r="C1048" s="77" t="s">
        <v>92</v>
      </c>
      <c r="D1048" t="s">
        <v>81</v>
      </c>
      <c r="E1048" s="77" t="s">
        <v>104</v>
      </c>
      <c r="F1048" s="77" t="s">
        <v>73</v>
      </c>
      <c r="G1048" s="77" t="s">
        <v>74</v>
      </c>
      <c r="H1048" s="77" t="s">
        <v>123</v>
      </c>
      <c r="I1048" s="77" t="s">
        <v>84</v>
      </c>
      <c r="J1048" s="76">
        <v>0</v>
      </c>
    </row>
    <row r="1049" spans="1:10" x14ac:dyDescent="0.35">
      <c r="A1049" t="s">
        <v>13</v>
      </c>
      <c r="B1049" t="s">
        <v>37</v>
      </c>
      <c r="C1049" s="77" t="s">
        <v>92</v>
      </c>
      <c r="D1049" t="s">
        <v>81</v>
      </c>
      <c r="E1049" s="77" t="s">
        <v>106</v>
      </c>
      <c r="F1049" s="77" t="s">
        <v>73</v>
      </c>
      <c r="G1049" s="77" t="s">
        <v>74</v>
      </c>
      <c r="H1049" s="77" t="s">
        <v>123</v>
      </c>
      <c r="I1049" s="77" t="s">
        <v>84</v>
      </c>
      <c r="J1049" s="76">
        <v>0</v>
      </c>
    </row>
    <row r="1050" spans="1:10" x14ac:dyDescent="0.35">
      <c r="A1050" t="s">
        <v>13</v>
      </c>
      <c r="B1050" t="s">
        <v>37</v>
      </c>
      <c r="C1050" s="77" t="s">
        <v>93</v>
      </c>
      <c r="D1050" t="s">
        <v>81</v>
      </c>
      <c r="E1050" s="77" t="s">
        <v>119</v>
      </c>
      <c r="F1050" s="77" t="s">
        <v>73</v>
      </c>
      <c r="G1050" s="77" t="s">
        <v>74</v>
      </c>
      <c r="H1050" s="77" t="s">
        <v>123</v>
      </c>
      <c r="I1050" s="77" t="s">
        <v>84</v>
      </c>
      <c r="J1050" s="76">
        <f>'SUT_EU27 total'!$L$107</f>
        <v>1.0000807460939076</v>
      </c>
    </row>
    <row r="1051" spans="1:10" x14ac:dyDescent="0.35">
      <c r="A1051" t="s">
        <v>13</v>
      </c>
      <c r="B1051" t="s">
        <v>37</v>
      </c>
      <c r="C1051" s="77" t="s">
        <v>93</v>
      </c>
      <c r="D1051" t="s">
        <v>81</v>
      </c>
      <c r="E1051" s="77" t="s">
        <v>124</v>
      </c>
      <c r="F1051" s="77" t="s">
        <v>73</v>
      </c>
      <c r="G1051" s="77" t="s">
        <v>74</v>
      </c>
      <c r="H1051" s="77" t="s">
        <v>123</v>
      </c>
      <c r="I1051" s="77" t="s">
        <v>84</v>
      </c>
      <c r="J1051" s="76" cm="1">
        <f t="array" ref="J1051:J1059">'SUT_EU27 total'!$L$111:$L$119</f>
        <v>3.7052409430862396E-4</v>
      </c>
    </row>
    <row r="1052" spans="1:10" x14ac:dyDescent="0.35">
      <c r="A1052" t="s">
        <v>13</v>
      </c>
      <c r="B1052" t="s">
        <v>37</v>
      </c>
      <c r="C1052" s="77" t="s">
        <v>93</v>
      </c>
      <c r="D1052" t="s">
        <v>81</v>
      </c>
      <c r="E1052" s="77" t="s">
        <v>117</v>
      </c>
      <c r="F1052" s="77" t="s">
        <v>73</v>
      </c>
      <c r="G1052" s="77" t="s">
        <v>74</v>
      </c>
      <c r="H1052" s="77" t="s">
        <v>123</v>
      </c>
      <c r="I1052" s="77" t="s">
        <v>84</v>
      </c>
      <c r="J1052" s="76">
        <v>5.8414042458127093E-3</v>
      </c>
    </row>
    <row r="1053" spans="1:10" x14ac:dyDescent="0.35">
      <c r="A1053" t="s">
        <v>13</v>
      </c>
      <c r="B1053" t="s">
        <v>37</v>
      </c>
      <c r="C1053" s="77" t="s">
        <v>93</v>
      </c>
      <c r="D1053" t="s">
        <v>81</v>
      </c>
      <c r="E1053" s="77" t="s">
        <v>82</v>
      </c>
      <c r="F1053" s="77" t="s">
        <v>73</v>
      </c>
      <c r="G1053" s="77" t="s">
        <v>74</v>
      </c>
      <c r="H1053" s="77" t="s">
        <v>123</v>
      </c>
      <c r="I1053" s="77" t="s">
        <v>84</v>
      </c>
      <c r="J1053" s="76">
        <v>5.0319447308723453E-3</v>
      </c>
    </row>
    <row r="1054" spans="1:10" x14ac:dyDescent="0.35">
      <c r="A1054" t="s">
        <v>13</v>
      </c>
      <c r="B1054" t="s">
        <v>37</v>
      </c>
      <c r="C1054" s="77" t="s">
        <v>93</v>
      </c>
      <c r="D1054" t="s">
        <v>81</v>
      </c>
      <c r="E1054" s="77" t="s">
        <v>125</v>
      </c>
      <c r="F1054" s="77" t="s">
        <v>73</v>
      </c>
      <c r="G1054" s="77" t="s">
        <v>74</v>
      </c>
      <c r="H1054" s="77" t="s">
        <v>123</v>
      </c>
      <c r="I1054" s="77" t="s">
        <v>84</v>
      </c>
      <c r="J1054" s="76">
        <v>4.336096678710085E-4</v>
      </c>
    </row>
    <row r="1055" spans="1:10" x14ac:dyDescent="0.35">
      <c r="A1055" t="s">
        <v>13</v>
      </c>
      <c r="B1055" t="s">
        <v>37</v>
      </c>
      <c r="C1055" s="77" t="s">
        <v>93</v>
      </c>
      <c r="D1055" t="s">
        <v>81</v>
      </c>
      <c r="E1055" s="77" t="s">
        <v>122</v>
      </c>
      <c r="F1055" s="77" t="s">
        <v>73</v>
      </c>
      <c r="G1055" s="77" t="s">
        <v>74</v>
      </c>
      <c r="H1055" s="77" t="s">
        <v>123</v>
      </c>
      <c r="I1055" s="77" t="s">
        <v>84</v>
      </c>
      <c r="J1055" s="76">
        <v>2.7129607609988112E-3</v>
      </c>
    </row>
    <row r="1056" spans="1:10" x14ac:dyDescent="0.35">
      <c r="A1056" t="s">
        <v>13</v>
      </c>
      <c r="B1056" t="s">
        <v>37</v>
      </c>
      <c r="C1056" s="77" t="s">
        <v>93</v>
      </c>
      <c r="D1056" t="s">
        <v>81</v>
      </c>
      <c r="E1056" s="77" t="s">
        <v>126</v>
      </c>
      <c r="F1056" s="77" t="s">
        <v>73</v>
      </c>
      <c r="G1056" s="77" t="s">
        <v>74</v>
      </c>
      <c r="H1056" s="77" t="s">
        <v>123</v>
      </c>
      <c r="I1056" s="77" t="s">
        <v>84</v>
      </c>
      <c r="J1056" s="76">
        <v>4.3855511603587784E-2</v>
      </c>
    </row>
    <row r="1057" spans="1:10" x14ac:dyDescent="0.35">
      <c r="A1057" t="s">
        <v>13</v>
      </c>
      <c r="B1057" t="s">
        <v>37</v>
      </c>
      <c r="C1057" s="77" t="s">
        <v>93</v>
      </c>
      <c r="D1057" t="s">
        <v>81</v>
      </c>
      <c r="E1057" s="77" t="s">
        <v>101</v>
      </c>
      <c r="F1057" s="77" t="s">
        <v>73</v>
      </c>
      <c r="G1057" s="77" t="s">
        <v>74</v>
      </c>
      <c r="H1057" s="77" t="s">
        <v>123</v>
      </c>
      <c r="I1057" s="77" t="s">
        <v>84</v>
      </c>
      <c r="J1057" s="76">
        <v>0</v>
      </c>
    </row>
    <row r="1058" spans="1:10" x14ac:dyDescent="0.35">
      <c r="A1058" t="s">
        <v>13</v>
      </c>
      <c r="B1058" t="s">
        <v>37</v>
      </c>
      <c r="C1058" s="77" t="s">
        <v>93</v>
      </c>
      <c r="D1058" t="s">
        <v>81</v>
      </c>
      <c r="E1058" s="77" t="s">
        <v>104</v>
      </c>
      <c r="F1058" s="77" t="s">
        <v>73</v>
      </c>
      <c r="G1058" s="77" t="s">
        <v>74</v>
      </c>
      <c r="H1058" s="77" t="s">
        <v>123</v>
      </c>
      <c r="I1058" s="77" t="s">
        <v>84</v>
      </c>
      <c r="J1058" s="76">
        <v>0</v>
      </c>
    </row>
    <row r="1059" spans="1:10" x14ac:dyDescent="0.35">
      <c r="A1059" t="s">
        <v>13</v>
      </c>
      <c r="B1059" t="s">
        <v>37</v>
      </c>
      <c r="C1059" s="77" t="s">
        <v>93</v>
      </c>
      <c r="D1059" t="s">
        <v>81</v>
      </c>
      <c r="E1059" s="77" t="s">
        <v>106</v>
      </c>
      <c r="F1059" s="77" t="s">
        <v>73</v>
      </c>
      <c r="G1059" s="77" t="s">
        <v>74</v>
      </c>
      <c r="H1059" s="77" t="s">
        <v>123</v>
      </c>
      <c r="I1059" s="77" t="s">
        <v>84</v>
      </c>
      <c r="J1059" s="76">
        <v>0</v>
      </c>
    </row>
    <row r="1060" spans="1:10" x14ac:dyDescent="0.35">
      <c r="A1060" t="s">
        <v>13</v>
      </c>
      <c r="B1060" t="s">
        <v>37</v>
      </c>
      <c r="C1060" s="77" t="s">
        <v>73</v>
      </c>
      <c r="D1060" t="s">
        <v>81</v>
      </c>
      <c r="E1060" s="77" t="s">
        <v>119</v>
      </c>
      <c r="F1060" s="77" t="s">
        <v>73</v>
      </c>
      <c r="G1060" s="77" t="s">
        <v>74</v>
      </c>
      <c r="H1060" s="77" t="s">
        <v>127</v>
      </c>
      <c r="I1060" s="77" t="s">
        <v>84</v>
      </c>
      <c r="J1060" s="76">
        <f>'SUT_EU27 total'!$M$22</f>
        <v>1.9500181678711294E-2</v>
      </c>
    </row>
    <row r="1061" spans="1:10" x14ac:dyDescent="0.35">
      <c r="A1061" t="s">
        <v>13</v>
      </c>
      <c r="B1061" t="s">
        <v>37</v>
      </c>
      <c r="C1061" s="77" t="s">
        <v>73</v>
      </c>
      <c r="D1061" t="s">
        <v>81</v>
      </c>
      <c r="E1061" s="77" t="s">
        <v>124</v>
      </c>
      <c r="F1061" s="77" t="s">
        <v>73</v>
      </c>
      <c r="G1061" s="77" t="s">
        <v>74</v>
      </c>
      <c r="H1061" s="77" t="s">
        <v>127</v>
      </c>
      <c r="I1061" s="77" t="s">
        <v>84</v>
      </c>
      <c r="J1061" s="76" cm="1">
        <f t="array" ref="J1061:J1069">'SUT_EU27 total'!$M$26:$M$34</f>
        <v>1.9404661061278542E-3</v>
      </c>
    </row>
    <row r="1062" spans="1:10" x14ac:dyDescent="0.35">
      <c r="A1062" t="s">
        <v>13</v>
      </c>
      <c r="B1062" t="s">
        <v>37</v>
      </c>
      <c r="C1062" s="77" t="s">
        <v>73</v>
      </c>
      <c r="D1062" t="s">
        <v>81</v>
      </c>
      <c r="E1062" s="77" t="s">
        <v>117</v>
      </c>
      <c r="F1062" s="77" t="s">
        <v>73</v>
      </c>
      <c r="G1062" s="77" t="s">
        <v>74</v>
      </c>
      <c r="H1062" s="77" t="s">
        <v>127</v>
      </c>
      <c r="I1062" s="77" t="s">
        <v>84</v>
      </c>
      <c r="J1062" s="76">
        <v>5.8423628191201782E-3</v>
      </c>
    </row>
    <row r="1063" spans="1:10" x14ac:dyDescent="0.35">
      <c r="A1063" t="s">
        <v>13</v>
      </c>
      <c r="B1063" t="s">
        <v>37</v>
      </c>
      <c r="C1063" s="77" t="s">
        <v>73</v>
      </c>
      <c r="D1063" t="s">
        <v>81</v>
      </c>
      <c r="E1063" s="77" t="s">
        <v>82</v>
      </c>
      <c r="F1063" s="77" t="s">
        <v>73</v>
      </c>
      <c r="G1063" s="77" t="s">
        <v>74</v>
      </c>
      <c r="H1063" s="77" t="s">
        <v>127</v>
      </c>
      <c r="I1063" s="77" t="s">
        <v>84</v>
      </c>
      <c r="J1063" s="76">
        <v>4.8981233243967828E-4</v>
      </c>
    </row>
    <row r="1064" spans="1:10" x14ac:dyDescent="0.35">
      <c r="A1064" t="s">
        <v>13</v>
      </c>
      <c r="B1064" t="s">
        <v>37</v>
      </c>
      <c r="C1064" s="77" t="s">
        <v>73</v>
      </c>
      <c r="D1064" t="s">
        <v>81</v>
      </c>
      <c r="E1064" s="77" t="s">
        <v>125</v>
      </c>
      <c r="F1064" s="77" t="s">
        <v>73</v>
      </c>
      <c r="G1064" s="77" t="s">
        <v>74</v>
      </c>
      <c r="H1064" s="77" t="s">
        <v>127</v>
      </c>
      <c r="I1064" s="77" t="s">
        <v>84</v>
      </c>
      <c r="J1064" s="76">
        <v>2.4658201215687387E-3</v>
      </c>
    </row>
    <row r="1065" spans="1:10" x14ac:dyDescent="0.35">
      <c r="A1065" t="s">
        <v>13</v>
      </c>
      <c r="B1065" t="s">
        <v>37</v>
      </c>
      <c r="C1065" s="77" t="s">
        <v>73</v>
      </c>
      <c r="D1065" t="s">
        <v>81</v>
      </c>
      <c r="E1065" s="77" t="s">
        <v>122</v>
      </c>
      <c r="F1065" s="77" t="s">
        <v>73</v>
      </c>
      <c r="G1065" s="77" t="s">
        <v>74</v>
      </c>
      <c r="H1065" s="77" t="s">
        <v>127</v>
      </c>
      <c r="I1065" s="77" t="s">
        <v>84</v>
      </c>
      <c r="J1065" s="76">
        <v>4.922711058263972E-4</v>
      </c>
    </row>
    <row r="1066" spans="1:10" x14ac:dyDescent="0.35">
      <c r="A1066" t="s">
        <v>13</v>
      </c>
      <c r="B1066" t="s">
        <v>37</v>
      </c>
      <c r="C1066" s="77" t="s">
        <v>73</v>
      </c>
      <c r="D1066" t="s">
        <v>81</v>
      </c>
      <c r="E1066" s="77" t="s">
        <v>126</v>
      </c>
      <c r="F1066" s="77" t="s">
        <v>73</v>
      </c>
      <c r="G1066" s="77" t="s">
        <v>74</v>
      </c>
      <c r="H1066" s="77" t="s">
        <v>127</v>
      </c>
      <c r="I1066" s="77" t="s">
        <v>84</v>
      </c>
      <c r="J1066" s="76">
        <v>0</v>
      </c>
    </row>
    <row r="1067" spans="1:10" x14ac:dyDescent="0.35">
      <c r="A1067" t="s">
        <v>13</v>
      </c>
      <c r="B1067" t="s">
        <v>37</v>
      </c>
      <c r="C1067" s="77" t="s">
        <v>73</v>
      </c>
      <c r="D1067" t="s">
        <v>81</v>
      </c>
      <c r="E1067" s="77" t="s">
        <v>101</v>
      </c>
      <c r="F1067" s="77" t="s">
        <v>73</v>
      </c>
      <c r="G1067" s="77" t="s">
        <v>74</v>
      </c>
      <c r="H1067" s="77" t="s">
        <v>127</v>
      </c>
      <c r="I1067" s="77" t="s">
        <v>84</v>
      </c>
      <c r="J1067" s="76">
        <v>3.6586167200000007E-4</v>
      </c>
    </row>
    <row r="1068" spans="1:10" x14ac:dyDescent="0.35">
      <c r="A1068" t="s">
        <v>13</v>
      </c>
      <c r="B1068" t="s">
        <v>37</v>
      </c>
      <c r="C1068" s="77" t="s">
        <v>73</v>
      </c>
      <c r="D1068" t="s">
        <v>81</v>
      </c>
      <c r="E1068" s="77" t="s">
        <v>104</v>
      </c>
      <c r="F1068" s="77" t="s">
        <v>73</v>
      </c>
      <c r="G1068" s="77" t="s">
        <v>74</v>
      </c>
      <c r="H1068" s="77" t="s">
        <v>127</v>
      </c>
      <c r="I1068" s="77" t="s">
        <v>84</v>
      </c>
      <c r="J1068" s="76">
        <v>6.9272632800000005E-4</v>
      </c>
    </row>
    <row r="1069" spans="1:10" x14ac:dyDescent="0.35">
      <c r="A1069" t="s">
        <v>13</v>
      </c>
      <c r="B1069" t="s">
        <v>37</v>
      </c>
      <c r="C1069" s="77" t="s">
        <v>73</v>
      </c>
      <c r="D1069" t="s">
        <v>81</v>
      </c>
      <c r="E1069" s="77" t="s">
        <v>106</v>
      </c>
      <c r="F1069" s="77" t="s">
        <v>73</v>
      </c>
      <c r="G1069" s="77" t="s">
        <v>74</v>
      </c>
      <c r="H1069" s="77" t="s">
        <v>127</v>
      </c>
      <c r="I1069" s="77" t="s">
        <v>84</v>
      </c>
      <c r="J1069" s="76">
        <v>2.3562119999999999E-3</v>
      </c>
    </row>
    <row r="1070" spans="1:10" x14ac:dyDescent="0.35">
      <c r="A1070" t="s">
        <v>13</v>
      </c>
      <c r="B1070" t="s">
        <v>37</v>
      </c>
      <c r="C1070" s="77" t="s">
        <v>88</v>
      </c>
      <c r="D1070" t="s">
        <v>81</v>
      </c>
      <c r="E1070" s="77" t="s">
        <v>119</v>
      </c>
      <c r="F1070" s="77" t="s">
        <v>73</v>
      </c>
      <c r="G1070" s="77" t="s">
        <v>74</v>
      </c>
      <c r="H1070" s="77" t="s">
        <v>127</v>
      </c>
      <c r="I1070" s="77" t="s">
        <v>84</v>
      </c>
      <c r="J1070" s="76">
        <f>'SUT_EU27 total'!$M$39</f>
        <v>0.16108845734587587</v>
      </c>
    </row>
    <row r="1071" spans="1:10" x14ac:dyDescent="0.35">
      <c r="A1071" t="s">
        <v>13</v>
      </c>
      <c r="B1071" t="s">
        <v>37</v>
      </c>
      <c r="C1071" s="77" t="s">
        <v>88</v>
      </c>
      <c r="D1071" t="s">
        <v>81</v>
      </c>
      <c r="E1071" s="77" t="s">
        <v>124</v>
      </c>
      <c r="F1071" s="77" t="s">
        <v>73</v>
      </c>
      <c r="G1071" s="77" t="s">
        <v>74</v>
      </c>
      <c r="H1071" s="77" t="s">
        <v>127</v>
      </c>
      <c r="I1071" s="77" t="s">
        <v>84</v>
      </c>
      <c r="J1071" s="76" cm="1">
        <f t="array" ref="J1071:J1079">'SUT_EU27 total'!$L$43:$L$51</f>
        <v>5.0558836222750793E-4</v>
      </c>
    </row>
    <row r="1072" spans="1:10" x14ac:dyDescent="0.35">
      <c r="A1072" t="s">
        <v>13</v>
      </c>
      <c r="B1072" t="s">
        <v>37</v>
      </c>
      <c r="C1072" s="77" t="s">
        <v>88</v>
      </c>
      <c r="D1072" t="s">
        <v>81</v>
      </c>
      <c r="E1072" s="77" t="s">
        <v>117</v>
      </c>
      <c r="F1072" s="77" t="s">
        <v>73</v>
      </c>
      <c r="G1072" s="77" t="s">
        <v>74</v>
      </c>
      <c r="H1072" s="77" t="s">
        <v>127</v>
      </c>
      <c r="I1072" s="77" t="s">
        <v>84</v>
      </c>
      <c r="J1072" s="76">
        <v>4.8514464106651379E-3</v>
      </c>
    </row>
    <row r="1073" spans="1:10" x14ac:dyDescent="0.35">
      <c r="A1073" t="s">
        <v>13</v>
      </c>
      <c r="B1073" t="s">
        <v>37</v>
      </c>
      <c r="C1073" s="77" t="s">
        <v>88</v>
      </c>
      <c r="D1073" t="s">
        <v>81</v>
      </c>
      <c r="E1073" s="77" t="s">
        <v>82</v>
      </c>
      <c r="F1073" s="77" t="s">
        <v>73</v>
      </c>
      <c r="G1073" s="77" t="s">
        <v>74</v>
      </c>
      <c r="H1073" s="77" t="s">
        <v>127</v>
      </c>
      <c r="I1073" s="77" t="s">
        <v>84</v>
      </c>
      <c r="J1073" s="76">
        <v>1.109418436791091E-2</v>
      </c>
    </row>
    <row r="1074" spans="1:10" x14ac:dyDescent="0.35">
      <c r="A1074" t="s">
        <v>13</v>
      </c>
      <c r="B1074" t="s">
        <v>37</v>
      </c>
      <c r="C1074" s="77" t="s">
        <v>88</v>
      </c>
      <c r="D1074" t="s">
        <v>81</v>
      </c>
      <c r="E1074" s="77" t="s">
        <v>125</v>
      </c>
      <c r="F1074" s="77" t="s">
        <v>73</v>
      </c>
      <c r="G1074" s="77" t="s">
        <v>74</v>
      </c>
      <c r="H1074" s="77" t="s">
        <v>127</v>
      </c>
      <c r="I1074" s="77" t="s">
        <v>84</v>
      </c>
      <c r="J1074" s="76">
        <v>2.890870278990243E-5</v>
      </c>
    </row>
    <row r="1075" spans="1:10" x14ac:dyDescent="0.35">
      <c r="A1075" t="s">
        <v>13</v>
      </c>
      <c r="B1075" t="s">
        <v>37</v>
      </c>
      <c r="C1075" s="77" t="s">
        <v>88</v>
      </c>
      <c r="D1075" t="s">
        <v>81</v>
      </c>
      <c r="E1075" s="77" t="s">
        <v>122</v>
      </c>
      <c r="F1075" s="77" t="s">
        <v>73</v>
      </c>
      <c r="G1075" s="77" t="s">
        <v>74</v>
      </c>
      <c r="H1075" s="77" t="s">
        <v>127</v>
      </c>
      <c r="I1075" s="77" t="s">
        <v>84</v>
      </c>
      <c r="J1075" s="76">
        <v>0</v>
      </c>
    </row>
    <row r="1076" spans="1:10" x14ac:dyDescent="0.35">
      <c r="A1076" t="s">
        <v>13</v>
      </c>
      <c r="B1076" t="s">
        <v>37</v>
      </c>
      <c r="C1076" s="77" t="s">
        <v>88</v>
      </c>
      <c r="D1076" t="s">
        <v>81</v>
      </c>
      <c r="E1076" s="77" t="s">
        <v>126</v>
      </c>
      <c r="F1076" s="77" t="s">
        <v>73</v>
      </c>
      <c r="G1076" s="77" t="s">
        <v>74</v>
      </c>
      <c r="H1076" s="77" t="s">
        <v>127</v>
      </c>
      <c r="I1076" s="77" t="s">
        <v>84</v>
      </c>
      <c r="J1076" s="76">
        <v>2.8514320987501449E-3</v>
      </c>
    </row>
    <row r="1077" spans="1:10" x14ac:dyDescent="0.35">
      <c r="A1077" t="s">
        <v>13</v>
      </c>
      <c r="B1077" t="s">
        <v>37</v>
      </c>
      <c r="C1077" s="77" t="s">
        <v>88</v>
      </c>
      <c r="D1077" t="s">
        <v>81</v>
      </c>
      <c r="E1077" s="77" t="s">
        <v>101</v>
      </c>
      <c r="F1077" s="77" t="s">
        <v>73</v>
      </c>
      <c r="G1077" s="77" t="s">
        <v>74</v>
      </c>
      <c r="H1077" s="77" t="s">
        <v>127</v>
      </c>
      <c r="I1077" s="77" t="s">
        <v>84</v>
      </c>
      <c r="J1077" s="76">
        <v>0</v>
      </c>
    </row>
    <row r="1078" spans="1:10" x14ac:dyDescent="0.35">
      <c r="A1078" t="s">
        <v>13</v>
      </c>
      <c r="B1078" t="s">
        <v>37</v>
      </c>
      <c r="C1078" s="77" t="s">
        <v>88</v>
      </c>
      <c r="D1078" t="s">
        <v>81</v>
      </c>
      <c r="E1078" s="77" t="s">
        <v>104</v>
      </c>
      <c r="F1078" s="77" t="s">
        <v>73</v>
      </c>
      <c r="G1078" s="77" t="s">
        <v>74</v>
      </c>
      <c r="H1078" s="77" t="s">
        <v>127</v>
      </c>
      <c r="I1078" s="77" t="s">
        <v>84</v>
      </c>
      <c r="J1078" s="76">
        <v>0</v>
      </c>
    </row>
    <row r="1079" spans="1:10" x14ac:dyDescent="0.35">
      <c r="A1079" t="s">
        <v>13</v>
      </c>
      <c r="B1079" t="s">
        <v>37</v>
      </c>
      <c r="C1079" s="77" t="s">
        <v>88</v>
      </c>
      <c r="D1079" t="s">
        <v>81</v>
      </c>
      <c r="E1079" s="77" t="s">
        <v>106</v>
      </c>
      <c r="F1079" s="77" t="s">
        <v>73</v>
      </c>
      <c r="G1079" s="77" t="s">
        <v>74</v>
      </c>
      <c r="H1079" s="77" t="s">
        <v>127</v>
      </c>
      <c r="I1079" s="77" t="s">
        <v>84</v>
      </c>
      <c r="J1079" s="76">
        <v>0</v>
      </c>
    </row>
    <row r="1080" spans="1:10" x14ac:dyDescent="0.35">
      <c r="A1080" t="s">
        <v>13</v>
      </c>
      <c r="B1080" t="s">
        <v>37</v>
      </c>
      <c r="C1080" s="77" t="s">
        <v>90</v>
      </c>
      <c r="D1080" t="s">
        <v>81</v>
      </c>
      <c r="E1080" s="77" t="s">
        <v>119</v>
      </c>
      <c r="F1080" s="77" t="s">
        <v>73</v>
      </c>
      <c r="G1080" s="77" t="s">
        <v>74</v>
      </c>
      <c r="H1080" s="77" t="s">
        <v>127</v>
      </c>
      <c r="I1080" s="77" t="s">
        <v>84</v>
      </c>
      <c r="J1080" s="76">
        <f>'SUT_EU27 total'!$M$56</f>
        <v>2.949251079979006E-2</v>
      </c>
    </row>
    <row r="1081" spans="1:10" x14ac:dyDescent="0.35">
      <c r="A1081" t="s">
        <v>13</v>
      </c>
      <c r="B1081" t="s">
        <v>37</v>
      </c>
      <c r="C1081" s="77" t="s">
        <v>90</v>
      </c>
      <c r="D1081" t="s">
        <v>81</v>
      </c>
      <c r="E1081" s="77" t="s">
        <v>124</v>
      </c>
      <c r="F1081" s="77" t="s">
        <v>73</v>
      </c>
      <c r="G1081" s="77" t="s">
        <v>74</v>
      </c>
      <c r="H1081" s="77" t="s">
        <v>127</v>
      </c>
      <c r="I1081" s="77" t="s">
        <v>84</v>
      </c>
      <c r="J1081" s="76" cm="1">
        <f t="array" ref="J1081:J1089">'SUT_EU27 total'!$M$60:$M$68</f>
        <v>2.1047443073980527E-5</v>
      </c>
    </row>
    <row r="1082" spans="1:10" x14ac:dyDescent="0.35">
      <c r="A1082" t="s">
        <v>13</v>
      </c>
      <c r="B1082" t="s">
        <v>37</v>
      </c>
      <c r="C1082" s="77" t="s">
        <v>90</v>
      </c>
      <c r="D1082" t="s">
        <v>81</v>
      </c>
      <c r="E1082" s="77" t="s">
        <v>117</v>
      </c>
      <c r="F1082" s="77" t="s">
        <v>73</v>
      </c>
      <c r="G1082" s="77" t="s">
        <v>74</v>
      </c>
      <c r="H1082" s="77" t="s">
        <v>127</v>
      </c>
      <c r="I1082" s="77" t="s">
        <v>84</v>
      </c>
      <c r="J1082" s="76">
        <v>5.8414015621608938E-3</v>
      </c>
    </row>
    <row r="1083" spans="1:10" x14ac:dyDescent="0.35">
      <c r="A1083" t="s">
        <v>13</v>
      </c>
      <c r="B1083" t="s">
        <v>37</v>
      </c>
      <c r="C1083" s="77" t="s">
        <v>90</v>
      </c>
      <c r="D1083" t="s">
        <v>81</v>
      </c>
      <c r="E1083" s="77" t="s">
        <v>82</v>
      </c>
      <c r="F1083" s="77" t="s">
        <v>73</v>
      </c>
      <c r="G1083" s="77" t="s">
        <v>74</v>
      </c>
      <c r="H1083" s="77" t="s">
        <v>127</v>
      </c>
      <c r="I1083" s="77" t="s">
        <v>84</v>
      </c>
      <c r="J1083" s="76">
        <v>1.4521138379047227E-3</v>
      </c>
    </row>
    <row r="1084" spans="1:10" x14ac:dyDescent="0.35">
      <c r="A1084" t="s">
        <v>13</v>
      </c>
      <c r="B1084" t="s">
        <v>37</v>
      </c>
      <c r="C1084" s="77" t="s">
        <v>90</v>
      </c>
      <c r="D1084" t="s">
        <v>81</v>
      </c>
      <c r="E1084" s="77" t="s">
        <v>125</v>
      </c>
      <c r="F1084" s="77" t="s">
        <v>73</v>
      </c>
      <c r="G1084" s="77" t="s">
        <v>74</v>
      </c>
      <c r="H1084" s="77" t="s">
        <v>127</v>
      </c>
      <c r="I1084" s="77" t="s">
        <v>84</v>
      </c>
      <c r="J1084" s="76">
        <v>6.5130870114372285E-5</v>
      </c>
    </row>
    <row r="1085" spans="1:10" x14ac:dyDescent="0.35">
      <c r="A1085" t="s">
        <v>13</v>
      </c>
      <c r="B1085" t="s">
        <v>37</v>
      </c>
      <c r="C1085" s="77" t="s">
        <v>90</v>
      </c>
      <c r="D1085" t="s">
        <v>81</v>
      </c>
      <c r="E1085" s="77" t="s">
        <v>122</v>
      </c>
      <c r="F1085" s="77" t="s">
        <v>73</v>
      </c>
      <c r="G1085" s="77" t="s">
        <v>74</v>
      </c>
      <c r="H1085" s="77" t="s">
        <v>127</v>
      </c>
      <c r="I1085" s="77" t="s">
        <v>84</v>
      </c>
      <c r="J1085" s="76">
        <v>7.9476813317479189E-4</v>
      </c>
    </row>
    <row r="1086" spans="1:10" x14ac:dyDescent="0.35">
      <c r="A1086" t="s">
        <v>13</v>
      </c>
      <c r="B1086" t="s">
        <v>37</v>
      </c>
      <c r="C1086" s="77" t="s">
        <v>90</v>
      </c>
      <c r="D1086" t="s">
        <v>81</v>
      </c>
      <c r="E1086" s="77" t="s">
        <v>126</v>
      </c>
      <c r="F1086" s="77" t="s">
        <v>73</v>
      </c>
      <c r="G1086" s="77" t="s">
        <v>74</v>
      </c>
      <c r="H1086" s="77" t="s">
        <v>127</v>
      </c>
      <c r="I1086" s="77" t="s">
        <v>84</v>
      </c>
      <c r="J1086" s="76">
        <v>8.4821183458843076E-3</v>
      </c>
    </row>
    <row r="1087" spans="1:10" x14ac:dyDescent="0.35">
      <c r="A1087" t="s">
        <v>13</v>
      </c>
      <c r="B1087" t="s">
        <v>37</v>
      </c>
      <c r="C1087" s="77" t="s">
        <v>90</v>
      </c>
      <c r="D1087" t="s">
        <v>81</v>
      </c>
      <c r="E1087" s="77" t="s">
        <v>101</v>
      </c>
      <c r="F1087" s="77" t="s">
        <v>73</v>
      </c>
      <c r="G1087" s="77" t="s">
        <v>74</v>
      </c>
      <c r="H1087" s="77" t="s">
        <v>127</v>
      </c>
      <c r="I1087" s="77" t="s">
        <v>84</v>
      </c>
      <c r="J1087" s="76">
        <v>0</v>
      </c>
    </row>
    <row r="1088" spans="1:10" x14ac:dyDescent="0.35">
      <c r="A1088" t="s">
        <v>13</v>
      </c>
      <c r="B1088" t="s">
        <v>37</v>
      </c>
      <c r="C1088" s="77" t="s">
        <v>90</v>
      </c>
      <c r="D1088" t="s">
        <v>81</v>
      </c>
      <c r="E1088" s="77" t="s">
        <v>104</v>
      </c>
      <c r="F1088" s="77" t="s">
        <v>73</v>
      </c>
      <c r="G1088" s="77" t="s">
        <v>74</v>
      </c>
      <c r="H1088" s="77" t="s">
        <v>127</v>
      </c>
      <c r="I1088" s="77" t="s">
        <v>84</v>
      </c>
      <c r="J1088" s="76">
        <v>0</v>
      </c>
    </row>
    <row r="1089" spans="1:10" x14ac:dyDescent="0.35">
      <c r="A1089" t="s">
        <v>13</v>
      </c>
      <c r="B1089" t="s">
        <v>37</v>
      </c>
      <c r="C1089" s="77" t="s">
        <v>90</v>
      </c>
      <c r="D1089" t="s">
        <v>81</v>
      </c>
      <c r="E1089" s="77" t="s">
        <v>106</v>
      </c>
      <c r="F1089" s="77" t="s">
        <v>73</v>
      </c>
      <c r="G1089" s="77" t="s">
        <v>74</v>
      </c>
      <c r="H1089" s="77" t="s">
        <v>127</v>
      </c>
      <c r="I1089" s="77" t="s">
        <v>84</v>
      </c>
      <c r="J1089" s="76">
        <v>0</v>
      </c>
    </row>
    <row r="1090" spans="1:10" x14ac:dyDescent="0.35">
      <c r="A1090" t="s">
        <v>13</v>
      </c>
      <c r="B1090" t="s">
        <v>37</v>
      </c>
      <c r="C1090" s="77" t="s">
        <v>91</v>
      </c>
      <c r="D1090" t="s">
        <v>81</v>
      </c>
      <c r="E1090" s="77" t="s">
        <v>119</v>
      </c>
      <c r="F1090" s="77" t="s">
        <v>73</v>
      </c>
      <c r="G1090" s="77" t="s">
        <v>74</v>
      </c>
      <c r="H1090" s="77" t="s">
        <v>127</v>
      </c>
      <c r="I1090" s="77" t="s">
        <v>84</v>
      </c>
      <c r="J1090" s="76">
        <f>'SUT_EU27 total'!$M$73</f>
        <v>0.15097500908393557</v>
      </c>
    </row>
    <row r="1091" spans="1:10" x14ac:dyDescent="0.35">
      <c r="A1091" t="s">
        <v>13</v>
      </c>
      <c r="B1091" t="s">
        <v>37</v>
      </c>
      <c r="C1091" s="77" t="s">
        <v>91</v>
      </c>
      <c r="D1091" t="s">
        <v>81</v>
      </c>
      <c r="E1091" s="77" t="s">
        <v>124</v>
      </c>
      <c r="F1091" s="77" t="s">
        <v>73</v>
      </c>
      <c r="G1091" s="77" t="s">
        <v>74</v>
      </c>
      <c r="H1091" s="77" t="s">
        <v>127</v>
      </c>
      <c r="I1091" s="77" t="s">
        <v>84</v>
      </c>
      <c r="J1091" s="76" cm="1">
        <f t="array" ref="J1091:J1099">'SUT_EU27 total'!$M$77:$M$85</f>
        <v>6.7728942399646885E-5</v>
      </c>
    </row>
    <row r="1092" spans="1:10" x14ac:dyDescent="0.35">
      <c r="A1092" t="s">
        <v>13</v>
      </c>
      <c r="B1092" t="s">
        <v>37</v>
      </c>
      <c r="C1092" s="77" t="s">
        <v>91</v>
      </c>
      <c r="D1092" t="s">
        <v>81</v>
      </c>
      <c r="E1092" s="77" t="s">
        <v>117</v>
      </c>
      <c r="F1092" s="77" t="s">
        <v>73</v>
      </c>
      <c r="G1092" s="77" t="s">
        <v>74</v>
      </c>
      <c r="H1092" s="77" t="s">
        <v>127</v>
      </c>
      <c r="I1092" s="77" t="s">
        <v>84</v>
      </c>
      <c r="J1092" s="76">
        <v>5.6233849622410815E-3</v>
      </c>
    </row>
    <row r="1093" spans="1:10" x14ac:dyDescent="0.35">
      <c r="A1093" t="s">
        <v>13</v>
      </c>
      <c r="B1093" t="s">
        <v>37</v>
      </c>
      <c r="C1093" s="77" t="s">
        <v>91</v>
      </c>
      <c r="D1093" t="s">
        <v>81</v>
      </c>
      <c r="E1093" s="77" t="s">
        <v>82</v>
      </c>
      <c r="F1093" s="77" t="s">
        <v>73</v>
      </c>
      <c r="G1093" s="77" t="s">
        <v>74</v>
      </c>
      <c r="H1093" s="77" t="s">
        <v>127</v>
      </c>
      <c r="I1093" s="77" t="s">
        <v>84</v>
      </c>
      <c r="J1093" s="76">
        <v>1.8068055269127655E-3</v>
      </c>
    </row>
    <row r="1094" spans="1:10" x14ac:dyDescent="0.35">
      <c r="A1094" t="s">
        <v>13</v>
      </c>
      <c r="B1094" t="s">
        <v>37</v>
      </c>
      <c r="C1094" s="77" t="s">
        <v>91</v>
      </c>
      <c r="D1094" t="s">
        <v>81</v>
      </c>
      <c r="E1094" s="77" t="s">
        <v>125</v>
      </c>
      <c r="F1094" s="77" t="s">
        <v>73</v>
      </c>
      <c r="G1094" s="77" t="s">
        <v>74</v>
      </c>
      <c r="H1094" s="77" t="s">
        <v>127</v>
      </c>
      <c r="I1094" s="77" t="s">
        <v>84</v>
      </c>
      <c r="J1094" s="76">
        <v>5.6492118062760293E-6</v>
      </c>
    </row>
    <row r="1095" spans="1:10" x14ac:dyDescent="0.35">
      <c r="A1095" t="s">
        <v>13</v>
      </c>
      <c r="B1095" t="s">
        <v>37</v>
      </c>
      <c r="C1095" s="77" t="s">
        <v>91</v>
      </c>
      <c r="D1095" t="s">
        <v>81</v>
      </c>
      <c r="E1095" s="77" t="s">
        <v>122</v>
      </c>
      <c r="F1095" s="77" t="s">
        <v>73</v>
      </c>
      <c r="G1095" s="77" t="s">
        <v>74</v>
      </c>
      <c r="H1095" s="77" t="s">
        <v>127</v>
      </c>
      <c r="I1095" s="77" t="s">
        <v>84</v>
      </c>
      <c r="J1095" s="76">
        <v>0</v>
      </c>
    </row>
    <row r="1096" spans="1:10" x14ac:dyDescent="0.35">
      <c r="A1096" t="s">
        <v>13</v>
      </c>
      <c r="B1096" t="s">
        <v>37</v>
      </c>
      <c r="C1096" s="77" t="s">
        <v>91</v>
      </c>
      <c r="D1096" t="s">
        <v>81</v>
      </c>
      <c r="E1096" s="77" t="s">
        <v>126</v>
      </c>
      <c r="F1096" s="77" t="s">
        <v>73</v>
      </c>
      <c r="G1096" s="77" t="s">
        <v>74</v>
      </c>
      <c r="H1096" s="77" t="s">
        <v>127</v>
      </c>
      <c r="I1096" s="77" t="s">
        <v>84</v>
      </c>
      <c r="J1096" s="76">
        <v>8.1093795177776388E-4</v>
      </c>
    </row>
    <row r="1097" spans="1:10" x14ac:dyDescent="0.35">
      <c r="A1097" t="s">
        <v>13</v>
      </c>
      <c r="B1097" t="s">
        <v>37</v>
      </c>
      <c r="C1097" s="77" t="s">
        <v>91</v>
      </c>
      <c r="D1097" t="s">
        <v>81</v>
      </c>
      <c r="E1097" s="77" t="s">
        <v>101</v>
      </c>
      <c r="F1097" s="77" t="s">
        <v>73</v>
      </c>
      <c r="G1097" s="77" t="s">
        <v>74</v>
      </c>
      <c r="H1097" s="77" t="s">
        <v>127</v>
      </c>
      <c r="I1097" s="77" t="s">
        <v>84</v>
      </c>
      <c r="J1097" s="76">
        <v>0</v>
      </c>
    </row>
    <row r="1098" spans="1:10" x14ac:dyDescent="0.35">
      <c r="A1098" t="s">
        <v>13</v>
      </c>
      <c r="B1098" t="s">
        <v>37</v>
      </c>
      <c r="C1098" s="77" t="s">
        <v>91</v>
      </c>
      <c r="D1098" t="s">
        <v>81</v>
      </c>
      <c r="E1098" s="77" t="s">
        <v>104</v>
      </c>
      <c r="F1098" s="77" t="s">
        <v>73</v>
      </c>
      <c r="G1098" s="77" t="s">
        <v>74</v>
      </c>
      <c r="H1098" s="77" t="s">
        <v>127</v>
      </c>
      <c r="I1098" s="77" t="s">
        <v>84</v>
      </c>
      <c r="J1098" s="76">
        <v>0</v>
      </c>
    </row>
    <row r="1099" spans="1:10" x14ac:dyDescent="0.35">
      <c r="A1099" t="s">
        <v>13</v>
      </c>
      <c r="B1099" t="s">
        <v>37</v>
      </c>
      <c r="C1099" s="77" t="s">
        <v>91</v>
      </c>
      <c r="D1099" t="s">
        <v>81</v>
      </c>
      <c r="E1099" s="77" t="s">
        <v>106</v>
      </c>
      <c r="F1099" s="77" t="s">
        <v>73</v>
      </c>
      <c r="G1099" s="77" t="s">
        <v>74</v>
      </c>
      <c r="H1099" s="77" t="s">
        <v>127</v>
      </c>
      <c r="I1099" s="77" t="s">
        <v>84</v>
      </c>
      <c r="J1099" s="76">
        <v>0</v>
      </c>
    </row>
    <row r="1100" spans="1:10" x14ac:dyDescent="0.35">
      <c r="A1100" t="s">
        <v>13</v>
      </c>
      <c r="B1100" t="s">
        <v>37</v>
      </c>
      <c r="C1100" s="77" t="s">
        <v>92</v>
      </c>
      <c r="D1100" t="s">
        <v>81</v>
      </c>
      <c r="E1100" s="77" t="s">
        <v>119</v>
      </c>
      <c r="F1100" s="77" t="s">
        <v>73</v>
      </c>
      <c r="G1100" s="77" t="s">
        <v>74</v>
      </c>
      <c r="H1100" s="77" t="s">
        <v>127</v>
      </c>
      <c r="I1100" s="77" t="s">
        <v>84</v>
      </c>
      <c r="J1100" s="76">
        <f>'SUT_EU27 total'!$M$90</f>
        <v>0.13886309499777949</v>
      </c>
    </row>
    <row r="1101" spans="1:10" x14ac:dyDescent="0.35">
      <c r="A1101" t="s">
        <v>13</v>
      </c>
      <c r="B1101" t="s">
        <v>37</v>
      </c>
      <c r="C1101" s="77" t="s">
        <v>92</v>
      </c>
      <c r="D1101" t="s">
        <v>81</v>
      </c>
      <c r="E1101" s="77" t="s">
        <v>124</v>
      </c>
      <c r="F1101" s="77" t="s">
        <v>73</v>
      </c>
      <c r="G1101" s="77" t="s">
        <v>74</v>
      </c>
      <c r="H1101" s="77" t="s">
        <v>127</v>
      </c>
      <c r="I1101" s="77" t="s">
        <v>84</v>
      </c>
      <c r="J1101" s="76" cm="1">
        <f t="array" ref="J1101:J1109">'SUT_EU27 total'!$M$94:$M$102</f>
        <v>9.2968907089085616E-5</v>
      </c>
    </row>
    <row r="1102" spans="1:10" x14ac:dyDescent="0.35">
      <c r="A1102" t="s">
        <v>13</v>
      </c>
      <c r="B1102" t="s">
        <v>37</v>
      </c>
      <c r="C1102" s="77" t="s">
        <v>92</v>
      </c>
      <c r="D1102" t="s">
        <v>81</v>
      </c>
      <c r="E1102" s="77" t="s">
        <v>117</v>
      </c>
      <c r="F1102" s="77" t="s">
        <v>73</v>
      </c>
      <c r="G1102" s="77" t="s">
        <v>74</v>
      </c>
      <c r="H1102" s="77" t="s">
        <v>127</v>
      </c>
      <c r="I1102" s="77" t="s">
        <v>84</v>
      </c>
      <c r="J1102" s="76">
        <v>0</v>
      </c>
    </row>
    <row r="1103" spans="1:10" x14ac:dyDescent="0.35">
      <c r="A1103" t="s">
        <v>13</v>
      </c>
      <c r="B1103" t="s">
        <v>37</v>
      </c>
      <c r="C1103" s="77" t="s">
        <v>92</v>
      </c>
      <c r="D1103" t="s">
        <v>81</v>
      </c>
      <c r="E1103" s="77" t="s">
        <v>82</v>
      </c>
      <c r="F1103" s="77" t="s">
        <v>73</v>
      </c>
      <c r="G1103" s="77" t="s">
        <v>74</v>
      </c>
      <c r="H1103" s="77" t="s">
        <v>127</v>
      </c>
      <c r="I1103" s="77" t="s">
        <v>84</v>
      </c>
      <c r="J1103" s="76">
        <v>1.1251392039595793E-3</v>
      </c>
    </row>
    <row r="1104" spans="1:10" x14ac:dyDescent="0.35">
      <c r="A1104" t="s">
        <v>13</v>
      </c>
      <c r="B1104" t="s">
        <v>37</v>
      </c>
      <c r="C1104" s="77" t="s">
        <v>92</v>
      </c>
      <c r="D1104" t="s">
        <v>81</v>
      </c>
      <c r="E1104" s="77" t="s">
        <v>125</v>
      </c>
      <c r="F1104" s="77" t="s">
        <v>73</v>
      </c>
      <c r="G1104" s="77" t="s">
        <v>74</v>
      </c>
      <c r="H1104" s="77" t="s">
        <v>127</v>
      </c>
      <c r="I1104" s="77" t="s">
        <v>84</v>
      </c>
      <c r="J1104" s="76">
        <v>5.0048817841215026E-7</v>
      </c>
    </row>
    <row r="1105" spans="1:10" x14ac:dyDescent="0.35">
      <c r="A1105" t="s">
        <v>13</v>
      </c>
      <c r="B1105" t="s">
        <v>37</v>
      </c>
      <c r="C1105" s="77" t="s">
        <v>92</v>
      </c>
      <c r="D1105" t="s">
        <v>81</v>
      </c>
      <c r="E1105" s="77" t="s">
        <v>122</v>
      </c>
      <c r="F1105" s="77" t="s">
        <v>73</v>
      </c>
      <c r="G1105" s="77" t="s">
        <v>74</v>
      </c>
      <c r="H1105" s="77" t="s">
        <v>127</v>
      </c>
      <c r="I1105" s="77" t="s">
        <v>84</v>
      </c>
      <c r="J1105" s="76">
        <v>0</v>
      </c>
    </row>
    <row r="1106" spans="1:10" x14ac:dyDescent="0.35">
      <c r="A1106" t="s">
        <v>13</v>
      </c>
      <c r="B1106" t="s">
        <v>37</v>
      </c>
      <c r="C1106" s="77" t="s">
        <v>92</v>
      </c>
      <c r="D1106" t="s">
        <v>81</v>
      </c>
      <c r="E1106" s="77" t="s">
        <v>126</v>
      </c>
      <c r="F1106" s="77" t="s">
        <v>73</v>
      </c>
      <c r="G1106" s="77" t="s">
        <v>74</v>
      </c>
      <c r="H1106" s="77" t="s">
        <v>127</v>
      </c>
      <c r="I1106" s="77" t="s">
        <v>84</v>
      </c>
      <c r="J1106" s="76">
        <v>0</v>
      </c>
    </row>
    <row r="1107" spans="1:10" x14ac:dyDescent="0.35">
      <c r="A1107" t="s">
        <v>13</v>
      </c>
      <c r="B1107" t="s">
        <v>37</v>
      </c>
      <c r="C1107" s="77" t="s">
        <v>92</v>
      </c>
      <c r="D1107" t="s">
        <v>81</v>
      </c>
      <c r="E1107" s="77" t="s">
        <v>101</v>
      </c>
      <c r="F1107" s="77" t="s">
        <v>73</v>
      </c>
      <c r="G1107" s="77" t="s">
        <v>74</v>
      </c>
      <c r="H1107" s="77" t="s">
        <v>127</v>
      </c>
      <c r="I1107" s="77" t="s">
        <v>84</v>
      </c>
      <c r="J1107" s="76">
        <v>0</v>
      </c>
    </row>
    <row r="1108" spans="1:10" x14ac:dyDescent="0.35">
      <c r="A1108" t="s">
        <v>13</v>
      </c>
      <c r="B1108" t="s">
        <v>37</v>
      </c>
      <c r="C1108" s="77" t="s">
        <v>92</v>
      </c>
      <c r="D1108" t="s">
        <v>81</v>
      </c>
      <c r="E1108" s="77" t="s">
        <v>104</v>
      </c>
      <c r="F1108" s="77" t="s">
        <v>73</v>
      </c>
      <c r="G1108" s="77" t="s">
        <v>74</v>
      </c>
      <c r="H1108" s="77" t="s">
        <v>127</v>
      </c>
      <c r="I1108" s="77" t="s">
        <v>84</v>
      </c>
      <c r="J1108" s="76">
        <v>0</v>
      </c>
    </row>
    <row r="1109" spans="1:10" x14ac:dyDescent="0.35">
      <c r="A1109" t="s">
        <v>13</v>
      </c>
      <c r="B1109" t="s">
        <v>37</v>
      </c>
      <c r="C1109" s="77" t="s">
        <v>92</v>
      </c>
      <c r="D1109" t="s">
        <v>81</v>
      </c>
      <c r="E1109" s="77" t="s">
        <v>106</v>
      </c>
      <c r="F1109" s="77" t="s">
        <v>73</v>
      </c>
      <c r="G1109" s="77" t="s">
        <v>74</v>
      </c>
      <c r="H1109" s="77" t="s">
        <v>127</v>
      </c>
      <c r="I1109" s="77" t="s">
        <v>84</v>
      </c>
      <c r="J1109" s="76">
        <v>0</v>
      </c>
    </row>
    <row r="1110" spans="1:10" x14ac:dyDescent="0.35">
      <c r="A1110" t="s">
        <v>13</v>
      </c>
      <c r="B1110" t="s">
        <v>37</v>
      </c>
      <c r="C1110" s="77" t="s">
        <v>93</v>
      </c>
      <c r="D1110" t="s">
        <v>81</v>
      </c>
      <c r="E1110" s="77" t="s">
        <v>119</v>
      </c>
      <c r="F1110" s="77" t="s">
        <v>73</v>
      </c>
      <c r="G1110" s="77" t="s">
        <v>74</v>
      </c>
      <c r="H1110" s="77" t="s">
        <v>127</v>
      </c>
      <c r="I1110" s="77" t="s">
        <v>84</v>
      </c>
      <c r="J1110" s="76">
        <f>'SUT_EU27 total'!$M$107</f>
        <v>1.0000807460939076</v>
      </c>
    </row>
    <row r="1111" spans="1:10" x14ac:dyDescent="0.35">
      <c r="A1111" t="s">
        <v>13</v>
      </c>
      <c r="B1111" t="s">
        <v>37</v>
      </c>
      <c r="C1111" s="77" t="s">
        <v>93</v>
      </c>
      <c r="D1111" t="s">
        <v>81</v>
      </c>
      <c r="E1111" s="77" t="s">
        <v>124</v>
      </c>
      <c r="F1111" s="77" t="s">
        <v>73</v>
      </c>
      <c r="G1111" s="77" t="s">
        <v>74</v>
      </c>
      <c r="H1111" s="77" t="s">
        <v>127</v>
      </c>
      <c r="I1111" s="77" t="s">
        <v>84</v>
      </c>
      <c r="J1111" s="76" cm="1">
        <f t="array" ref="J1111:J1119">'SUT_EU27 total'!$M$111:$M$119</f>
        <v>3.7052409430862396E-4</v>
      </c>
    </row>
    <row r="1112" spans="1:10" x14ac:dyDescent="0.35">
      <c r="A1112" t="s">
        <v>13</v>
      </c>
      <c r="B1112" t="s">
        <v>37</v>
      </c>
      <c r="C1112" s="77" t="s">
        <v>93</v>
      </c>
      <c r="D1112" t="s">
        <v>81</v>
      </c>
      <c r="E1112" s="77" t="s">
        <v>117</v>
      </c>
      <c r="F1112" s="77" t="s">
        <v>73</v>
      </c>
      <c r="G1112" s="77" t="s">
        <v>74</v>
      </c>
      <c r="H1112" s="77" t="s">
        <v>127</v>
      </c>
      <c r="I1112" s="77" t="s">
        <v>84</v>
      </c>
      <c r="J1112" s="76">
        <v>5.8414042458127093E-3</v>
      </c>
    </row>
    <row r="1113" spans="1:10" x14ac:dyDescent="0.35">
      <c r="A1113" t="s">
        <v>13</v>
      </c>
      <c r="B1113" t="s">
        <v>37</v>
      </c>
      <c r="C1113" s="77" t="s">
        <v>93</v>
      </c>
      <c r="D1113" t="s">
        <v>81</v>
      </c>
      <c r="E1113" s="77" t="s">
        <v>82</v>
      </c>
      <c r="F1113" s="77" t="s">
        <v>73</v>
      </c>
      <c r="G1113" s="77" t="s">
        <v>74</v>
      </c>
      <c r="H1113" s="77" t="s">
        <v>127</v>
      </c>
      <c r="I1113" s="77" t="s">
        <v>84</v>
      </c>
      <c r="J1113" s="76">
        <v>5.0319447308723453E-3</v>
      </c>
    </row>
    <row r="1114" spans="1:10" x14ac:dyDescent="0.35">
      <c r="A1114" t="s">
        <v>13</v>
      </c>
      <c r="B1114" t="s">
        <v>37</v>
      </c>
      <c r="C1114" s="77" t="s">
        <v>93</v>
      </c>
      <c r="D1114" t="s">
        <v>81</v>
      </c>
      <c r="E1114" s="77" t="s">
        <v>125</v>
      </c>
      <c r="F1114" s="77" t="s">
        <v>73</v>
      </c>
      <c r="G1114" s="77" t="s">
        <v>74</v>
      </c>
      <c r="H1114" s="77" t="s">
        <v>127</v>
      </c>
      <c r="I1114" s="77" t="s">
        <v>84</v>
      </c>
      <c r="J1114" s="76">
        <v>4.336096678710085E-4</v>
      </c>
    </row>
    <row r="1115" spans="1:10" x14ac:dyDescent="0.35">
      <c r="A1115" t="s">
        <v>13</v>
      </c>
      <c r="B1115" t="s">
        <v>37</v>
      </c>
      <c r="C1115" s="77" t="s">
        <v>93</v>
      </c>
      <c r="D1115" t="s">
        <v>81</v>
      </c>
      <c r="E1115" s="77" t="s">
        <v>122</v>
      </c>
      <c r="F1115" s="77" t="s">
        <v>73</v>
      </c>
      <c r="G1115" s="77" t="s">
        <v>74</v>
      </c>
      <c r="H1115" s="77" t="s">
        <v>127</v>
      </c>
      <c r="I1115" s="77" t="s">
        <v>84</v>
      </c>
      <c r="J1115" s="76">
        <v>2.7129607609988112E-3</v>
      </c>
    </row>
    <row r="1116" spans="1:10" x14ac:dyDescent="0.35">
      <c r="A1116" t="s">
        <v>13</v>
      </c>
      <c r="B1116" t="s">
        <v>37</v>
      </c>
      <c r="C1116" s="77" t="s">
        <v>93</v>
      </c>
      <c r="D1116" t="s">
        <v>81</v>
      </c>
      <c r="E1116" s="77" t="s">
        <v>126</v>
      </c>
      <c r="F1116" s="77" t="s">
        <v>73</v>
      </c>
      <c r="G1116" s="77" t="s">
        <v>74</v>
      </c>
      <c r="H1116" s="77" t="s">
        <v>127</v>
      </c>
      <c r="I1116" s="77" t="s">
        <v>84</v>
      </c>
      <c r="J1116" s="76">
        <v>4.3855511603587784E-2</v>
      </c>
    </row>
    <row r="1117" spans="1:10" x14ac:dyDescent="0.35">
      <c r="A1117" t="s">
        <v>13</v>
      </c>
      <c r="B1117" t="s">
        <v>37</v>
      </c>
      <c r="C1117" s="77" t="s">
        <v>93</v>
      </c>
      <c r="D1117" t="s">
        <v>81</v>
      </c>
      <c r="E1117" s="77" t="s">
        <v>101</v>
      </c>
      <c r="F1117" s="77" t="s">
        <v>73</v>
      </c>
      <c r="G1117" s="77" t="s">
        <v>74</v>
      </c>
      <c r="H1117" s="77" t="s">
        <v>127</v>
      </c>
      <c r="I1117" s="77" t="s">
        <v>84</v>
      </c>
      <c r="J1117" s="76">
        <v>0</v>
      </c>
    </row>
    <row r="1118" spans="1:10" x14ac:dyDescent="0.35">
      <c r="A1118" t="s">
        <v>13</v>
      </c>
      <c r="B1118" t="s">
        <v>37</v>
      </c>
      <c r="C1118" s="77" t="s">
        <v>93</v>
      </c>
      <c r="D1118" t="s">
        <v>81</v>
      </c>
      <c r="E1118" s="77" t="s">
        <v>104</v>
      </c>
      <c r="F1118" s="77" t="s">
        <v>73</v>
      </c>
      <c r="G1118" s="77" t="s">
        <v>74</v>
      </c>
      <c r="H1118" s="77" t="s">
        <v>127</v>
      </c>
      <c r="I1118" s="77" t="s">
        <v>84</v>
      </c>
      <c r="J1118" s="76">
        <v>0</v>
      </c>
    </row>
    <row r="1119" spans="1:10" x14ac:dyDescent="0.35">
      <c r="A1119" t="s">
        <v>13</v>
      </c>
      <c r="B1119" t="s">
        <v>37</v>
      </c>
      <c r="C1119" s="77" t="s">
        <v>93</v>
      </c>
      <c r="D1119" t="s">
        <v>81</v>
      </c>
      <c r="E1119" s="77" t="s">
        <v>106</v>
      </c>
      <c r="F1119" s="77" t="s">
        <v>73</v>
      </c>
      <c r="G1119" s="77" t="s">
        <v>74</v>
      </c>
      <c r="H1119" s="77" t="s">
        <v>127</v>
      </c>
      <c r="I1119" s="77" t="s">
        <v>84</v>
      </c>
      <c r="J1119" s="76">
        <v>0</v>
      </c>
    </row>
    <row r="1120" spans="1:10" x14ac:dyDescent="0.35">
      <c r="A1120" t="s">
        <v>13</v>
      </c>
      <c r="B1120" t="s">
        <v>37</v>
      </c>
      <c r="C1120" s="77" t="s">
        <v>73</v>
      </c>
      <c r="D1120" t="s">
        <v>81</v>
      </c>
      <c r="E1120" s="77" t="s">
        <v>82</v>
      </c>
      <c r="F1120" s="77" t="s">
        <v>73</v>
      </c>
      <c r="G1120" s="77" t="s">
        <v>74</v>
      </c>
      <c r="H1120" s="77" t="s">
        <v>128</v>
      </c>
      <c r="I1120" s="77" t="s">
        <v>84</v>
      </c>
      <c r="J1120" s="76">
        <f>'SUT_EU27 total'!$N$28</f>
        <v>1.4658301341380521E-2</v>
      </c>
    </row>
    <row r="1121" spans="1:10" x14ac:dyDescent="0.35">
      <c r="A1121" t="s">
        <v>13</v>
      </c>
      <c r="B1121" t="s">
        <v>37</v>
      </c>
      <c r="C1121" s="77" t="s">
        <v>73</v>
      </c>
      <c r="D1121" t="s">
        <v>81</v>
      </c>
      <c r="E1121" s="77" t="s">
        <v>86</v>
      </c>
      <c r="F1121" s="77" t="s">
        <v>73</v>
      </c>
      <c r="G1121" s="77" t="s">
        <v>74</v>
      </c>
      <c r="H1121" s="77" t="s">
        <v>128</v>
      </c>
      <c r="I1121" s="77" t="s">
        <v>84</v>
      </c>
      <c r="J1121" s="76">
        <f>'SUT_EU27 total'!$N$35</f>
        <v>3.0740776778828832E-3</v>
      </c>
    </row>
    <row r="1122" spans="1:10" x14ac:dyDescent="0.35">
      <c r="A1122" t="s">
        <v>13</v>
      </c>
      <c r="B1122" t="s">
        <v>37</v>
      </c>
      <c r="C1122" s="77" t="s">
        <v>88</v>
      </c>
      <c r="D1122" t="s">
        <v>81</v>
      </c>
      <c r="E1122" s="77" t="s">
        <v>82</v>
      </c>
      <c r="F1122" s="77" t="s">
        <v>73</v>
      </c>
      <c r="G1122" s="77" t="s">
        <v>74</v>
      </c>
      <c r="H1122" s="77" t="s">
        <v>128</v>
      </c>
      <c r="I1122" s="77" t="s">
        <v>84</v>
      </c>
      <c r="J1122" s="76">
        <f>'SUT_EU27 total'!$N$45</f>
        <v>9.2276548594747033E-3</v>
      </c>
    </row>
    <row r="1123" spans="1:10" x14ac:dyDescent="0.35">
      <c r="A1123" t="s">
        <v>13</v>
      </c>
      <c r="B1123" t="s">
        <v>37</v>
      </c>
      <c r="C1123" s="77" t="s">
        <v>88</v>
      </c>
      <c r="D1123" t="s">
        <v>81</v>
      </c>
      <c r="E1123" s="77" t="s">
        <v>86</v>
      </c>
      <c r="F1123" s="77" t="s">
        <v>73</v>
      </c>
      <c r="G1123" s="77" t="s">
        <v>74</v>
      </c>
      <c r="H1123" s="77" t="s">
        <v>128</v>
      </c>
      <c r="I1123" s="77" t="s">
        <v>84</v>
      </c>
      <c r="J1123" s="76">
        <f>'SUT_EU27 total'!$N$52</f>
        <v>6.9627451701437512E-2</v>
      </c>
    </row>
    <row r="1124" spans="1:10" x14ac:dyDescent="0.35">
      <c r="A1124" t="s">
        <v>13</v>
      </c>
      <c r="B1124" t="s">
        <v>37</v>
      </c>
      <c r="C1124" s="77" t="s">
        <v>90</v>
      </c>
      <c r="D1124" t="s">
        <v>81</v>
      </c>
      <c r="E1124" s="77" t="s">
        <v>82</v>
      </c>
      <c r="F1124" s="77" t="s">
        <v>73</v>
      </c>
      <c r="G1124" s="77" t="s">
        <v>74</v>
      </c>
      <c r="H1124" s="77" t="s">
        <v>128</v>
      </c>
      <c r="I1124" s="77" t="s">
        <v>84</v>
      </c>
      <c r="J1124" s="76">
        <f>'SUT_EU27 total'!$N$62</f>
        <v>2.2200107734217647E-6</v>
      </c>
    </row>
    <row r="1125" spans="1:10" x14ac:dyDescent="0.35">
      <c r="A1125" t="s">
        <v>13</v>
      </c>
      <c r="B1125" t="s">
        <v>37</v>
      </c>
      <c r="C1125" s="77" t="s">
        <v>90</v>
      </c>
      <c r="D1125" t="s">
        <v>81</v>
      </c>
      <c r="E1125" s="77" t="s">
        <v>86</v>
      </c>
      <c r="F1125" s="77" t="s">
        <v>73</v>
      </c>
      <c r="G1125" s="77" t="s">
        <v>74</v>
      </c>
      <c r="H1125" s="77" t="s">
        <v>128</v>
      </c>
      <c r="I1125" s="77" t="s">
        <v>84</v>
      </c>
      <c r="J1125" s="76">
        <f>'SUT_EU27 total'!$N$69</f>
        <v>9.1135123377023061E-3</v>
      </c>
    </row>
    <row r="1126" spans="1:10" x14ac:dyDescent="0.35">
      <c r="A1126" t="s">
        <v>13</v>
      </c>
      <c r="B1126" t="s">
        <v>37</v>
      </c>
      <c r="C1126" s="77" t="s">
        <v>91</v>
      </c>
      <c r="D1126" t="s">
        <v>81</v>
      </c>
      <c r="E1126" s="77" t="s">
        <v>82</v>
      </c>
      <c r="F1126" s="77" t="s">
        <v>73</v>
      </c>
      <c r="G1126" s="77" t="s">
        <v>74</v>
      </c>
      <c r="H1126" s="77" t="s">
        <v>128</v>
      </c>
      <c r="I1126" s="77" t="s">
        <v>84</v>
      </c>
      <c r="J1126" s="76">
        <f>'SUT_EU27 total'!$N$79</f>
        <v>4.3195382907628159E-4</v>
      </c>
    </row>
    <row r="1127" spans="1:10" x14ac:dyDescent="0.35">
      <c r="A1127" t="s">
        <v>13</v>
      </c>
      <c r="B1127" t="s">
        <v>37</v>
      </c>
      <c r="C1127" s="77" t="s">
        <v>91</v>
      </c>
      <c r="D1127" t="s">
        <v>81</v>
      </c>
      <c r="E1127" s="77" t="s">
        <v>86</v>
      </c>
      <c r="F1127" s="77" t="s">
        <v>73</v>
      </c>
      <c r="G1127" s="77" t="s">
        <v>74</v>
      </c>
      <c r="H1127" s="77" t="s">
        <v>128</v>
      </c>
      <c r="I1127" s="77" t="s">
        <v>84</v>
      </c>
      <c r="J1127" s="76">
        <f>'SUT_EU27 total'!$N$86</f>
        <v>1.1339568587203704E-2</v>
      </c>
    </row>
    <row r="1128" spans="1:10" x14ac:dyDescent="0.35">
      <c r="A1128" t="s">
        <v>13</v>
      </c>
      <c r="B1128" t="s">
        <v>37</v>
      </c>
      <c r="C1128" s="77" t="s">
        <v>92</v>
      </c>
      <c r="D1128" t="s">
        <v>81</v>
      </c>
      <c r="E1128" s="77" t="s">
        <v>82</v>
      </c>
      <c r="F1128" s="77" t="s">
        <v>73</v>
      </c>
      <c r="G1128" s="77" t="s">
        <v>74</v>
      </c>
      <c r="H1128" s="77" t="s">
        <v>128</v>
      </c>
      <c r="I1128" s="77" t="s">
        <v>84</v>
      </c>
      <c r="J1128" s="76">
        <f>'SUT_EU27 total'!$N$96</f>
        <v>5.9963902402539811E-4</v>
      </c>
    </row>
    <row r="1129" spans="1:10" x14ac:dyDescent="0.35">
      <c r="A1129" t="s">
        <v>13</v>
      </c>
      <c r="B1129" t="s">
        <v>37</v>
      </c>
      <c r="C1129" s="77" t="s">
        <v>92</v>
      </c>
      <c r="D1129" t="s">
        <v>81</v>
      </c>
      <c r="E1129" s="77" t="s">
        <v>86</v>
      </c>
      <c r="F1129" s="77" t="s">
        <v>73</v>
      </c>
      <c r="G1129" s="77" t="s">
        <v>74</v>
      </c>
      <c r="H1129" s="77" t="s">
        <v>128</v>
      </c>
      <c r="I1129" s="77" t="s">
        <v>84</v>
      </c>
      <c r="J1129" s="76">
        <f>'SUT_EU27 total'!$N$103</f>
        <v>7.0614092017150581E-3</v>
      </c>
    </row>
    <row r="1130" spans="1:10" x14ac:dyDescent="0.35">
      <c r="A1130" t="s">
        <v>13</v>
      </c>
      <c r="B1130" t="s">
        <v>37</v>
      </c>
      <c r="C1130" s="77" t="s">
        <v>93</v>
      </c>
      <c r="D1130" t="s">
        <v>81</v>
      </c>
      <c r="E1130" s="77" t="s">
        <v>82</v>
      </c>
      <c r="F1130" s="77" t="s">
        <v>73</v>
      </c>
      <c r="G1130" s="77" t="s">
        <v>74</v>
      </c>
      <c r="H1130" s="77" t="s">
        <v>128</v>
      </c>
      <c r="I1130" s="77" t="s">
        <v>84</v>
      </c>
      <c r="J1130" s="76">
        <f>'SUT_EU27 total'!$N$113</f>
        <v>2.4854239602480213E-3</v>
      </c>
    </row>
    <row r="1131" spans="1:10" x14ac:dyDescent="0.35">
      <c r="A1131" t="s">
        <v>13</v>
      </c>
      <c r="B1131" t="s">
        <v>37</v>
      </c>
      <c r="C1131" s="77" t="s">
        <v>93</v>
      </c>
      <c r="D1131" t="s">
        <v>81</v>
      </c>
      <c r="E1131" s="77" t="s">
        <v>86</v>
      </c>
      <c r="F1131" s="77" t="s">
        <v>73</v>
      </c>
      <c r="G1131" s="77" t="s">
        <v>74</v>
      </c>
      <c r="H1131" s="77" t="s">
        <v>128</v>
      </c>
      <c r="I1131" s="77" t="s">
        <v>84</v>
      </c>
      <c r="J1131" s="76">
        <f>'SUT_EU27 total'!$N$120</f>
        <v>3.1580644155014347E-2</v>
      </c>
    </row>
    <row r="1132" spans="1:10" x14ac:dyDescent="0.35">
      <c r="A1132" t="s">
        <v>13</v>
      </c>
      <c r="B1132" t="s">
        <v>37</v>
      </c>
      <c r="C1132" s="77" t="s">
        <v>73</v>
      </c>
      <c r="D1132" t="s">
        <v>81</v>
      </c>
      <c r="E1132" s="77" t="s">
        <v>82</v>
      </c>
      <c r="F1132" s="77" t="s">
        <v>73</v>
      </c>
      <c r="G1132" s="77" t="s">
        <v>74</v>
      </c>
      <c r="H1132" s="77" t="s">
        <v>129</v>
      </c>
      <c r="I1132" s="77" t="s">
        <v>84</v>
      </c>
      <c r="J1132" s="76">
        <f>'SUT_EU27 total'!$O$28</f>
        <v>1.4658301341380521E-2</v>
      </c>
    </row>
    <row r="1133" spans="1:10" x14ac:dyDescent="0.35">
      <c r="A1133" t="s">
        <v>13</v>
      </c>
      <c r="B1133" t="s">
        <v>37</v>
      </c>
      <c r="C1133" s="77" t="s">
        <v>73</v>
      </c>
      <c r="D1133" t="s">
        <v>81</v>
      </c>
      <c r="E1133" s="77" t="s">
        <v>86</v>
      </c>
      <c r="F1133" s="77" t="s">
        <v>73</v>
      </c>
      <c r="G1133" s="77" t="s">
        <v>74</v>
      </c>
      <c r="H1133" s="77" t="s">
        <v>129</v>
      </c>
      <c r="I1133" s="77" t="s">
        <v>84</v>
      </c>
      <c r="J1133" s="76">
        <f>'SUT_EU27 total'!$O$35</f>
        <v>3.0740776778828832E-3</v>
      </c>
    </row>
    <row r="1134" spans="1:10" x14ac:dyDescent="0.35">
      <c r="A1134" t="s">
        <v>13</v>
      </c>
      <c r="B1134" t="s">
        <v>37</v>
      </c>
      <c r="C1134" s="77" t="s">
        <v>88</v>
      </c>
      <c r="D1134" t="s">
        <v>81</v>
      </c>
      <c r="E1134" s="77" t="s">
        <v>82</v>
      </c>
      <c r="F1134" s="77" t="s">
        <v>73</v>
      </c>
      <c r="G1134" s="77" t="s">
        <v>74</v>
      </c>
      <c r="H1134" s="77" t="s">
        <v>129</v>
      </c>
      <c r="I1134" s="77" t="s">
        <v>84</v>
      </c>
      <c r="J1134" s="76">
        <f>'SUT_EU27 total'!$O$45</f>
        <v>9.2276548594747033E-3</v>
      </c>
    </row>
    <row r="1135" spans="1:10" x14ac:dyDescent="0.35">
      <c r="A1135" t="s">
        <v>13</v>
      </c>
      <c r="B1135" t="s">
        <v>37</v>
      </c>
      <c r="C1135" s="77" t="s">
        <v>88</v>
      </c>
      <c r="D1135" t="s">
        <v>81</v>
      </c>
      <c r="E1135" s="77" t="s">
        <v>86</v>
      </c>
      <c r="F1135" s="77" t="s">
        <v>73</v>
      </c>
      <c r="G1135" s="77" t="s">
        <v>74</v>
      </c>
      <c r="H1135" s="77" t="s">
        <v>129</v>
      </c>
      <c r="I1135" s="77" t="s">
        <v>84</v>
      </c>
      <c r="J1135" s="76">
        <f>'SUT_EU27 total'!$O$52</f>
        <v>6.9627451701437512E-2</v>
      </c>
    </row>
    <row r="1136" spans="1:10" x14ac:dyDescent="0.35">
      <c r="A1136" t="s">
        <v>13</v>
      </c>
      <c r="B1136" t="s">
        <v>37</v>
      </c>
      <c r="C1136" s="77" t="s">
        <v>90</v>
      </c>
      <c r="D1136" t="s">
        <v>81</v>
      </c>
      <c r="E1136" s="77" t="s">
        <v>82</v>
      </c>
      <c r="F1136" s="77" t="s">
        <v>73</v>
      </c>
      <c r="G1136" s="77" t="s">
        <v>74</v>
      </c>
      <c r="H1136" s="77" t="s">
        <v>129</v>
      </c>
      <c r="I1136" s="77" t="s">
        <v>84</v>
      </c>
      <c r="J1136" s="76">
        <f>'SUT_EU27 total'!$O$62</f>
        <v>2.2200107734217647E-6</v>
      </c>
    </row>
    <row r="1137" spans="1:10" x14ac:dyDescent="0.35">
      <c r="A1137" t="s">
        <v>13</v>
      </c>
      <c r="B1137" t="s">
        <v>37</v>
      </c>
      <c r="C1137" s="77" t="s">
        <v>90</v>
      </c>
      <c r="D1137" t="s">
        <v>81</v>
      </c>
      <c r="E1137" s="77" t="s">
        <v>86</v>
      </c>
      <c r="F1137" s="77" t="s">
        <v>73</v>
      </c>
      <c r="G1137" s="77" t="s">
        <v>74</v>
      </c>
      <c r="H1137" s="77" t="s">
        <v>129</v>
      </c>
      <c r="I1137" s="77" t="s">
        <v>84</v>
      </c>
      <c r="J1137" s="76">
        <f>'SUT_EU27 total'!$O$69</f>
        <v>9.1135123377023061E-3</v>
      </c>
    </row>
    <row r="1138" spans="1:10" x14ac:dyDescent="0.35">
      <c r="A1138" t="s">
        <v>13</v>
      </c>
      <c r="B1138" t="s">
        <v>37</v>
      </c>
      <c r="C1138" s="77" t="s">
        <v>91</v>
      </c>
      <c r="D1138" t="s">
        <v>81</v>
      </c>
      <c r="E1138" s="77" t="s">
        <v>82</v>
      </c>
      <c r="F1138" s="77" t="s">
        <v>73</v>
      </c>
      <c r="G1138" s="77" t="s">
        <v>74</v>
      </c>
      <c r="H1138" s="77" t="s">
        <v>129</v>
      </c>
      <c r="I1138" s="77" t="s">
        <v>84</v>
      </c>
      <c r="J1138" s="76">
        <f>'SUT_EU27 total'!$O$79</f>
        <v>4.3195382907628159E-4</v>
      </c>
    </row>
    <row r="1139" spans="1:10" x14ac:dyDescent="0.35">
      <c r="A1139" t="s">
        <v>13</v>
      </c>
      <c r="B1139" t="s">
        <v>37</v>
      </c>
      <c r="C1139" s="77" t="s">
        <v>91</v>
      </c>
      <c r="D1139" t="s">
        <v>81</v>
      </c>
      <c r="E1139" s="77" t="s">
        <v>86</v>
      </c>
      <c r="F1139" s="77" t="s">
        <v>73</v>
      </c>
      <c r="G1139" s="77" t="s">
        <v>74</v>
      </c>
      <c r="H1139" s="77" t="s">
        <v>129</v>
      </c>
      <c r="I1139" s="77" t="s">
        <v>84</v>
      </c>
      <c r="J1139" s="76">
        <f>'SUT_EU27 total'!$O$86</f>
        <v>1.1339568587203704E-2</v>
      </c>
    </row>
    <row r="1140" spans="1:10" x14ac:dyDescent="0.35">
      <c r="A1140" t="s">
        <v>13</v>
      </c>
      <c r="B1140" t="s">
        <v>37</v>
      </c>
      <c r="C1140" s="77" t="s">
        <v>92</v>
      </c>
      <c r="D1140" t="s">
        <v>81</v>
      </c>
      <c r="E1140" s="77" t="s">
        <v>82</v>
      </c>
      <c r="F1140" s="77" t="s">
        <v>73</v>
      </c>
      <c r="G1140" s="77" t="s">
        <v>74</v>
      </c>
      <c r="H1140" s="77" t="s">
        <v>129</v>
      </c>
      <c r="I1140" s="77" t="s">
        <v>84</v>
      </c>
      <c r="J1140" s="76">
        <f>'SUT_EU27 total'!$O$96</f>
        <v>5.9963902402539811E-4</v>
      </c>
    </row>
    <row r="1141" spans="1:10" x14ac:dyDescent="0.35">
      <c r="A1141" t="s">
        <v>13</v>
      </c>
      <c r="B1141" t="s">
        <v>37</v>
      </c>
      <c r="C1141" s="77" t="s">
        <v>92</v>
      </c>
      <c r="D1141" t="s">
        <v>81</v>
      </c>
      <c r="E1141" s="77" t="s">
        <v>86</v>
      </c>
      <c r="F1141" s="77" t="s">
        <v>73</v>
      </c>
      <c r="G1141" s="77" t="s">
        <v>74</v>
      </c>
      <c r="H1141" s="77" t="s">
        <v>129</v>
      </c>
      <c r="I1141" s="77" t="s">
        <v>84</v>
      </c>
      <c r="J1141" s="76">
        <f>'SUT_EU27 total'!$O$103</f>
        <v>7.0614092017150581E-3</v>
      </c>
    </row>
    <row r="1142" spans="1:10" x14ac:dyDescent="0.35">
      <c r="A1142" t="s">
        <v>13</v>
      </c>
      <c r="B1142" t="s">
        <v>37</v>
      </c>
      <c r="C1142" s="77" t="s">
        <v>93</v>
      </c>
      <c r="D1142" t="s">
        <v>81</v>
      </c>
      <c r="E1142" s="77" t="s">
        <v>82</v>
      </c>
      <c r="F1142" s="77" t="s">
        <v>73</v>
      </c>
      <c r="G1142" s="77" t="s">
        <v>74</v>
      </c>
      <c r="H1142" s="77" t="s">
        <v>129</v>
      </c>
      <c r="I1142" s="77" t="s">
        <v>84</v>
      </c>
      <c r="J1142" s="76">
        <f>'SUT_EU27 total'!$O$113</f>
        <v>2.4854239602480213E-3</v>
      </c>
    </row>
    <row r="1143" spans="1:10" x14ac:dyDescent="0.35">
      <c r="A1143" t="s">
        <v>13</v>
      </c>
      <c r="B1143" t="s">
        <v>37</v>
      </c>
      <c r="C1143" s="77" t="s">
        <v>93</v>
      </c>
      <c r="D1143" t="s">
        <v>81</v>
      </c>
      <c r="E1143" s="77" t="s">
        <v>86</v>
      </c>
      <c r="F1143" s="77" t="s">
        <v>73</v>
      </c>
      <c r="G1143" s="77" t="s">
        <v>74</v>
      </c>
      <c r="H1143" s="77" t="s">
        <v>129</v>
      </c>
      <c r="I1143" s="77" t="s">
        <v>84</v>
      </c>
      <c r="J1143" s="76">
        <f>'SUT_EU27 total'!$O$120</f>
        <v>3.1580644155014347E-2</v>
      </c>
    </row>
    <row r="1144" spans="1:10" x14ac:dyDescent="0.35">
      <c r="A1144" t="s">
        <v>13</v>
      </c>
      <c r="B1144" t="s">
        <v>37</v>
      </c>
      <c r="C1144" s="77" t="s">
        <v>73</v>
      </c>
      <c r="D1144" t="s">
        <v>81</v>
      </c>
      <c r="E1144" s="77" t="s">
        <v>82</v>
      </c>
      <c r="F1144" s="77" t="s">
        <v>73</v>
      </c>
      <c r="G1144" s="77" t="s">
        <v>74</v>
      </c>
      <c r="H1144" s="77" t="s">
        <v>130</v>
      </c>
      <c r="I1144" s="77" t="s">
        <v>84</v>
      </c>
      <c r="J1144" s="76">
        <f>'SUT_EU27 total'!$Q$28</f>
        <v>7.0611384178638645E-2</v>
      </c>
    </row>
    <row r="1145" spans="1:10" x14ac:dyDescent="0.35">
      <c r="A1145" t="s">
        <v>13</v>
      </c>
      <c r="B1145" t="s">
        <v>37</v>
      </c>
      <c r="C1145" s="77" t="s">
        <v>88</v>
      </c>
      <c r="D1145" t="s">
        <v>81</v>
      </c>
      <c r="E1145" s="77" t="s">
        <v>82</v>
      </c>
      <c r="F1145" s="77" t="s">
        <v>73</v>
      </c>
      <c r="G1145" s="77" t="s">
        <v>74</v>
      </c>
      <c r="H1145" s="77" t="s">
        <v>130</v>
      </c>
      <c r="I1145" s="77" t="s">
        <v>84</v>
      </c>
      <c r="J1145" s="76">
        <f>'SUT_EU27 total'!$Q$45</f>
        <v>4.4451090694311274E-2</v>
      </c>
    </row>
    <row r="1146" spans="1:10" x14ac:dyDescent="0.35">
      <c r="A1146" t="s">
        <v>13</v>
      </c>
      <c r="B1146" t="s">
        <v>37</v>
      </c>
      <c r="C1146" s="77" t="s">
        <v>90</v>
      </c>
      <c r="D1146" t="s">
        <v>81</v>
      </c>
      <c r="E1146" s="77" t="s">
        <v>82</v>
      </c>
      <c r="F1146" s="77" t="s">
        <v>73</v>
      </c>
      <c r="G1146" s="77" t="s">
        <v>74</v>
      </c>
      <c r="H1146" s="77" t="s">
        <v>130</v>
      </c>
      <c r="I1146" s="77" t="s">
        <v>84</v>
      </c>
      <c r="J1146" s="76">
        <f>'SUT_EU27 total'!$Q$62</f>
        <v>1.0694147292515508E-5</v>
      </c>
    </row>
    <row r="1147" spans="1:10" x14ac:dyDescent="0.35">
      <c r="A1147" t="s">
        <v>13</v>
      </c>
      <c r="B1147" t="s">
        <v>37</v>
      </c>
      <c r="C1147" s="77" t="s">
        <v>91</v>
      </c>
      <c r="D1147" t="s">
        <v>81</v>
      </c>
      <c r="E1147" s="77" t="s">
        <v>82</v>
      </c>
      <c r="F1147" s="77" t="s">
        <v>73</v>
      </c>
      <c r="G1147" s="77" t="s">
        <v>74</v>
      </c>
      <c r="H1147" s="77" t="s">
        <v>130</v>
      </c>
      <c r="I1147" s="77" t="s">
        <v>84</v>
      </c>
      <c r="J1147" s="76">
        <f>'SUT_EU27 total'!$Q$79</f>
        <v>2.0807907452574416E-3</v>
      </c>
    </row>
    <row r="1148" spans="1:10" x14ac:dyDescent="0.35">
      <c r="A1148" t="s">
        <v>13</v>
      </c>
      <c r="B1148" t="s">
        <v>37</v>
      </c>
      <c r="C1148" s="77" t="s">
        <v>92</v>
      </c>
      <c r="D1148" t="s">
        <v>81</v>
      </c>
      <c r="E1148" s="77" t="s">
        <v>82</v>
      </c>
      <c r="F1148" s="77" t="s">
        <v>73</v>
      </c>
      <c r="G1148" s="77" t="s">
        <v>74</v>
      </c>
      <c r="H1148" s="77" t="s">
        <v>130</v>
      </c>
      <c r="I1148" s="77" t="s">
        <v>84</v>
      </c>
      <c r="J1148" s="76">
        <f>'SUT_EU27 total'!$Q$96</f>
        <v>2.8885571737041122E-3</v>
      </c>
    </row>
    <row r="1149" spans="1:10" x14ac:dyDescent="0.35">
      <c r="A1149" t="s">
        <v>13</v>
      </c>
      <c r="B1149" t="s">
        <v>37</v>
      </c>
      <c r="C1149" s="77" t="s">
        <v>93</v>
      </c>
      <c r="D1149" t="s">
        <v>81</v>
      </c>
      <c r="E1149" s="77" t="s">
        <v>82</v>
      </c>
      <c r="F1149" s="77" t="s">
        <v>73</v>
      </c>
      <c r="G1149" s="77" t="s">
        <v>74</v>
      </c>
      <c r="H1149" s="77" t="s">
        <v>130</v>
      </c>
      <c r="I1149" s="77" t="s">
        <v>84</v>
      </c>
      <c r="J1149" s="76">
        <f>'SUT_EU27 total'!$Q$113</f>
        <v>1.1972685102906883E-2</v>
      </c>
    </row>
    <row r="1150" spans="1:10" x14ac:dyDescent="0.35">
      <c r="A1150" t="s">
        <v>13</v>
      </c>
      <c r="B1150" t="s">
        <v>37</v>
      </c>
      <c r="C1150" s="77" t="s">
        <v>73</v>
      </c>
      <c r="D1150" s="4" t="s">
        <v>81</v>
      </c>
      <c r="E1150" s="77" t="s">
        <v>96</v>
      </c>
      <c r="F1150" s="77" t="s">
        <v>73</v>
      </c>
      <c r="G1150" s="77" t="s">
        <v>74</v>
      </c>
      <c r="H1150" s="77" t="s">
        <v>130</v>
      </c>
      <c r="I1150" s="77" t="s">
        <v>84</v>
      </c>
      <c r="J1150" s="74" cm="1">
        <f t="array" ref="J1150:J1151">Sensitivity!J82:J83</f>
        <v>9.0622182146077552</v>
      </c>
    </row>
    <row r="1151" spans="1:10" x14ac:dyDescent="0.35">
      <c r="A1151" t="s">
        <v>13</v>
      </c>
      <c r="B1151" t="s">
        <v>37</v>
      </c>
      <c r="C1151" s="77" t="s">
        <v>73</v>
      </c>
      <c r="D1151" s="4" t="s">
        <v>81</v>
      </c>
      <c r="E1151" s="77" t="s">
        <v>99</v>
      </c>
      <c r="F1151" s="77" t="s">
        <v>73</v>
      </c>
      <c r="G1151" s="77" t="s">
        <v>74</v>
      </c>
      <c r="H1151" s="77" t="s">
        <v>130</v>
      </c>
      <c r="I1151" s="77" t="s">
        <v>84</v>
      </c>
      <c r="J1151" s="74">
        <v>0</v>
      </c>
    </row>
    <row r="1152" spans="1:10" x14ac:dyDescent="0.35">
      <c r="A1152" t="s">
        <v>13</v>
      </c>
      <c r="B1152" t="s">
        <v>37</v>
      </c>
      <c r="C1152" s="77" t="s">
        <v>73</v>
      </c>
      <c r="D1152" t="s">
        <v>81</v>
      </c>
      <c r="E1152" s="77" t="s">
        <v>131</v>
      </c>
      <c r="F1152" s="77" t="s">
        <v>73</v>
      </c>
      <c r="G1152" s="77" t="s">
        <v>74</v>
      </c>
      <c r="H1152" s="77" t="s">
        <v>112</v>
      </c>
      <c r="I1152" s="77" t="s">
        <v>84</v>
      </c>
      <c r="J1152" s="76">
        <f>'SUT_EU27 total'!$R$24</f>
        <v>4.0146105919003111E-8</v>
      </c>
    </row>
    <row r="1153" spans="1:10" x14ac:dyDescent="0.35">
      <c r="A1153" t="s">
        <v>13</v>
      </c>
      <c r="B1153" t="s">
        <v>37</v>
      </c>
      <c r="C1153" s="77" t="s">
        <v>73</v>
      </c>
      <c r="D1153" t="s">
        <v>81</v>
      </c>
      <c r="E1153" s="77" t="s">
        <v>122</v>
      </c>
      <c r="F1153" s="77" t="s">
        <v>73</v>
      </c>
      <c r="G1153" s="77" t="s">
        <v>74</v>
      </c>
      <c r="H1153" s="77" t="s">
        <v>112</v>
      </c>
      <c r="I1153" s="77" t="s">
        <v>84</v>
      </c>
      <c r="J1153" s="76">
        <f>'SUT_EU27 total'!$R$30</f>
        <v>3.9708116569218732E-4</v>
      </c>
    </row>
    <row r="1154" spans="1:10" x14ac:dyDescent="0.35">
      <c r="A1154" t="s">
        <v>13</v>
      </c>
      <c r="B1154" t="s">
        <v>37</v>
      </c>
      <c r="C1154" s="77" t="s">
        <v>73</v>
      </c>
      <c r="D1154" t="s">
        <v>81</v>
      </c>
      <c r="E1154" s="77" t="s">
        <v>101</v>
      </c>
      <c r="F1154" s="77" t="s">
        <v>73</v>
      </c>
      <c r="G1154" s="77" t="s">
        <v>74</v>
      </c>
      <c r="H1154" s="77" t="s">
        <v>112</v>
      </c>
      <c r="I1154" s="77" t="s">
        <v>84</v>
      </c>
      <c r="J1154" s="76" cm="1">
        <f t="array" ref="J1154:J1156">'SUT_EU27 total'!$R$32:$R$34</f>
        <v>1.2183459827918709E-7</v>
      </c>
    </row>
    <row r="1155" spans="1:10" x14ac:dyDescent="0.35">
      <c r="A1155" t="s">
        <v>13</v>
      </c>
      <c r="B1155" t="s">
        <v>37</v>
      </c>
      <c r="C1155" s="77" t="s">
        <v>73</v>
      </c>
      <c r="D1155" t="s">
        <v>81</v>
      </c>
      <c r="E1155" s="77" t="s">
        <v>104</v>
      </c>
      <c r="F1155" s="77" t="s">
        <v>73</v>
      </c>
      <c r="G1155" s="77" t="s">
        <v>74</v>
      </c>
      <c r="H1155" s="77" t="s">
        <v>112</v>
      </c>
      <c r="I1155" s="77" t="s">
        <v>84</v>
      </c>
      <c r="J1155" s="76">
        <v>2.3068290654205609E-7</v>
      </c>
    </row>
    <row r="1156" spans="1:10" x14ac:dyDescent="0.35">
      <c r="A1156" t="s">
        <v>13</v>
      </c>
      <c r="B1156" t="s">
        <v>37</v>
      </c>
      <c r="C1156" s="77" t="s">
        <v>73</v>
      </c>
      <c r="D1156" t="s">
        <v>81</v>
      </c>
      <c r="E1156" s="77" t="s">
        <v>106</v>
      </c>
      <c r="F1156" s="77" t="s">
        <v>73</v>
      </c>
      <c r="G1156" s="77" t="s">
        <v>74</v>
      </c>
      <c r="H1156" s="77" t="s">
        <v>112</v>
      </c>
      <c r="I1156" s="77" t="s">
        <v>84</v>
      </c>
      <c r="J1156" s="76">
        <v>7.8463573653760568E-7</v>
      </c>
    </row>
    <row r="1157" spans="1:10" x14ac:dyDescent="0.35">
      <c r="A1157" t="s">
        <v>13</v>
      </c>
      <c r="B1157" t="s">
        <v>37</v>
      </c>
      <c r="C1157" s="77" t="s">
        <v>88</v>
      </c>
      <c r="D1157" t="s">
        <v>81</v>
      </c>
      <c r="E1157" s="77" t="s">
        <v>131</v>
      </c>
      <c r="F1157" s="77" t="s">
        <v>73</v>
      </c>
      <c r="G1157" s="77" t="s">
        <v>74</v>
      </c>
      <c r="H1157" s="77" t="s">
        <v>112</v>
      </c>
      <c r="I1157" s="77" t="s">
        <v>84</v>
      </c>
      <c r="J1157" s="76">
        <f>'SUT_EU27 total'!$R$41</f>
        <v>0</v>
      </c>
    </row>
    <row r="1158" spans="1:10" x14ac:dyDescent="0.35">
      <c r="A1158" t="s">
        <v>13</v>
      </c>
      <c r="B1158" t="s">
        <v>37</v>
      </c>
      <c r="C1158" s="77" t="s">
        <v>88</v>
      </c>
      <c r="D1158" t="s">
        <v>81</v>
      </c>
      <c r="E1158" s="77" t="s">
        <v>122</v>
      </c>
      <c r="F1158" s="77" t="s">
        <v>73</v>
      </c>
      <c r="G1158" s="77" t="s">
        <v>74</v>
      </c>
      <c r="H1158" s="77" t="s">
        <v>112</v>
      </c>
      <c r="I1158" s="77" t="s">
        <v>84</v>
      </c>
      <c r="J1158" s="76">
        <f>'SUT_EU27 total'!$R$47</f>
        <v>0</v>
      </c>
    </row>
    <row r="1159" spans="1:10" x14ac:dyDescent="0.35">
      <c r="A1159" t="s">
        <v>13</v>
      </c>
      <c r="B1159" t="s">
        <v>37</v>
      </c>
      <c r="C1159" s="77" t="s">
        <v>88</v>
      </c>
      <c r="D1159" t="s">
        <v>81</v>
      </c>
      <c r="E1159" s="77" t="s">
        <v>101</v>
      </c>
      <c r="F1159" s="77" t="s">
        <v>73</v>
      </c>
      <c r="G1159" s="77" t="s">
        <v>74</v>
      </c>
      <c r="H1159" s="77" t="s">
        <v>112</v>
      </c>
      <c r="I1159" s="77" t="s">
        <v>84</v>
      </c>
      <c r="J1159" s="76" cm="1">
        <f t="array" ref="J1159:J1161">'SUT_EU27 total'!$R$49:$R$51</f>
        <v>0</v>
      </c>
    </row>
    <row r="1160" spans="1:10" x14ac:dyDescent="0.35">
      <c r="A1160" t="s">
        <v>13</v>
      </c>
      <c r="B1160" t="s">
        <v>37</v>
      </c>
      <c r="C1160" s="77" t="s">
        <v>88</v>
      </c>
      <c r="D1160" t="s">
        <v>81</v>
      </c>
      <c r="E1160" s="77" t="s">
        <v>104</v>
      </c>
      <c r="F1160" s="77" t="s">
        <v>73</v>
      </c>
      <c r="G1160" s="77" t="s">
        <v>74</v>
      </c>
      <c r="H1160" s="77" t="s">
        <v>112</v>
      </c>
      <c r="I1160" s="77" t="s">
        <v>84</v>
      </c>
      <c r="J1160" s="76">
        <v>0</v>
      </c>
    </row>
    <row r="1161" spans="1:10" x14ac:dyDescent="0.35">
      <c r="A1161" t="s">
        <v>13</v>
      </c>
      <c r="B1161" t="s">
        <v>37</v>
      </c>
      <c r="C1161" s="77" t="s">
        <v>88</v>
      </c>
      <c r="D1161" t="s">
        <v>81</v>
      </c>
      <c r="E1161" s="77" t="s">
        <v>106</v>
      </c>
      <c r="F1161" s="77" t="s">
        <v>73</v>
      </c>
      <c r="G1161" s="77" t="s">
        <v>74</v>
      </c>
      <c r="H1161" s="77" t="s">
        <v>112</v>
      </c>
      <c r="I1161" s="77" t="s">
        <v>84</v>
      </c>
      <c r="J1161" s="76">
        <v>0</v>
      </c>
    </row>
    <row r="1162" spans="1:10" x14ac:dyDescent="0.35">
      <c r="A1162" t="s">
        <v>13</v>
      </c>
      <c r="B1162" t="s">
        <v>37</v>
      </c>
      <c r="C1162" s="77" t="s">
        <v>90</v>
      </c>
      <c r="D1162" t="s">
        <v>81</v>
      </c>
      <c r="E1162" s="77" t="s">
        <v>131</v>
      </c>
      <c r="F1162" s="77" t="s">
        <v>73</v>
      </c>
      <c r="G1162" s="77" t="s">
        <v>74</v>
      </c>
      <c r="H1162" s="77" t="s">
        <v>112</v>
      </c>
      <c r="I1162" s="77" t="s">
        <v>84</v>
      </c>
      <c r="J1162" s="76">
        <f>'SUT_EU27 total'!$R$58</f>
        <v>0</v>
      </c>
    </row>
    <row r="1163" spans="1:10" x14ac:dyDescent="0.35">
      <c r="A1163" t="s">
        <v>13</v>
      </c>
      <c r="B1163" t="s">
        <v>37</v>
      </c>
      <c r="C1163" s="77" t="s">
        <v>90</v>
      </c>
      <c r="D1163" t="s">
        <v>81</v>
      </c>
      <c r="E1163" s="77" t="s">
        <v>122</v>
      </c>
      <c r="F1163" s="77" t="s">
        <v>73</v>
      </c>
      <c r="G1163" s="77" t="s">
        <v>74</v>
      </c>
      <c r="H1163" s="77" t="s">
        <v>112</v>
      </c>
      <c r="I1163" s="77" t="s">
        <v>84</v>
      </c>
      <c r="J1163" s="76">
        <f>'SUT_EU27 total'!$R$64</f>
        <v>6.4108466461028498E-4</v>
      </c>
    </row>
    <row r="1164" spans="1:10" x14ac:dyDescent="0.35">
      <c r="A1164" t="s">
        <v>13</v>
      </c>
      <c r="B1164" t="s">
        <v>37</v>
      </c>
      <c r="C1164" s="77" t="s">
        <v>90</v>
      </c>
      <c r="D1164" t="s">
        <v>81</v>
      </c>
      <c r="E1164" s="77" t="s">
        <v>101</v>
      </c>
      <c r="F1164" s="77" t="s">
        <v>73</v>
      </c>
      <c r="G1164" s="77" t="s">
        <v>74</v>
      </c>
      <c r="H1164" s="77" t="s">
        <v>112</v>
      </c>
      <c r="I1164" s="77" t="s">
        <v>84</v>
      </c>
      <c r="J1164" s="76" cm="1">
        <f t="array" ref="J1164:J1166">'SUT_EU27 total'!$R$66:$R$68</f>
        <v>0</v>
      </c>
    </row>
    <row r="1165" spans="1:10" x14ac:dyDescent="0.35">
      <c r="A1165" t="s">
        <v>13</v>
      </c>
      <c r="B1165" t="s">
        <v>37</v>
      </c>
      <c r="C1165" s="77" t="s">
        <v>90</v>
      </c>
      <c r="D1165" t="s">
        <v>81</v>
      </c>
      <c r="E1165" s="77" t="s">
        <v>104</v>
      </c>
      <c r="F1165" s="77" t="s">
        <v>73</v>
      </c>
      <c r="G1165" s="77" t="s">
        <v>74</v>
      </c>
      <c r="H1165" s="77" t="s">
        <v>112</v>
      </c>
      <c r="I1165" s="77" t="s">
        <v>84</v>
      </c>
      <c r="J1165" s="76">
        <v>0</v>
      </c>
    </row>
    <row r="1166" spans="1:10" x14ac:dyDescent="0.35">
      <c r="A1166" t="s">
        <v>13</v>
      </c>
      <c r="B1166" t="s">
        <v>37</v>
      </c>
      <c r="C1166" s="77" t="s">
        <v>90</v>
      </c>
      <c r="D1166" t="s">
        <v>81</v>
      </c>
      <c r="E1166" s="77" t="s">
        <v>106</v>
      </c>
      <c r="F1166" s="77" t="s">
        <v>73</v>
      </c>
      <c r="G1166" s="77" t="s">
        <v>74</v>
      </c>
      <c r="H1166" s="77" t="s">
        <v>112</v>
      </c>
      <c r="I1166" s="77" t="s">
        <v>84</v>
      </c>
      <c r="J1166" s="76">
        <v>0</v>
      </c>
    </row>
    <row r="1167" spans="1:10" x14ac:dyDescent="0.35">
      <c r="A1167" t="s">
        <v>13</v>
      </c>
      <c r="B1167" t="s">
        <v>37</v>
      </c>
      <c r="C1167" s="77" t="s">
        <v>91</v>
      </c>
      <c r="D1167" t="s">
        <v>81</v>
      </c>
      <c r="E1167" s="77" t="s">
        <v>131</v>
      </c>
      <c r="F1167" s="77" t="s">
        <v>73</v>
      </c>
      <c r="G1167" s="77" t="s">
        <v>74</v>
      </c>
      <c r="H1167" s="77" t="s">
        <v>112</v>
      </c>
      <c r="I1167" s="77" t="s">
        <v>84</v>
      </c>
      <c r="J1167" s="76">
        <f>'SUT_EU27 total'!$R$75</f>
        <v>0</v>
      </c>
    </row>
    <row r="1168" spans="1:10" x14ac:dyDescent="0.35">
      <c r="A1168" t="s">
        <v>13</v>
      </c>
      <c r="B1168" t="s">
        <v>37</v>
      </c>
      <c r="C1168" s="77" t="s">
        <v>91</v>
      </c>
      <c r="D1168" t="s">
        <v>81</v>
      </c>
      <c r="E1168" s="77" t="s">
        <v>122</v>
      </c>
      <c r="F1168" s="77" t="s">
        <v>73</v>
      </c>
      <c r="G1168" s="77" t="s">
        <v>74</v>
      </c>
      <c r="H1168" s="77" t="s">
        <v>112</v>
      </c>
      <c r="I1168" s="77" t="s">
        <v>84</v>
      </c>
      <c r="J1168" s="76">
        <f>'SUT_EU27 total'!$R$81</f>
        <v>0</v>
      </c>
    </row>
    <row r="1169" spans="1:10" x14ac:dyDescent="0.35">
      <c r="A1169" t="s">
        <v>13</v>
      </c>
      <c r="B1169" t="s">
        <v>37</v>
      </c>
      <c r="C1169" s="77" t="s">
        <v>91</v>
      </c>
      <c r="D1169" t="s">
        <v>81</v>
      </c>
      <c r="E1169" s="77" t="s">
        <v>101</v>
      </c>
      <c r="F1169" s="77" t="s">
        <v>73</v>
      </c>
      <c r="G1169" s="77" t="s">
        <v>74</v>
      </c>
      <c r="H1169" s="77" t="s">
        <v>112</v>
      </c>
      <c r="I1169" s="77" t="s">
        <v>84</v>
      </c>
      <c r="J1169" s="76" cm="1">
        <f t="array" ref="J1169:J1171">'SUT_EU27 total'!$R$83:$R$85</f>
        <v>0</v>
      </c>
    </row>
    <row r="1170" spans="1:10" x14ac:dyDescent="0.35">
      <c r="A1170" t="s">
        <v>13</v>
      </c>
      <c r="B1170" t="s">
        <v>37</v>
      </c>
      <c r="C1170" s="77" t="s">
        <v>91</v>
      </c>
      <c r="D1170" t="s">
        <v>81</v>
      </c>
      <c r="E1170" s="77" t="s">
        <v>104</v>
      </c>
      <c r="F1170" s="77" t="s">
        <v>73</v>
      </c>
      <c r="G1170" s="77" t="s">
        <v>74</v>
      </c>
      <c r="H1170" s="77" t="s">
        <v>112</v>
      </c>
      <c r="I1170" s="77" t="s">
        <v>84</v>
      </c>
      <c r="J1170" s="76">
        <v>0</v>
      </c>
    </row>
    <row r="1171" spans="1:10" x14ac:dyDescent="0.35">
      <c r="A1171" t="s">
        <v>13</v>
      </c>
      <c r="B1171" t="s">
        <v>37</v>
      </c>
      <c r="C1171" s="77" t="s">
        <v>91</v>
      </c>
      <c r="D1171" t="s">
        <v>81</v>
      </c>
      <c r="E1171" s="77" t="s">
        <v>106</v>
      </c>
      <c r="F1171" s="77" t="s">
        <v>73</v>
      </c>
      <c r="G1171" s="77" t="s">
        <v>74</v>
      </c>
      <c r="H1171" s="77" t="s">
        <v>112</v>
      </c>
      <c r="I1171" s="77" t="s">
        <v>84</v>
      </c>
      <c r="J1171" s="76">
        <v>0</v>
      </c>
    </row>
    <row r="1172" spans="1:10" x14ac:dyDescent="0.35">
      <c r="A1172" t="s">
        <v>13</v>
      </c>
      <c r="B1172" t="s">
        <v>37</v>
      </c>
      <c r="C1172" s="77" t="s">
        <v>92</v>
      </c>
      <c r="D1172" t="s">
        <v>81</v>
      </c>
      <c r="E1172" s="77" t="s">
        <v>131</v>
      </c>
      <c r="F1172" s="77" t="s">
        <v>73</v>
      </c>
      <c r="G1172" s="77" t="s">
        <v>74</v>
      </c>
      <c r="H1172" s="77" t="s">
        <v>112</v>
      </c>
      <c r="I1172" s="77" t="s">
        <v>84</v>
      </c>
      <c r="J1172" s="76">
        <f>'SUT_EU27 total'!$R$92</f>
        <v>0</v>
      </c>
    </row>
    <row r="1173" spans="1:10" x14ac:dyDescent="0.35">
      <c r="A1173" t="s">
        <v>13</v>
      </c>
      <c r="B1173" t="s">
        <v>37</v>
      </c>
      <c r="C1173" s="77" t="s">
        <v>92</v>
      </c>
      <c r="D1173" t="s">
        <v>81</v>
      </c>
      <c r="E1173" s="77" t="s">
        <v>122</v>
      </c>
      <c r="F1173" s="77" t="s">
        <v>73</v>
      </c>
      <c r="G1173" s="77" t="s">
        <v>74</v>
      </c>
      <c r="H1173" s="77" t="s">
        <v>112</v>
      </c>
      <c r="I1173" s="77" t="s">
        <v>84</v>
      </c>
      <c r="J1173" s="76">
        <f>'SUT_EU27 total'!$R$98</f>
        <v>0</v>
      </c>
    </row>
    <row r="1174" spans="1:10" x14ac:dyDescent="0.35">
      <c r="A1174" t="s">
        <v>13</v>
      </c>
      <c r="B1174" t="s">
        <v>37</v>
      </c>
      <c r="C1174" s="77" t="s">
        <v>92</v>
      </c>
      <c r="D1174" t="s">
        <v>81</v>
      </c>
      <c r="E1174" s="77" t="s">
        <v>101</v>
      </c>
      <c r="F1174" s="77" t="s">
        <v>73</v>
      </c>
      <c r="G1174" s="77" t="s">
        <v>74</v>
      </c>
      <c r="H1174" s="77" t="s">
        <v>112</v>
      </c>
      <c r="I1174" s="77" t="s">
        <v>84</v>
      </c>
      <c r="J1174" s="76" cm="1">
        <f t="array" ref="J1174:J1176">'SUT_EU27 total'!$R$100:$R$102</f>
        <v>0</v>
      </c>
    </row>
    <row r="1175" spans="1:10" x14ac:dyDescent="0.35">
      <c r="A1175" t="s">
        <v>13</v>
      </c>
      <c r="B1175" t="s">
        <v>37</v>
      </c>
      <c r="C1175" s="77" t="s">
        <v>92</v>
      </c>
      <c r="D1175" t="s">
        <v>81</v>
      </c>
      <c r="E1175" s="77" t="s">
        <v>104</v>
      </c>
      <c r="F1175" s="77" t="s">
        <v>73</v>
      </c>
      <c r="G1175" s="77" t="s">
        <v>74</v>
      </c>
      <c r="H1175" s="77" t="s">
        <v>112</v>
      </c>
      <c r="I1175" s="77" t="s">
        <v>84</v>
      </c>
      <c r="J1175" s="76">
        <v>0</v>
      </c>
    </row>
    <row r="1176" spans="1:10" x14ac:dyDescent="0.35">
      <c r="A1176" t="s">
        <v>13</v>
      </c>
      <c r="B1176" t="s">
        <v>37</v>
      </c>
      <c r="C1176" s="77" t="s">
        <v>92</v>
      </c>
      <c r="D1176" t="s">
        <v>81</v>
      </c>
      <c r="E1176" s="77" t="s">
        <v>106</v>
      </c>
      <c r="F1176" s="77" t="s">
        <v>73</v>
      </c>
      <c r="G1176" s="77" t="s">
        <v>74</v>
      </c>
      <c r="H1176" s="77" t="s">
        <v>112</v>
      </c>
      <c r="I1176" s="77" t="s">
        <v>84</v>
      </c>
      <c r="J1176" s="76">
        <v>0</v>
      </c>
    </row>
    <row r="1177" spans="1:10" x14ac:dyDescent="0.35">
      <c r="A1177" t="s">
        <v>13</v>
      </c>
      <c r="B1177" t="s">
        <v>37</v>
      </c>
      <c r="C1177" s="77" t="s">
        <v>93</v>
      </c>
      <c r="D1177" t="s">
        <v>81</v>
      </c>
      <c r="E1177" s="77" t="s">
        <v>131</v>
      </c>
      <c r="F1177" s="77" t="s">
        <v>73</v>
      </c>
      <c r="G1177" s="77" t="s">
        <v>74</v>
      </c>
      <c r="H1177" s="77" t="s">
        <v>112</v>
      </c>
      <c r="I1177" s="77" t="s">
        <v>84</v>
      </c>
      <c r="J1177" s="76">
        <f>'SUT_EU27 total'!$R$109</f>
        <v>0</v>
      </c>
    </row>
    <row r="1178" spans="1:10" x14ac:dyDescent="0.35">
      <c r="A1178" t="s">
        <v>13</v>
      </c>
      <c r="B1178" t="s">
        <v>37</v>
      </c>
      <c r="C1178" s="77" t="s">
        <v>93</v>
      </c>
      <c r="D1178" t="s">
        <v>81</v>
      </c>
      <c r="E1178" s="77" t="s">
        <v>122</v>
      </c>
      <c r="F1178" s="77" t="s">
        <v>73</v>
      </c>
      <c r="G1178" s="77" t="s">
        <v>74</v>
      </c>
      <c r="H1178" s="77" t="s">
        <v>112</v>
      </c>
      <c r="I1178" s="77" t="s">
        <v>84</v>
      </c>
      <c r="J1178" s="76">
        <f>'SUT_EU27 total'!$R$115</f>
        <v>2.188358424259166E-3</v>
      </c>
    </row>
    <row r="1179" spans="1:10" x14ac:dyDescent="0.35">
      <c r="A1179" t="s">
        <v>13</v>
      </c>
      <c r="B1179" t="s">
        <v>37</v>
      </c>
      <c r="C1179" s="77" t="s">
        <v>93</v>
      </c>
      <c r="D1179" t="s">
        <v>81</v>
      </c>
      <c r="E1179" s="77" t="s">
        <v>101</v>
      </c>
      <c r="F1179" s="77" t="s">
        <v>73</v>
      </c>
      <c r="G1179" s="77" t="s">
        <v>74</v>
      </c>
      <c r="H1179" s="77" t="s">
        <v>112</v>
      </c>
      <c r="I1179" s="77" t="s">
        <v>84</v>
      </c>
      <c r="J1179" s="76" cm="1">
        <f t="array" ref="J1179:J1181">'SUT_EU27 total'!$R$117:$R$119</f>
        <v>0</v>
      </c>
    </row>
    <row r="1180" spans="1:10" x14ac:dyDescent="0.35">
      <c r="A1180" t="s">
        <v>13</v>
      </c>
      <c r="B1180" t="s">
        <v>37</v>
      </c>
      <c r="C1180" s="77" t="s">
        <v>93</v>
      </c>
      <c r="D1180" t="s">
        <v>81</v>
      </c>
      <c r="E1180" s="77" t="s">
        <v>104</v>
      </c>
      <c r="F1180" s="77" t="s">
        <v>73</v>
      </c>
      <c r="G1180" s="77" t="s">
        <v>74</v>
      </c>
      <c r="H1180" s="77" t="s">
        <v>112</v>
      </c>
      <c r="I1180" s="77" t="s">
        <v>84</v>
      </c>
      <c r="J1180" s="76">
        <v>0</v>
      </c>
    </row>
    <row r="1181" spans="1:10" x14ac:dyDescent="0.35">
      <c r="A1181" t="s">
        <v>13</v>
      </c>
      <c r="B1181" t="s">
        <v>37</v>
      </c>
      <c r="C1181" s="77" t="s">
        <v>93</v>
      </c>
      <c r="D1181" t="s">
        <v>81</v>
      </c>
      <c r="E1181" s="77" t="s">
        <v>106</v>
      </c>
      <c r="F1181" s="77" t="s">
        <v>73</v>
      </c>
      <c r="G1181" s="77" t="s">
        <v>74</v>
      </c>
      <c r="H1181" s="77" t="s">
        <v>112</v>
      </c>
      <c r="I1181" s="77" t="s">
        <v>84</v>
      </c>
      <c r="J1181" s="76">
        <v>0</v>
      </c>
    </row>
    <row r="1182" spans="1:10" x14ac:dyDescent="0.35">
      <c r="A1182" t="s">
        <v>13</v>
      </c>
      <c r="B1182" t="s">
        <v>37</v>
      </c>
      <c r="C1182" s="77" t="s">
        <v>73</v>
      </c>
      <c r="D1182" t="s">
        <v>81</v>
      </c>
      <c r="E1182" s="77" t="s">
        <v>131</v>
      </c>
      <c r="F1182" s="77" t="s">
        <v>73</v>
      </c>
      <c r="G1182" s="77" t="s">
        <v>74</v>
      </c>
      <c r="H1182" s="77" t="s">
        <v>113</v>
      </c>
      <c r="I1182" s="77" t="s">
        <v>84</v>
      </c>
      <c r="J1182" s="76">
        <f>'SUT_EU27 total'!$S$24</f>
        <v>5.0294789999999994E-8</v>
      </c>
    </row>
    <row r="1183" spans="1:10" x14ac:dyDescent="0.35">
      <c r="A1183" t="s">
        <v>13</v>
      </c>
      <c r="B1183" t="s">
        <v>37</v>
      </c>
      <c r="C1183" s="77" t="s">
        <v>73</v>
      </c>
      <c r="D1183" t="s">
        <v>81</v>
      </c>
      <c r="E1183" s="77" t="s">
        <v>101</v>
      </c>
      <c r="F1183" s="77" t="s">
        <v>73</v>
      </c>
      <c r="G1183" s="77" t="s">
        <v>74</v>
      </c>
      <c r="H1183" s="77" t="s">
        <v>113</v>
      </c>
      <c r="I1183" s="77" t="s">
        <v>84</v>
      </c>
      <c r="J1183" s="76" cm="1">
        <f t="array" ref="J1183:J1185">'SUT_EU27 total'!$S$32:$S$34</f>
        <v>1.7883556705882356E-5</v>
      </c>
    </row>
    <row r="1184" spans="1:10" x14ac:dyDescent="0.35">
      <c r="A1184" t="s">
        <v>13</v>
      </c>
      <c r="B1184" t="s">
        <v>37</v>
      </c>
      <c r="C1184" s="77" t="s">
        <v>73</v>
      </c>
      <c r="D1184" t="s">
        <v>81</v>
      </c>
      <c r="E1184" s="77" t="s">
        <v>104</v>
      </c>
      <c r="F1184" s="77" t="s">
        <v>73</v>
      </c>
      <c r="G1184" s="77" t="s">
        <v>74</v>
      </c>
      <c r="H1184" s="77" t="s">
        <v>113</v>
      </c>
      <c r="I1184" s="77" t="s">
        <v>84</v>
      </c>
      <c r="J1184" s="76">
        <v>3.3860913882352942E-5</v>
      </c>
    </row>
    <row r="1185" spans="1:10" x14ac:dyDescent="0.35">
      <c r="A1185" t="s">
        <v>13</v>
      </c>
      <c r="B1185" t="s">
        <v>37</v>
      </c>
      <c r="C1185" s="77" t="s">
        <v>73</v>
      </c>
      <c r="D1185" t="s">
        <v>81</v>
      </c>
      <c r="E1185" s="77" t="s">
        <v>106</v>
      </c>
      <c r="F1185" s="77" t="s">
        <v>73</v>
      </c>
      <c r="G1185" s="77" t="s">
        <v>74</v>
      </c>
      <c r="H1185" s="77" t="s">
        <v>113</v>
      </c>
      <c r="I1185" s="77" t="s">
        <v>84</v>
      </c>
      <c r="J1185" s="76">
        <v>1.1517317647058823E-4</v>
      </c>
    </row>
    <row r="1186" spans="1:10" x14ac:dyDescent="0.35">
      <c r="A1186" t="s">
        <v>13</v>
      </c>
      <c r="B1186" t="s">
        <v>37</v>
      </c>
      <c r="C1186" s="77" t="s">
        <v>88</v>
      </c>
      <c r="D1186" t="s">
        <v>81</v>
      </c>
      <c r="E1186" s="77" t="s">
        <v>131</v>
      </c>
      <c r="F1186" s="77" t="s">
        <v>73</v>
      </c>
      <c r="G1186" s="77" t="s">
        <v>74</v>
      </c>
      <c r="H1186" s="77" t="s">
        <v>113</v>
      </c>
      <c r="I1186" s="77" t="s">
        <v>84</v>
      </c>
      <c r="J1186" s="76">
        <f>'SUT_EU27 total'!$S$41</f>
        <v>0</v>
      </c>
    </row>
    <row r="1187" spans="1:10" x14ac:dyDescent="0.35">
      <c r="A1187" t="s">
        <v>13</v>
      </c>
      <c r="B1187" t="s">
        <v>37</v>
      </c>
      <c r="C1187" s="77" t="s">
        <v>88</v>
      </c>
      <c r="D1187" t="s">
        <v>81</v>
      </c>
      <c r="E1187" s="77" t="s">
        <v>101</v>
      </c>
      <c r="F1187" s="77" t="s">
        <v>73</v>
      </c>
      <c r="G1187" s="77" t="s">
        <v>74</v>
      </c>
      <c r="H1187" s="77" t="s">
        <v>113</v>
      </c>
      <c r="I1187" s="77" t="s">
        <v>84</v>
      </c>
      <c r="J1187" s="76" cm="1">
        <f t="array" ref="J1187:J1189">'SUT_EU27 total'!$S$49:$S$51</f>
        <v>0</v>
      </c>
    </row>
    <row r="1188" spans="1:10" x14ac:dyDescent="0.35">
      <c r="A1188" t="s">
        <v>13</v>
      </c>
      <c r="B1188" t="s">
        <v>37</v>
      </c>
      <c r="C1188" s="77" t="s">
        <v>88</v>
      </c>
      <c r="D1188" t="s">
        <v>81</v>
      </c>
      <c r="E1188" s="77" t="s">
        <v>104</v>
      </c>
      <c r="F1188" s="77" t="s">
        <v>73</v>
      </c>
      <c r="G1188" s="77" t="s">
        <v>74</v>
      </c>
      <c r="H1188" s="77" t="s">
        <v>113</v>
      </c>
      <c r="I1188" s="77" t="s">
        <v>84</v>
      </c>
      <c r="J1188" s="76">
        <v>0</v>
      </c>
    </row>
    <row r="1189" spans="1:10" x14ac:dyDescent="0.35">
      <c r="A1189" t="s">
        <v>13</v>
      </c>
      <c r="B1189" t="s">
        <v>37</v>
      </c>
      <c r="C1189" s="77" t="s">
        <v>88</v>
      </c>
      <c r="D1189" t="s">
        <v>81</v>
      </c>
      <c r="E1189" s="77" t="s">
        <v>106</v>
      </c>
      <c r="F1189" s="77" t="s">
        <v>73</v>
      </c>
      <c r="G1189" s="77" t="s">
        <v>74</v>
      </c>
      <c r="H1189" s="77" t="s">
        <v>113</v>
      </c>
      <c r="I1189" s="77" t="s">
        <v>84</v>
      </c>
      <c r="J1189" s="76">
        <v>0</v>
      </c>
    </row>
    <row r="1190" spans="1:10" x14ac:dyDescent="0.35">
      <c r="A1190" t="s">
        <v>13</v>
      </c>
      <c r="B1190" t="s">
        <v>37</v>
      </c>
      <c r="C1190" s="77" t="s">
        <v>90</v>
      </c>
      <c r="D1190" t="s">
        <v>81</v>
      </c>
      <c r="E1190" s="77" t="s">
        <v>131</v>
      </c>
      <c r="F1190" s="77" t="s">
        <v>73</v>
      </c>
      <c r="G1190" s="77" t="s">
        <v>74</v>
      </c>
      <c r="H1190" s="77" t="s">
        <v>113</v>
      </c>
      <c r="I1190" s="77" t="s">
        <v>84</v>
      </c>
      <c r="J1190" s="76">
        <f>'SUT_EU27 total'!$S$58</f>
        <v>0</v>
      </c>
    </row>
    <row r="1191" spans="1:10" x14ac:dyDescent="0.35">
      <c r="A1191" t="s">
        <v>13</v>
      </c>
      <c r="B1191" t="s">
        <v>37</v>
      </c>
      <c r="C1191" s="77" t="s">
        <v>90</v>
      </c>
      <c r="D1191" t="s">
        <v>81</v>
      </c>
      <c r="E1191" s="77" t="s">
        <v>101</v>
      </c>
      <c r="F1191" s="77" t="s">
        <v>73</v>
      </c>
      <c r="G1191" s="77" t="s">
        <v>74</v>
      </c>
      <c r="H1191" s="77" t="s">
        <v>113</v>
      </c>
      <c r="I1191" s="77" t="s">
        <v>84</v>
      </c>
      <c r="J1191" s="76" cm="1">
        <f t="array" ref="J1191:J1193">'SUT_EU27 total'!$S$66:$S$68</f>
        <v>0</v>
      </c>
    </row>
    <row r="1192" spans="1:10" x14ac:dyDescent="0.35">
      <c r="A1192" t="s">
        <v>13</v>
      </c>
      <c r="B1192" t="s">
        <v>37</v>
      </c>
      <c r="C1192" s="77" t="s">
        <v>90</v>
      </c>
      <c r="D1192" t="s">
        <v>81</v>
      </c>
      <c r="E1192" s="77" t="s">
        <v>104</v>
      </c>
      <c r="F1192" s="77" t="s">
        <v>73</v>
      </c>
      <c r="G1192" s="77" t="s">
        <v>74</v>
      </c>
      <c r="H1192" s="77" t="s">
        <v>113</v>
      </c>
      <c r="I1192" s="77" t="s">
        <v>84</v>
      </c>
      <c r="J1192" s="76">
        <v>0</v>
      </c>
    </row>
    <row r="1193" spans="1:10" x14ac:dyDescent="0.35">
      <c r="A1193" t="s">
        <v>13</v>
      </c>
      <c r="B1193" t="s">
        <v>37</v>
      </c>
      <c r="C1193" s="77" t="s">
        <v>90</v>
      </c>
      <c r="D1193" t="s">
        <v>81</v>
      </c>
      <c r="E1193" s="77" t="s">
        <v>106</v>
      </c>
      <c r="F1193" s="77" t="s">
        <v>73</v>
      </c>
      <c r="G1193" s="77" t="s">
        <v>74</v>
      </c>
      <c r="H1193" s="77" t="s">
        <v>113</v>
      </c>
      <c r="I1193" s="77" t="s">
        <v>84</v>
      </c>
      <c r="J1193" s="76">
        <v>0</v>
      </c>
    </row>
    <row r="1194" spans="1:10" x14ac:dyDescent="0.35">
      <c r="A1194" t="s">
        <v>13</v>
      </c>
      <c r="B1194" t="s">
        <v>37</v>
      </c>
      <c r="C1194" s="77" t="s">
        <v>91</v>
      </c>
      <c r="D1194" t="s">
        <v>81</v>
      </c>
      <c r="E1194" s="77" t="s">
        <v>131</v>
      </c>
      <c r="F1194" s="77" t="s">
        <v>73</v>
      </c>
      <c r="G1194" s="77" t="s">
        <v>74</v>
      </c>
      <c r="H1194" s="77" t="s">
        <v>113</v>
      </c>
      <c r="I1194" s="77" t="s">
        <v>84</v>
      </c>
      <c r="J1194" s="76">
        <f>'SUT_EU27 total'!$S$75</f>
        <v>0</v>
      </c>
    </row>
    <row r="1195" spans="1:10" x14ac:dyDescent="0.35">
      <c r="A1195" t="s">
        <v>13</v>
      </c>
      <c r="B1195" t="s">
        <v>37</v>
      </c>
      <c r="C1195" s="77" t="s">
        <v>91</v>
      </c>
      <c r="D1195" t="s">
        <v>81</v>
      </c>
      <c r="E1195" s="77" t="s">
        <v>101</v>
      </c>
      <c r="F1195" s="77" t="s">
        <v>73</v>
      </c>
      <c r="G1195" s="77" t="s">
        <v>74</v>
      </c>
      <c r="H1195" s="77" t="s">
        <v>113</v>
      </c>
      <c r="I1195" s="77" t="s">
        <v>84</v>
      </c>
      <c r="J1195" s="76" cm="1">
        <f t="array" ref="J1195:J1197">'SUT_EU27 total'!$S$83:$S$85</f>
        <v>0</v>
      </c>
    </row>
    <row r="1196" spans="1:10" x14ac:dyDescent="0.35">
      <c r="A1196" t="s">
        <v>13</v>
      </c>
      <c r="B1196" t="s">
        <v>37</v>
      </c>
      <c r="C1196" s="77" t="s">
        <v>91</v>
      </c>
      <c r="D1196" t="s">
        <v>81</v>
      </c>
      <c r="E1196" s="77" t="s">
        <v>104</v>
      </c>
      <c r="F1196" s="77" t="s">
        <v>73</v>
      </c>
      <c r="G1196" s="77" t="s">
        <v>74</v>
      </c>
      <c r="H1196" s="77" t="s">
        <v>113</v>
      </c>
      <c r="I1196" s="77" t="s">
        <v>84</v>
      </c>
      <c r="J1196" s="76">
        <v>0</v>
      </c>
    </row>
    <row r="1197" spans="1:10" x14ac:dyDescent="0.35">
      <c r="A1197" t="s">
        <v>13</v>
      </c>
      <c r="B1197" t="s">
        <v>37</v>
      </c>
      <c r="C1197" s="77" t="s">
        <v>91</v>
      </c>
      <c r="D1197" t="s">
        <v>81</v>
      </c>
      <c r="E1197" s="77" t="s">
        <v>106</v>
      </c>
      <c r="F1197" s="77" t="s">
        <v>73</v>
      </c>
      <c r="G1197" s="77" t="s">
        <v>74</v>
      </c>
      <c r="H1197" s="77" t="s">
        <v>113</v>
      </c>
      <c r="I1197" s="77" t="s">
        <v>84</v>
      </c>
      <c r="J1197" s="76">
        <v>0</v>
      </c>
    </row>
    <row r="1198" spans="1:10" x14ac:dyDescent="0.35">
      <c r="A1198" t="s">
        <v>13</v>
      </c>
      <c r="B1198" t="s">
        <v>37</v>
      </c>
      <c r="C1198" s="77" t="s">
        <v>92</v>
      </c>
      <c r="D1198" t="s">
        <v>81</v>
      </c>
      <c r="E1198" s="77" t="s">
        <v>131</v>
      </c>
      <c r="F1198" s="77" t="s">
        <v>73</v>
      </c>
      <c r="G1198" s="77" t="s">
        <v>74</v>
      </c>
      <c r="H1198" s="77" t="s">
        <v>113</v>
      </c>
      <c r="I1198" s="77" t="s">
        <v>84</v>
      </c>
      <c r="J1198" s="76">
        <f>'SUT_EU27 total'!$S$92</f>
        <v>0</v>
      </c>
    </row>
    <row r="1199" spans="1:10" x14ac:dyDescent="0.35">
      <c r="A1199" t="s">
        <v>13</v>
      </c>
      <c r="B1199" t="s">
        <v>37</v>
      </c>
      <c r="C1199" s="77" t="s">
        <v>92</v>
      </c>
      <c r="D1199" t="s">
        <v>81</v>
      </c>
      <c r="E1199" s="77" t="s">
        <v>101</v>
      </c>
      <c r="F1199" s="77" t="s">
        <v>73</v>
      </c>
      <c r="G1199" s="77" t="s">
        <v>74</v>
      </c>
      <c r="H1199" s="77" t="s">
        <v>113</v>
      </c>
      <c r="I1199" s="77" t="s">
        <v>84</v>
      </c>
      <c r="J1199" s="76" cm="1">
        <f t="array" ref="J1199:J1201">'SUT_EU27 total'!$S$100:$S$102</f>
        <v>0</v>
      </c>
    </row>
    <row r="1200" spans="1:10" x14ac:dyDescent="0.35">
      <c r="A1200" t="s">
        <v>13</v>
      </c>
      <c r="B1200" t="s">
        <v>37</v>
      </c>
      <c r="C1200" s="77" t="s">
        <v>92</v>
      </c>
      <c r="D1200" t="s">
        <v>81</v>
      </c>
      <c r="E1200" s="77" t="s">
        <v>104</v>
      </c>
      <c r="F1200" s="77" t="s">
        <v>73</v>
      </c>
      <c r="G1200" s="77" t="s">
        <v>74</v>
      </c>
      <c r="H1200" s="77" t="s">
        <v>113</v>
      </c>
      <c r="I1200" s="77" t="s">
        <v>84</v>
      </c>
      <c r="J1200" s="76">
        <v>0</v>
      </c>
    </row>
    <row r="1201" spans="1:10" x14ac:dyDescent="0.35">
      <c r="A1201" t="s">
        <v>13</v>
      </c>
      <c r="B1201" t="s">
        <v>37</v>
      </c>
      <c r="C1201" s="77" t="s">
        <v>92</v>
      </c>
      <c r="D1201" t="s">
        <v>81</v>
      </c>
      <c r="E1201" s="77" t="s">
        <v>106</v>
      </c>
      <c r="F1201" s="77" t="s">
        <v>73</v>
      </c>
      <c r="G1201" s="77" t="s">
        <v>74</v>
      </c>
      <c r="H1201" s="77" t="s">
        <v>113</v>
      </c>
      <c r="I1201" s="77" t="s">
        <v>84</v>
      </c>
      <c r="J1201" s="76">
        <v>0</v>
      </c>
    </row>
    <row r="1202" spans="1:10" x14ac:dyDescent="0.35">
      <c r="A1202" t="s">
        <v>13</v>
      </c>
      <c r="B1202" t="s">
        <v>37</v>
      </c>
      <c r="C1202" s="77" t="s">
        <v>93</v>
      </c>
      <c r="D1202" t="s">
        <v>81</v>
      </c>
      <c r="E1202" s="77" t="s">
        <v>131</v>
      </c>
      <c r="F1202" s="77" t="s">
        <v>73</v>
      </c>
      <c r="G1202" s="77" t="s">
        <v>74</v>
      </c>
      <c r="H1202" s="77" t="s">
        <v>113</v>
      </c>
      <c r="I1202" s="77" t="s">
        <v>84</v>
      </c>
      <c r="J1202" s="76">
        <f>'SUT_EU27 total'!$S$109</f>
        <v>0</v>
      </c>
    </row>
    <row r="1203" spans="1:10" x14ac:dyDescent="0.35">
      <c r="A1203" t="s">
        <v>13</v>
      </c>
      <c r="B1203" t="s">
        <v>37</v>
      </c>
      <c r="C1203" s="77" t="s">
        <v>93</v>
      </c>
      <c r="D1203" t="s">
        <v>81</v>
      </c>
      <c r="E1203" s="77" t="s">
        <v>101</v>
      </c>
      <c r="F1203" s="77" t="s">
        <v>73</v>
      </c>
      <c r="G1203" s="77" t="s">
        <v>74</v>
      </c>
      <c r="H1203" s="77" t="s">
        <v>113</v>
      </c>
      <c r="I1203" s="77" t="s">
        <v>84</v>
      </c>
      <c r="J1203" s="76" cm="1">
        <f t="array" ref="J1203:J1205">'SUT_EU27 total'!$S$117:$S$119</f>
        <v>0</v>
      </c>
    </row>
    <row r="1204" spans="1:10" x14ac:dyDescent="0.35">
      <c r="A1204" t="s">
        <v>13</v>
      </c>
      <c r="B1204" t="s">
        <v>37</v>
      </c>
      <c r="C1204" s="77" t="s">
        <v>93</v>
      </c>
      <c r="D1204" t="s">
        <v>81</v>
      </c>
      <c r="E1204" s="77" t="s">
        <v>104</v>
      </c>
      <c r="F1204" s="77" t="s">
        <v>73</v>
      </c>
      <c r="G1204" s="77" t="s">
        <v>74</v>
      </c>
      <c r="H1204" s="77" t="s">
        <v>113</v>
      </c>
      <c r="I1204" s="77" t="s">
        <v>84</v>
      </c>
      <c r="J1204" s="76">
        <v>0</v>
      </c>
    </row>
    <row r="1205" spans="1:10" x14ac:dyDescent="0.35">
      <c r="A1205" t="s">
        <v>13</v>
      </c>
      <c r="B1205" t="s">
        <v>37</v>
      </c>
      <c r="C1205" s="77" t="s">
        <v>93</v>
      </c>
      <c r="D1205" t="s">
        <v>81</v>
      </c>
      <c r="E1205" s="77" t="s">
        <v>106</v>
      </c>
      <c r="F1205" s="77" t="s">
        <v>73</v>
      </c>
      <c r="G1205" s="77" t="s">
        <v>74</v>
      </c>
      <c r="H1205" s="77" t="s">
        <v>113</v>
      </c>
      <c r="I1205" s="77" t="s">
        <v>84</v>
      </c>
      <c r="J1205" s="76">
        <v>0</v>
      </c>
    </row>
    <row r="1206" spans="1:10" x14ac:dyDescent="0.35">
      <c r="A1206" t="s">
        <v>13</v>
      </c>
      <c r="B1206" t="s">
        <v>37</v>
      </c>
      <c r="C1206" s="77" t="s">
        <v>73</v>
      </c>
      <c r="D1206" t="s">
        <v>74</v>
      </c>
      <c r="E1206" s="77" t="s">
        <v>123</v>
      </c>
      <c r="F1206" s="77" t="s">
        <v>73</v>
      </c>
      <c r="G1206" s="77" t="s">
        <v>81</v>
      </c>
      <c r="H1206" s="77" t="s">
        <v>115</v>
      </c>
      <c r="I1206" s="77" t="s">
        <v>84</v>
      </c>
      <c r="J1206" s="76" cm="1">
        <f t="array" ref="J1206:J1212">TRANSPOSE('2030 pathways'!$C$8:$I$8)</f>
        <v>0.11799999999999999</v>
      </c>
    </row>
    <row r="1207" spans="1:10" x14ac:dyDescent="0.35">
      <c r="A1207" t="s">
        <v>13</v>
      </c>
      <c r="B1207" t="s">
        <v>37</v>
      </c>
      <c r="C1207" s="77" t="s">
        <v>73</v>
      </c>
      <c r="D1207" t="s">
        <v>74</v>
      </c>
      <c r="E1207" s="77" t="s">
        <v>127</v>
      </c>
      <c r="F1207" s="77" t="s">
        <v>73</v>
      </c>
      <c r="G1207" s="77" t="s">
        <v>81</v>
      </c>
      <c r="H1207" s="77" t="s">
        <v>115</v>
      </c>
      <c r="I1207" s="77" t="s">
        <v>84</v>
      </c>
      <c r="J1207" s="76">
        <v>1.18E-2</v>
      </c>
    </row>
    <row r="1208" spans="1:10" x14ac:dyDescent="0.35">
      <c r="A1208" t="s">
        <v>13</v>
      </c>
      <c r="B1208" t="s">
        <v>37</v>
      </c>
      <c r="C1208" s="77" t="s">
        <v>73</v>
      </c>
      <c r="D1208" t="s">
        <v>74</v>
      </c>
      <c r="E1208" s="77" t="s">
        <v>128</v>
      </c>
      <c r="F1208" s="77" t="s">
        <v>73</v>
      </c>
      <c r="G1208" s="77" t="s">
        <v>81</v>
      </c>
      <c r="H1208" s="77" t="s">
        <v>115</v>
      </c>
      <c r="I1208" s="77" t="s">
        <v>84</v>
      </c>
      <c r="J1208" s="76">
        <v>2.3599999999999999E-2</v>
      </c>
    </row>
    <row r="1209" spans="1:10" x14ac:dyDescent="0.35">
      <c r="A1209" t="s">
        <v>13</v>
      </c>
      <c r="B1209" t="s">
        <v>37</v>
      </c>
      <c r="C1209" s="77" t="s">
        <v>73</v>
      </c>
      <c r="D1209" t="s">
        <v>74</v>
      </c>
      <c r="E1209" s="77" t="s">
        <v>129</v>
      </c>
      <c r="F1209" s="77" t="s">
        <v>73</v>
      </c>
      <c r="G1209" s="77" t="s">
        <v>81</v>
      </c>
      <c r="H1209" s="77" t="s">
        <v>115</v>
      </c>
      <c r="I1209" s="77" t="s">
        <v>84</v>
      </c>
      <c r="J1209" s="76">
        <v>6.4899999999999999E-2</v>
      </c>
    </row>
    <row r="1210" spans="1:10" x14ac:dyDescent="0.35">
      <c r="A1210" t="s">
        <v>13</v>
      </c>
      <c r="B1210" t="s">
        <v>37</v>
      </c>
      <c r="C1210" s="77" t="s">
        <v>73</v>
      </c>
      <c r="D1210" t="s">
        <v>74</v>
      </c>
      <c r="E1210" s="77" t="s">
        <v>77</v>
      </c>
      <c r="F1210" s="77" t="s">
        <v>73</v>
      </c>
      <c r="G1210" s="77" t="s">
        <v>81</v>
      </c>
      <c r="H1210" s="77" t="s">
        <v>115</v>
      </c>
      <c r="I1210" s="77" t="s">
        <v>84</v>
      </c>
      <c r="J1210" s="76">
        <v>4.1300000000000003E-2</v>
      </c>
    </row>
    <row r="1211" spans="1:10" x14ac:dyDescent="0.35">
      <c r="A1211" t="s">
        <v>13</v>
      </c>
      <c r="B1211" t="s">
        <v>37</v>
      </c>
      <c r="C1211" s="77" t="s">
        <v>73</v>
      </c>
      <c r="D1211" t="s">
        <v>74</v>
      </c>
      <c r="E1211" s="77" t="s">
        <v>130</v>
      </c>
      <c r="F1211" s="77" t="s">
        <v>73</v>
      </c>
      <c r="G1211" s="77" t="s">
        <v>81</v>
      </c>
      <c r="H1211" s="77" t="s">
        <v>115</v>
      </c>
      <c r="I1211" s="77" t="s">
        <v>84</v>
      </c>
      <c r="J1211" s="76">
        <v>0.33040000000000003</v>
      </c>
    </row>
    <row r="1212" spans="1:10" x14ac:dyDescent="0.35">
      <c r="A1212" t="s">
        <v>13</v>
      </c>
      <c r="B1212" t="s">
        <v>37</v>
      </c>
      <c r="C1212" s="77" t="s">
        <v>73</v>
      </c>
      <c r="D1212" t="s">
        <v>74</v>
      </c>
      <c r="E1212" s="77" t="s">
        <v>132</v>
      </c>
      <c r="F1212" s="77" t="s">
        <v>73</v>
      </c>
      <c r="G1212" s="77" t="s">
        <v>81</v>
      </c>
      <c r="H1212" s="77" t="s">
        <v>115</v>
      </c>
      <c r="I1212" s="77" t="s">
        <v>84</v>
      </c>
      <c r="J1212" s="76">
        <v>0.41</v>
      </c>
    </row>
    <row r="1213" spans="1:10" x14ac:dyDescent="0.35">
      <c r="A1213" t="s">
        <v>13</v>
      </c>
      <c r="B1213" t="s">
        <v>37</v>
      </c>
      <c r="C1213" s="77" t="s">
        <v>73</v>
      </c>
      <c r="D1213" t="s">
        <v>74</v>
      </c>
      <c r="E1213" s="77" t="s">
        <v>133</v>
      </c>
      <c r="F1213" s="77" t="s">
        <v>73</v>
      </c>
      <c r="G1213" s="77" t="s">
        <v>81</v>
      </c>
      <c r="H1213" s="77" t="s">
        <v>115</v>
      </c>
      <c r="I1213" s="77" t="s">
        <v>84</v>
      </c>
      <c r="J1213" s="76">
        <v>0</v>
      </c>
    </row>
    <row r="1214" spans="1:10" s="365" customFormat="1" x14ac:dyDescent="0.35">
      <c r="A1214" s="470" t="s">
        <v>13</v>
      </c>
      <c r="B1214" s="470" t="s">
        <v>38</v>
      </c>
      <c r="C1214" s="482" t="s">
        <v>73</v>
      </c>
      <c r="D1214" s="470" t="s">
        <v>81</v>
      </c>
      <c r="E1214" s="482" t="s">
        <v>115</v>
      </c>
      <c r="F1214" s="482" t="s">
        <v>73</v>
      </c>
      <c r="G1214" s="482" t="s">
        <v>74</v>
      </c>
      <c r="H1214" s="482" t="s">
        <v>102</v>
      </c>
      <c r="I1214" s="482" t="s">
        <v>84</v>
      </c>
      <c r="J1214" s="483" cm="1">
        <f t="array" ref="J1214:J1215">'SUT_EU27 total'!$J$19:$J$20</f>
        <v>11.828571428571427</v>
      </c>
    </row>
    <row r="1215" spans="1:10" x14ac:dyDescent="0.35">
      <c r="A1215" t="s">
        <v>13</v>
      </c>
      <c r="B1215" t="s">
        <v>38</v>
      </c>
      <c r="C1215" s="77" t="s">
        <v>73</v>
      </c>
      <c r="D1215" t="s">
        <v>81</v>
      </c>
      <c r="E1215" s="77" t="s">
        <v>116</v>
      </c>
      <c r="F1215" s="77" t="s">
        <v>73</v>
      </c>
      <c r="G1215" s="77" t="s">
        <v>74</v>
      </c>
      <c r="H1215" s="77" t="s">
        <v>102</v>
      </c>
      <c r="I1215" s="77" t="s">
        <v>84</v>
      </c>
      <c r="J1215" s="76">
        <v>3.3421988920214002E-2</v>
      </c>
    </row>
    <row r="1216" spans="1:10" x14ac:dyDescent="0.35">
      <c r="A1216" t="s">
        <v>13</v>
      </c>
      <c r="B1216" t="s">
        <v>38</v>
      </c>
      <c r="C1216" s="77" t="s">
        <v>73</v>
      </c>
      <c r="D1216" t="s">
        <v>81</v>
      </c>
      <c r="E1216" s="77" t="s">
        <v>117</v>
      </c>
      <c r="F1216" s="77" t="s">
        <v>73</v>
      </c>
      <c r="G1216" s="77" t="s">
        <v>74</v>
      </c>
      <c r="H1216" s="77" t="s">
        <v>102</v>
      </c>
      <c r="I1216" s="77" t="s">
        <v>84</v>
      </c>
      <c r="J1216" s="76">
        <f>'SUT_EU27 total'!$J$27</f>
        <v>20.996100000000002</v>
      </c>
    </row>
    <row r="1217" spans="1:10" x14ac:dyDescent="0.35">
      <c r="A1217" t="s">
        <v>13</v>
      </c>
      <c r="B1217" t="s">
        <v>38</v>
      </c>
      <c r="C1217" s="77" t="s">
        <v>73</v>
      </c>
      <c r="D1217" t="s">
        <v>81</v>
      </c>
      <c r="E1217" s="77" t="s">
        <v>101</v>
      </c>
      <c r="F1217" s="77" t="s">
        <v>73</v>
      </c>
      <c r="G1217" s="77" t="s">
        <v>74</v>
      </c>
      <c r="H1217" s="77" t="s">
        <v>102</v>
      </c>
      <c r="I1217" s="77" t="s">
        <v>84</v>
      </c>
      <c r="J1217" s="76" cm="1">
        <f t="array" ref="J1217:J1219">'SUT_EU27 total'!$J$32:$J$34</f>
        <v>0.13437998483817604</v>
      </c>
    </row>
    <row r="1218" spans="1:10" x14ac:dyDescent="0.35">
      <c r="A1218" t="s">
        <v>13</v>
      </c>
      <c r="B1218" t="s">
        <v>38</v>
      </c>
      <c r="C1218" s="77" t="s">
        <v>73</v>
      </c>
      <c r="D1218" t="s">
        <v>81</v>
      </c>
      <c r="E1218" s="77" t="s">
        <v>104</v>
      </c>
      <c r="F1218" s="77" t="s">
        <v>73</v>
      </c>
      <c r="G1218" s="77" t="s">
        <v>74</v>
      </c>
      <c r="H1218" s="77" t="s">
        <v>102</v>
      </c>
      <c r="I1218" s="77" t="s">
        <v>84</v>
      </c>
      <c r="J1218" s="76">
        <v>0.25443647306582401</v>
      </c>
    </row>
    <row r="1219" spans="1:10" x14ac:dyDescent="0.35">
      <c r="A1219" t="s">
        <v>13</v>
      </c>
      <c r="B1219" t="s">
        <v>38</v>
      </c>
      <c r="C1219" s="77" t="s">
        <v>73</v>
      </c>
      <c r="D1219" t="s">
        <v>81</v>
      </c>
      <c r="E1219" s="77" t="s">
        <v>106</v>
      </c>
      <c r="F1219" s="77" t="s">
        <v>73</v>
      </c>
      <c r="G1219" s="77" t="s">
        <v>74</v>
      </c>
      <c r="H1219" s="77" t="s">
        <v>102</v>
      </c>
      <c r="I1219" s="77" t="s">
        <v>84</v>
      </c>
      <c r="J1219" s="76">
        <v>0.86543018049599985</v>
      </c>
    </row>
    <row r="1220" spans="1:10" x14ac:dyDescent="0.35">
      <c r="A1220" t="s">
        <v>13</v>
      </c>
      <c r="B1220" t="s">
        <v>38</v>
      </c>
      <c r="C1220" s="77" t="s">
        <v>88</v>
      </c>
      <c r="D1220" t="s">
        <v>81</v>
      </c>
      <c r="E1220" s="77" t="s">
        <v>115</v>
      </c>
      <c r="F1220" s="77" t="s">
        <v>73</v>
      </c>
      <c r="G1220" s="77" t="s">
        <v>74</v>
      </c>
      <c r="H1220" s="77" t="s">
        <v>102</v>
      </c>
      <c r="I1220" s="77" t="s">
        <v>84</v>
      </c>
      <c r="J1220" s="76" cm="1">
        <f t="array" ref="J1220:J1221">'SUT_EU27 total'!$J$36:$J$37</f>
        <v>78.857142857142847</v>
      </c>
    </row>
    <row r="1221" spans="1:10" x14ac:dyDescent="0.35">
      <c r="A1221" t="s">
        <v>13</v>
      </c>
      <c r="B1221" t="s">
        <v>38</v>
      </c>
      <c r="C1221" s="77" t="s">
        <v>88</v>
      </c>
      <c r="D1221" t="s">
        <v>81</v>
      </c>
      <c r="E1221" s="77" t="s">
        <v>116</v>
      </c>
      <c r="F1221" s="77" t="s">
        <v>73</v>
      </c>
      <c r="G1221" s="77" t="s">
        <v>74</v>
      </c>
      <c r="H1221" s="77" t="s">
        <v>102</v>
      </c>
      <c r="I1221" s="77" t="s">
        <v>84</v>
      </c>
      <c r="J1221" s="76">
        <v>0.7862213561563367</v>
      </c>
    </row>
    <row r="1222" spans="1:10" x14ac:dyDescent="0.35">
      <c r="A1222" t="s">
        <v>13</v>
      </c>
      <c r="B1222" t="s">
        <v>38</v>
      </c>
      <c r="C1222" s="77" t="s">
        <v>88</v>
      </c>
      <c r="D1222" t="s">
        <v>81</v>
      </c>
      <c r="E1222" s="77" t="s">
        <v>117</v>
      </c>
      <c r="F1222" s="77" t="s">
        <v>73</v>
      </c>
      <c r="G1222" s="77" t="s">
        <v>74</v>
      </c>
      <c r="H1222" s="77" t="s">
        <v>102</v>
      </c>
      <c r="I1222" s="77" t="s">
        <v>84</v>
      </c>
      <c r="J1222" s="76">
        <f>'SUT_EU27 total'!$J$44</f>
        <v>286.26390000000004</v>
      </c>
    </row>
    <row r="1223" spans="1:10" x14ac:dyDescent="0.35">
      <c r="A1223" t="s">
        <v>13</v>
      </c>
      <c r="B1223" t="s">
        <v>38</v>
      </c>
      <c r="C1223" s="77" t="s">
        <v>88</v>
      </c>
      <c r="D1223" t="s">
        <v>81</v>
      </c>
      <c r="E1223" s="77" t="s">
        <v>101</v>
      </c>
      <c r="F1223" s="77" t="s">
        <v>73</v>
      </c>
      <c r="G1223" s="77" t="s">
        <v>74</v>
      </c>
      <c r="H1223" s="77" t="s">
        <v>102</v>
      </c>
      <c r="I1223" s="77" t="s">
        <v>84</v>
      </c>
      <c r="J1223" s="76" cm="1">
        <f t="array" ref="J1223:J1225">'SUT_EU27 total'!$J$49:$J$51</f>
        <v>0</v>
      </c>
    </row>
    <row r="1224" spans="1:10" x14ac:dyDescent="0.35">
      <c r="A1224" t="s">
        <v>13</v>
      </c>
      <c r="B1224" t="s">
        <v>38</v>
      </c>
      <c r="C1224" s="77" t="s">
        <v>88</v>
      </c>
      <c r="D1224" t="s">
        <v>81</v>
      </c>
      <c r="E1224" s="77" t="s">
        <v>104</v>
      </c>
      <c r="F1224" s="77" t="s">
        <v>73</v>
      </c>
      <c r="G1224" s="77" t="s">
        <v>74</v>
      </c>
      <c r="H1224" s="77" t="s">
        <v>102</v>
      </c>
      <c r="I1224" s="77" t="s">
        <v>84</v>
      </c>
      <c r="J1224" s="76">
        <v>0</v>
      </c>
    </row>
    <row r="1225" spans="1:10" x14ac:dyDescent="0.35">
      <c r="A1225" t="s">
        <v>13</v>
      </c>
      <c r="B1225" t="s">
        <v>38</v>
      </c>
      <c r="C1225" s="77" t="s">
        <v>88</v>
      </c>
      <c r="D1225" t="s">
        <v>81</v>
      </c>
      <c r="E1225" s="77" t="s">
        <v>106</v>
      </c>
      <c r="F1225" s="77" t="s">
        <v>73</v>
      </c>
      <c r="G1225" s="77" t="s">
        <v>74</v>
      </c>
      <c r="H1225" s="77" t="s">
        <v>102</v>
      </c>
      <c r="I1225" s="77" t="s">
        <v>84</v>
      </c>
      <c r="J1225" s="76">
        <v>0</v>
      </c>
    </row>
    <row r="1226" spans="1:10" x14ac:dyDescent="0.35">
      <c r="A1226" t="s">
        <v>13</v>
      </c>
      <c r="B1226" t="s">
        <v>38</v>
      </c>
      <c r="C1226" s="77" t="s">
        <v>90</v>
      </c>
      <c r="D1226" t="s">
        <v>81</v>
      </c>
      <c r="E1226" s="77" t="s">
        <v>115</v>
      </c>
      <c r="F1226" s="77" t="s">
        <v>73</v>
      </c>
      <c r="G1226" s="77" t="s">
        <v>74</v>
      </c>
      <c r="H1226" s="77" t="s">
        <v>102</v>
      </c>
      <c r="I1226" s="77" t="s">
        <v>84</v>
      </c>
      <c r="J1226" s="76" cm="1">
        <f t="array" ref="J1226:J1227">'SUT_EU27 total'!$J$53:$J$54</f>
        <v>7.7904761904761894</v>
      </c>
    </row>
    <row r="1227" spans="1:10" x14ac:dyDescent="0.35">
      <c r="A1227" t="s">
        <v>13</v>
      </c>
      <c r="B1227" t="s">
        <v>38</v>
      </c>
      <c r="C1227" s="77" t="s">
        <v>90</v>
      </c>
      <c r="D1227" t="s">
        <v>81</v>
      </c>
      <c r="E1227" s="77" t="s">
        <v>116</v>
      </c>
      <c r="F1227" s="77" t="s">
        <v>73</v>
      </c>
      <c r="G1227" s="77" t="s">
        <v>74</v>
      </c>
      <c r="H1227" s="77" t="s">
        <v>102</v>
      </c>
      <c r="I1227" s="77" t="s">
        <v>84</v>
      </c>
      <c r="J1227" s="76">
        <v>1.5473889063756709E-2</v>
      </c>
    </row>
    <row r="1228" spans="1:10" x14ac:dyDescent="0.35">
      <c r="A1228" t="s">
        <v>13</v>
      </c>
      <c r="B1228" t="s">
        <v>38</v>
      </c>
      <c r="C1228" s="77" t="s">
        <v>90</v>
      </c>
      <c r="D1228" t="s">
        <v>81</v>
      </c>
      <c r="E1228" s="77" t="s">
        <v>117</v>
      </c>
      <c r="F1228" s="77" t="s">
        <v>73</v>
      </c>
      <c r="G1228" s="77" t="s">
        <v>74</v>
      </c>
      <c r="H1228" s="77" t="s">
        <v>102</v>
      </c>
      <c r="I1228" s="77" t="s">
        <v>84</v>
      </c>
      <c r="J1228" s="76">
        <f>'SUT_EU27 total'!$J$61</f>
        <v>11.2662</v>
      </c>
    </row>
    <row r="1229" spans="1:10" x14ac:dyDescent="0.35">
      <c r="A1229" t="s">
        <v>13</v>
      </c>
      <c r="B1229" t="s">
        <v>38</v>
      </c>
      <c r="C1229" s="77" t="s">
        <v>90</v>
      </c>
      <c r="D1229" t="s">
        <v>81</v>
      </c>
      <c r="E1229" s="77" t="s">
        <v>101</v>
      </c>
      <c r="F1229" s="77" t="s">
        <v>73</v>
      </c>
      <c r="G1229" s="77" t="s">
        <v>74</v>
      </c>
      <c r="H1229" s="77" t="s">
        <v>102</v>
      </c>
      <c r="I1229" s="77" t="s">
        <v>84</v>
      </c>
      <c r="J1229" s="76" cm="1">
        <f t="array" ref="J1229:J1231">'SUT_EU27 total'!$J$66:$J$68</f>
        <v>0</v>
      </c>
    </row>
    <row r="1230" spans="1:10" x14ac:dyDescent="0.35">
      <c r="A1230" t="s">
        <v>13</v>
      </c>
      <c r="B1230" t="s">
        <v>38</v>
      </c>
      <c r="C1230" s="77" t="s">
        <v>90</v>
      </c>
      <c r="D1230" t="s">
        <v>81</v>
      </c>
      <c r="E1230" s="77" t="s">
        <v>104</v>
      </c>
      <c r="F1230" s="77" t="s">
        <v>73</v>
      </c>
      <c r="G1230" s="77" t="s">
        <v>74</v>
      </c>
      <c r="H1230" s="77" t="s">
        <v>102</v>
      </c>
      <c r="I1230" s="77" t="s">
        <v>84</v>
      </c>
      <c r="J1230" s="76">
        <v>0</v>
      </c>
    </row>
    <row r="1231" spans="1:10" x14ac:dyDescent="0.35">
      <c r="A1231" t="s">
        <v>13</v>
      </c>
      <c r="B1231" t="s">
        <v>38</v>
      </c>
      <c r="C1231" s="77" t="s">
        <v>90</v>
      </c>
      <c r="D1231" t="s">
        <v>81</v>
      </c>
      <c r="E1231" s="77" t="s">
        <v>106</v>
      </c>
      <c r="F1231" s="77" t="s">
        <v>73</v>
      </c>
      <c r="G1231" s="77" t="s">
        <v>74</v>
      </c>
      <c r="H1231" s="77" t="s">
        <v>102</v>
      </c>
      <c r="I1231" s="77" t="s">
        <v>84</v>
      </c>
      <c r="J1231" s="76">
        <v>0</v>
      </c>
    </row>
    <row r="1232" spans="1:10" x14ac:dyDescent="0.35">
      <c r="A1232" t="s">
        <v>13</v>
      </c>
      <c r="B1232" t="s">
        <v>38</v>
      </c>
      <c r="C1232" s="77" t="s">
        <v>91</v>
      </c>
      <c r="D1232" t="s">
        <v>81</v>
      </c>
      <c r="E1232" s="77" t="s">
        <v>115</v>
      </c>
      <c r="F1232" s="77" t="s">
        <v>73</v>
      </c>
      <c r="G1232" s="77" t="s">
        <v>74</v>
      </c>
      <c r="H1232" s="77" t="s">
        <v>102</v>
      </c>
      <c r="I1232" s="77" t="s">
        <v>84</v>
      </c>
      <c r="J1232" s="76" cm="1">
        <f t="array" ref="J1232:J1233">'SUT_EU27 total'!$J$70:$J$71</f>
        <v>15.771428571428569</v>
      </c>
    </row>
    <row r="1233" spans="1:10" x14ac:dyDescent="0.35">
      <c r="A1233" t="s">
        <v>13</v>
      </c>
      <c r="B1233" t="s">
        <v>38</v>
      </c>
      <c r="C1233" s="77" t="s">
        <v>91</v>
      </c>
      <c r="D1233" t="s">
        <v>81</v>
      </c>
      <c r="E1233" s="77" t="s">
        <v>116</v>
      </c>
      <c r="F1233" s="77" t="s">
        <v>73</v>
      </c>
      <c r="G1233" s="77" t="s">
        <v>74</v>
      </c>
      <c r="H1233" s="77" t="s">
        <v>102</v>
      </c>
      <c r="I1233" s="77" t="s">
        <v>84</v>
      </c>
      <c r="J1233" s="76">
        <v>8.7507175559917313E-2</v>
      </c>
    </row>
    <row r="1234" spans="1:10" x14ac:dyDescent="0.35">
      <c r="A1234" t="s">
        <v>13</v>
      </c>
      <c r="B1234" t="s">
        <v>38</v>
      </c>
      <c r="C1234" s="77" t="s">
        <v>91</v>
      </c>
      <c r="D1234" t="s">
        <v>81</v>
      </c>
      <c r="E1234" s="77" t="s">
        <v>117</v>
      </c>
      <c r="F1234" s="77" t="s">
        <v>73</v>
      </c>
      <c r="G1234" s="77" t="s">
        <v>74</v>
      </c>
      <c r="H1234" s="77" t="s">
        <v>102</v>
      </c>
      <c r="I1234" s="77" t="s">
        <v>84</v>
      </c>
      <c r="J1234" s="76">
        <f>'SUT_EU27 total'!$J$78</f>
        <v>41.4801</v>
      </c>
    </row>
    <row r="1235" spans="1:10" x14ac:dyDescent="0.35">
      <c r="A1235" t="s">
        <v>13</v>
      </c>
      <c r="B1235" t="s">
        <v>38</v>
      </c>
      <c r="C1235" s="77" t="s">
        <v>91</v>
      </c>
      <c r="D1235" t="s">
        <v>81</v>
      </c>
      <c r="E1235" s="77" t="s">
        <v>101</v>
      </c>
      <c r="F1235" s="77" t="s">
        <v>73</v>
      </c>
      <c r="G1235" s="77" t="s">
        <v>74</v>
      </c>
      <c r="H1235" s="77" t="s">
        <v>102</v>
      </c>
      <c r="I1235" s="77" t="s">
        <v>84</v>
      </c>
      <c r="J1235" s="76" cm="1">
        <f t="array" ref="J1235:J1237">'SUT_EU27 total'!$J$83:$J$85</f>
        <v>0</v>
      </c>
    </row>
    <row r="1236" spans="1:10" x14ac:dyDescent="0.35">
      <c r="A1236" t="s">
        <v>13</v>
      </c>
      <c r="B1236" t="s">
        <v>38</v>
      </c>
      <c r="C1236" s="77" t="s">
        <v>91</v>
      </c>
      <c r="D1236" t="s">
        <v>81</v>
      </c>
      <c r="E1236" s="77" t="s">
        <v>104</v>
      </c>
      <c r="F1236" s="77" t="s">
        <v>73</v>
      </c>
      <c r="G1236" s="77" t="s">
        <v>74</v>
      </c>
      <c r="H1236" s="77" t="s">
        <v>102</v>
      </c>
      <c r="I1236" s="77" t="s">
        <v>84</v>
      </c>
      <c r="J1236" s="76">
        <v>0</v>
      </c>
    </row>
    <row r="1237" spans="1:10" x14ac:dyDescent="0.35">
      <c r="A1237" t="s">
        <v>13</v>
      </c>
      <c r="B1237" t="s">
        <v>38</v>
      </c>
      <c r="C1237" s="77" t="s">
        <v>91</v>
      </c>
      <c r="D1237" t="s">
        <v>81</v>
      </c>
      <c r="E1237" s="77" t="s">
        <v>106</v>
      </c>
      <c r="F1237" s="77" t="s">
        <v>73</v>
      </c>
      <c r="G1237" s="77" t="s">
        <v>74</v>
      </c>
      <c r="H1237" s="77" t="s">
        <v>102</v>
      </c>
      <c r="I1237" s="77" t="s">
        <v>84</v>
      </c>
      <c r="J1237" s="76">
        <v>0</v>
      </c>
    </row>
    <row r="1238" spans="1:10" x14ac:dyDescent="0.35">
      <c r="A1238" t="s">
        <v>13</v>
      </c>
      <c r="B1238" t="s">
        <v>38</v>
      </c>
      <c r="C1238" s="77" t="s">
        <v>92</v>
      </c>
      <c r="D1238" t="s">
        <v>81</v>
      </c>
      <c r="E1238" s="77" t="s">
        <v>115</v>
      </c>
      <c r="F1238" s="77" t="s">
        <v>73</v>
      </c>
      <c r="G1238" s="77" t="s">
        <v>74</v>
      </c>
      <c r="H1238" s="77" t="s">
        <v>102</v>
      </c>
      <c r="I1238" s="77" t="s">
        <v>84</v>
      </c>
      <c r="J1238" s="76" cm="1">
        <f t="array" ref="J1238:J1239">'SUT_EU27 total'!$J$87:$J$88</f>
        <v>6.6239999999999997</v>
      </c>
    </row>
    <row r="1239" spans="1:10" x14ac:dyDescent="0.35">
      <c r="A1239" t="s">
        <v>13</v>
      </c>
      <c r="B1239" t="s">
        <v>38</v>
      </c>
      <c r="C1239" s="77" t="s">
        <v>92</v>
      </c>
      <c r="D1239" t="s">
        <v>81</v>
      </c>
      <c r="E1239" s="77" t="s">
        <v>116</v>
      </c>
      <c r="F1239" s="77" t="s">
        <v>73</v>
      </c>
      <c r="G1239" s="77" t="s">
        <v>74</v>
      </c>
      <c r="H1239" s="77" t="s">
        <v>102</v>
      </c>
      <c r="I1239" s="77" t="s">
        <v>84</v>
      </c>
      <c r="J1239" s="76">
        <v>6.0040746268656714E-2</v>
      </c>
    </row>
    <row r="1240" spans="1:10" x14ac:dyDescent="0.35">
      <c r="A1240" t="s">
        <v>13</v>
      </c>
      <c r="B1240" t="s">
        <v>38</v>
      </c>
      <c r="C1240" s="77" t="s">
        <v>92</v>
      </c>
      <c r="D1240" t="s">
        <v>81</v>
      </c>
      <c r="E1240" s="77" t="s">
        <v>117</v>
      </c>
      <c r="F1240" s="77" t="s">
        <v>73</v>
      </c>
      <c r="G1240" s="77" t="s">
        <v>74</v>
      </c>
      <c r="H1240" s="77" t="s">
        <v>102</v>
      </c>
      <c r="I1240" s="77" t="s">
        <v>84</v>
      </c>
      <c r="J1240" s="76">
        <f>'SUT_EU27 total'!$J$95</f>
        <v>13.3146</v>
      </c>
    </row>
    <row r="1241" spans="1:10" x14ac:dyDescent="0.35">
      <c r="A1241" t="s">
        <v>13</v>
      </c>
      <c r="B1241" t="s">
        <v>38</v>
      </c>
      <c r="C1241" s="77" t="s">
        <v>92</v>
      </c>
      <c r="D1241" t="s">
        <v>81</v>
      </c>
      <c r="E1241" s="77" t="s">
        <v>101</v>
      </c>
      <c r="F1241" s="77" t="s">
        <v>73</v>
      </c>
      <c r="G1241" s="77" t="s">
        <v>74</v>
      </c>
      <c r="H1241" s="77" t="s">
        <v>102</v>
      </c>
      <c r="I1241" s="77" t="s">
        <v>84</v>
      </c>
      <c r="J1241" s="76" cm="1">
        <f t="array" ref="J1241:J1243">'SUT_EU27 total'!$J$100:$J$102</f>
        <v>0</v>
      </c>
    </row>
    <row r="1242" spans="1:10" x14ac:dyDescent="0.35">
      <c r="A1242" t="s">
        <v>13</v>
      </c>
      <c r="B1242" t="s">
        <v>38</v>
      </c>
      <c r="C1242" s="77" t="s">
        <v>92</v>
      </c>
      <c r="D1242" t="s">
        <v>81</v>
      </c>
      <c r="E1242" s="77" t="s">
        <v>104</v>
      </c>
      <c r="F1242" s="77" t="s">
        <v>73</v>
      </c>
      <c r="G1242" s="77" t="s">
        <v>74</v>
      </c>
      <c r="H1242" s="77" t="s">
        <v>102</v>
      </c>
      <c r="I1242" s="77" t="s">
        <v>84</v>
      </c>
      <c r="J1242" s="76">
        <v>0</v>
      </c>
    </row>
    <row r="1243" spans="1:10" x14ac:dyDescent="0.35">
      <c r="A1243" t="s">
        <v>13</v>
      </c>
      <c r="B1243" t="s">
        <v>38</v>
      </c>
      <c r="C1243" s="77" t="s">
        <v>92</v>
      </c>
      <c r="D1243" t="s">
        <v>81</v>
      </c>
      <c r="E1243" s="77" t="s">
        <v>106</v>
      </c>
      <c r="F1243" s="77" t="s">
        <v>73</v>
      </c>
      <c r="G1243" s="77" t="s">
        <v>74</v>
      </c>
      <c r="H1243" s="77" t="s">
        <v>102</v>
      </c>
      <c r="I1243" s="77" t="s">
        <v>84</v>
      </c>
      <c r="J1243" s="76">
        <v>0</v>
      </c>
    </row>
    <row r="1244" spans="1:10" x14ac:dyDescent="0.35">
      <c r="A1244" t="s">
        <v>13</v>
      </c>
      <c r="B1244" t="s">
        <v>38</v>
      </c>
      <c r="C1244" s="77" t="s">
        <v>93</v>
      </c>
      <c r="D1244" t="s">
        <v>81</v>
      </c>
      <c r="E1244" s="77" t="s">
        <v>115</v>
      </c>
      <c r="F1244" s="77" t="s">
        <v>73</v>
      </c>
      <c r="G1244" s="77" t="s">
        <v>74</v>
      </c>
      <c r="H1244" s="77" t="s">
        <v>102</v>
      </c>
      <c r="I1244" s="77" t="s">
        <v>84</v>
      </c>
      <c r="J1244" s="76" cm="1">
        <f t="array" ref="J1244:J1245">'SUT_EU27 total'!$J$104:$J$105</f>
        <v>44.633142857142865</v>
      </c>
    </row>
    <row r="1245" spans="1:10" x14ac:dyDescent="0.35">
      <c r="A1245" t="s">
        <v>13</v>
      </c>
      <c r="B1245" t="s">
        <v>38</v>
      </c>
      <c r="C1245" s="77" t="s">
        <v>93</v>
      </c>
      <c r="D1245" t="s">
        <v>81</v>
      </c>
      <c r="E1245" s="77" t="s">
        <v>116</v>
      </c>
      <c r="F1245" s="77" t="s">
        <v>73</v>
      </c>
      <c r="G1245" s="77" t="s">
        <v>74</v>
      </c>
      <c r="H1245" s="77" t="s">
        <v>102</v>
      </c>
      <c r="I1245" s="77" t="s">
        <v>84</v>
      </c>
      <c r="J1245" s="76">
        <v>0.3673348440311186</v>
      </c>
    </row>
    <row r="1246" spans="1:10" x14ac:dyDescent="0.35">
      <c r="A1246" t="s">
        <v>13</v>
      </c>
      <c r="B1246" t="s">
        <v>38</v>
      </c>
      <c r="C1246" s="77" t="s">
        <v>93</v>
      </c>
      <c r="D1246" t="s">
        <v>81</v>
      </c>
      <c r="E1246" s="77" t="s">
        <v>117</v>
      </c>
      <c r="F1246" s="77" t="s">
        <v>73</v>
      </c>
      <c r="G1246" s="77" t="s">
        <v>74</v>
      </c>
      <c r="H1246" s="77" t="s">
        <v>102</v>
      </c>
      <c r="I1246" s="77" t="s">
        <v>84</v>
      </c>
      <c r="J1246" s="76">
        <f>'SUT_EU27 total'!$J$112</f>
        <v>138.77909999999997</v>
      </c>
    </row>
    <row r="1247" spans="1:10" x14ac:dyDescent="0.35">
      <c r="A1247" t="s">
        <v>13</v>
      </c>
      <c r="B1247" t="s">
        <v>38</v>
      </c>
      <c r="C1247" s="77" t="s">
        <v>93</v>
      </c>
      <c r="D1247" t="s">
        <v>81</v>
      </c>
      <c r="E1247" s="77" t="s">
        <v>101</v>
      </c>
      <c r="F1247" s="77" t="s">
        <v>73</v>
      </c>
      <c r="G1247" s="77" t="s">
        <v>74</v>
      </c>
      <c r="H1247" s="77" t="s">
        <v>102</v>
      </c>
      <c r="I1247" s="77" t="s">
        <v>84</v>
      </c>
      <c r="J1247" s="76" cm="1">
        <f t="array" ref="J1247:J1249">'SUT_EU27 total'!$J$117:$J$119</f>
        <v>0</v>
      </c>
    </row>
    <row r="1248" spans="1:10" x14ac:dyDescent="0.35">
      <c r="A1248" t="s">
        <v>13</v>
      </c>
      <c r="B1248" t="s">
        <v>38</v>
      </c>
      <c r="C1248" s="77" t="s">
        <v>93</v>
      </c>
      <c r="D1248" t="s">
        <v>81</v>
      </c>
      <c r="E1248" s="77" t="s">
        <v>104</v>
      </c>
      <c r="F1248" s="77" t="s">
        <v>73</v>
      </c>
      <c r="G1248" s="77" t="s">
        <v>74</v>
      </c>
      <c r="H1248" s="77" t="s">
        <v>102</v>
      </c>
      <c r="I1248" s="77" t="s">
        <v>84</v>
      </c>
      <c r="J1248" s="76">
        <v>0</v>
      </c>
    </row>
    <row r="1249" spans="1:10" x14ac:dyDescent="0.35">
      <c r="A1249" t="s">
        <v>13</v>
      </c>
      <c r="B1249" t="s">
        <v>38</v>
      </c>
      <c r="C1249" s="77" t="s">
        <v>93</v>
      </c>
      <c r="D1249" t="s">
        <v>81</v>
      </c>
      <c r="E1249" s="77" t="s">
        <v>106</v>
      </c>
      <c r="F1249" s="77" t="s">
        <v>73</v>
      </c>
      <c r="G1249" s="77" t="s">
        <v>74</v>
      </c>
      <c r="H1249" s="77" t="s">
        <v>102</v>
      </c>
      <c r="I1249" s="77" t="s">
        <v>84</v>
      </c>
      <c r="J1249" s="76">
        <v>0</v>
      </c>
    </row>
    <row r="1250" spans="1:10" x14ac:dyDescent="0.35">
      <c r="A1250" t="s">
        <v>13</v>
      </c>
      <c r="B1250" t="s">
        <v>38</v>
      </c>
      <c r="C1250" s="77" t="s">
        <v>73</v>
      </c>
      <c r="D1250" t="s">
        <v>81</v>
      </c>
      <c r="E1250" s="77" t="s">
        <v>118</v>
      </c>
      <c r="F1250" s="77" t="s">
        <v>73</v>
      </c>
      <c r="G1250" s="77" t="s">
        <v>74</v>
      </c>
      <c r="H1250" s="77" t="s">
        <v>108</v>
      </c>
      <c r="I1250" s="77" t="s">
        <v>84</v>
      </c>
      <c r="J1250" s="76" cm="1">
        <f t="array" ref="J1250:J1252">'SUT_EU27 total'!$K$21:$K$23</f>
        <v>1.4582562144772118E-3</v>
      </c>
    </row>
    <row r="1251" spans="1:10" x14ac:dyDescent="0.35">
      <c r="A1251" t="s">
        <v>13</v>
      </c>
      <c r="B1251" t="s">
        <v>38</v>
      </c>
      <c r="C1251" s="77" t="s">
        <v>73</v>
      </c>
      <c r="D1251" t="s">
        <v>81</v>
      </c>
      <c r="E1251" s="77" t="s">
        <v>119</v>
      </c>
      <c r="F1251" s="77" t="s">
        <v>73</v>
      </c>
      <c r="G1251" s="77" t="s">
        <v>74</v>
      </c>
      <c r="H1251" s="77" t="s">
        <v>108</v>
      </c>
      <c r="I1251" s="77" t="s">
        <v>84</v>
      </c>
      <c r="J1251" s="76">
        <v>8.4634636521458274E-4</v>
      </c>
    </row>
    <row r="1252" spans="1:10" x14ac:dyDescent="0.35">
      <c r="A1252" t="s">
        <v>13</v>
      </c>
      <c r="B1252" t="s">
        <v>38</v>
      </c>
      <c r="C1252" s="77" t="s">
        <v>73</v>
      </c>
      <c r="D1252" t="s">
        <v>81</v>
      </c>
      <c r="E1252" s="77" t="s">
        <v>120</v>
      </c>
      <c r="F1252" s="77" t="s">
        <v>73</v>
      </c>
      <c r="G1252" s="77" t="s">
        <v>74</v>
      </c>
      <c r="H1252" s="77" t="s">
        <v>108</v>
      </c>
      <c r="I1252" s="77" t="s">
        <v>84</v>
      </c>
      <c r="J1252" s="76">
        <v>1.2517329093179335E-4</v>
      </c>
    </row>
    <row r="1253" spans="1:10" x14ac:dyDescent="0.35">
      <c r="A1253" t="s">
        <v>13</v>
      </c>
      <c r="B1253" t="s">
        <v>38</v>
      </c>
      <c r="C1253" s="77" t="s">
        <v>73</v>
      </c>
      <c r="D1253" t="s">
        <v>81</v>
      </c>
      <c r="E1253" s="77" t="s">
        <v>121</v>
      </c>
      <c r="F1253" s="77" t="s">
        <v>73</v>
      </c>
      <c r="G1253" s="77" t="s">
        <v>74</v>
      </c>
      <c r="H1253" s="77" t="s">
        <v>108</v>
      </c>
      <c r="I1253" s="77" t="s">
        <v>84</v>
      </c>
      <c r="J1253" s="76">
        <f>'SUT_EU27 total'!$K$25</f>
        <v>6.9749679999999994E-2</v>
      </c>
    </row>
    <row r="1254" spans="1:10" x14ac:dyDescent="0.35">
      <c r="A1254" t="s">
        <v>13</v>
      </c>
      <c r="B1254" t="s">
        <v>38</v>
      </c>
      <c r="C1254" s="77" t="s">
        <v>73</v>
      </c>
      <c r="D1254" t="s">
        <v>81</v>
      </c>
      <c r="E1254" s="77" t="s">
        <v>117</v>
      </c>
      <c r="F1254" s="77" t="s">
        <v>73</v>
      </c>
      <c r="G1254" s="77" t="s">
        <v>74</v>
      </c>
      <c r="H1254" s="77" t="s">
        <v>108</v>
      </c>
      <c r="I1254" s="77" t="s">
        <v>84</v>
      </c>
      <c r="J1254" s="76">
        <f>'SUT_EU27 total'!$K$27</f>
        <v>1.1932942595726979E-3</v>
      </c>
    </row>
    <row r="1255" spans="1:10" x14ac:dyDescent="0.35">
      <c r="A1255" t="s">
        <v>13</v>
      </c>
      <c r="B1255" t="s">
        <v>38</v>
      </c>
      <c r="C1255" s="77" t="s">
        <v>73</v>
      </c>
      <c r="D1255" t="s">
        <v>81</v>
      </c>
      <c r="E1255" s="77" t="s">
        <v>122</v>
      </c>
      <c r="F1255" s="77" t="s">
        <v>73</v>
      </c>
      <c r="G1255" s="77" t="s">
        <v>74</v>
      </c>
      <c r="H1255" s="77" t="s">
        <v>108</v>
      </c>
      <c r="I1255" s="77" t="s">
        <v>84</v>
      </c>
      <c r="J1255" s="76">
        <f>'SUT_EU27 total'!$K$30</f>
        <v>1.5965533412604042E-3</v>
      </c>
    </row>
    <row r="1256" spans="1:10" x14ac:dyDescent="0.35">
      <c r="A1256" t="s">
        <v>13</v>
      </c>
      <c r="B1256" t="s">
        <v>38</v>
      </c>
      <c r="C1256" s="77" t="s">
        <v>73</v>
      </c>
      <c r="D1256" t="s">
        <v>81</v>
      </c>
      <c r="E1256" s="77" t="s">
        <v>101</v>
      </c>
      <c r="F1256" s="77" t="s">
        <v>73</v>
      </c>
      <c r="G1256" s="77" t="s">
        <v>74</v>
      </c>
      <c r="H1256" s="77" t="s">
        <v>108</v>
      </c>
      <c r="I1256" s="77" t="s">
        <v>84</v>
      </c>
      <c r="J1256" s="76" cm="1">
        <f t="array" ref="J1256:J1258">'SUT_EU27 total'!$K$32:$K$34</f>
        <v>2.4335351040000001E-4</v>
      </c>
    </row>
    <row r="1257" spans="1:10" x14ac:dyDescent="0.35">
      <c r="A1257" t="s">
        <v>13</v>
      </c>
      <c r="B1257" t="s">
        <v>38</v>
      </c>
      <c r="C1257" s="77" t="s">
        <v>73</v>
      </c>
      <c r="D1257" t="s">
        <v>81</v>
      </c>
      <c r="E1257" s="77" t="s">
        <v>104</v>
      </c>
      <c r="F1257" s="77" t="s">
        <v>73</v>
      </c>
      <c r="G1257" s="77" t="s">
        <v>74</v>
      </c>
      <c r="H1257" s="77" t="s">
        <v>108</v>
      </c>
      <c r="I1257" s="77" t="s">
        <v>84</v>
      </c>
      <c r="J1257" s="76">
        <v>4.6076808959999996E-4</v>
      </c>
    </row>
    <row r="1258" spans="1:10" x14ac:dyDescent="0.35">
      <c r="A1258" t="s">
        <v>13</v>
      </c>
      <c r="B1258" t="s">
        <v>38</v>
      </c>
      <c r="C1258" s="77" t="s">
        <v>73</v>
      </c>
      <c r="D1258" t="s">
        <v>81</v>
      </c>
      <c r="E1258" s="77" t="s">
        <v>106</v>
      </c>
      <c r="F1258" s="77" t="s">
        <v>73</v>
      </c>
      <c r="G1258" s="77" t="s">
        <v>74</v>
      </c>
      <c r="H1258" s="77" t="s">
        <v>108</v>
      </c>
      <c r="I1258" s="77" t="s">
        <v>84</v>
      </c>
      <c r="J1258" s="76">
        <v>1.5672383999999996E-3</v>
      </c>
    </row>
    <row r="1259" spans="1:10" x14ac:dyDescent="0.35">
      <c r="A1259" t="s">
        <v>13</v>
      </c>
      <c r="B1259" t="s">
        <v>38</v>
      </c>
      <c r="C1259" s="77" t="s">
        <v>88</v>
      </c>
      <c r="D1259" t="s">
        <v>81</v>
      </c>
      <c r="E1259" s="77" t="s">
        <v>118</v>
      </c>
      <c r="F1259" s="77" t="s">
        <v>73</v>
      </c>
      <c r="G1259" s="77" t="s">
        <v>74</v>
      </c>
      <c r="H1259" s="77" t="s">
        <v>108</v>
      </c>
      <c r="I1259" s="77" t="s">
        <v>84</v>
      </c>
      <c r="J1259" s="76" cm="1">
        <f t="array" ref="J1259:J1261">'SUT_EU27 total'!$K$38:$K$40</f>
        <v>3.3029309855227888E-2</v>
      </c>
    </row>
    <row r="1260" spans="1:10" x14ac:dyDescent="0.35">
      <c r="A1260" t="s">
        <v>13</v>
      </c>
      <c r="B1260" t="s">
        <v>38</v>
      </c>
      <c r="C1260" s="77" t="s">
        <v>88</v>
      </c>
      <c r="D1260" t="s">
        <v>81</v>
      </c>
      <c r="E1260" s="77" t="s">
        <v>119</v>
      </c>
      <c r="F1260" s="77" t="s">
        <v>73</v>
      </c>
      <c r="G1260" s="77" t="s">
        <v>74</v>
      </c>
      <c r="H1260" s="77" t="s">
        <v>108</v>
      </c>
      <c r="I1260" s="77" t="s">
        <v>84</v>
      </c>
      <c r="J1260" s="76">
        <v>6.9915569300335089E-3</v>
      </c>
    </row>
    <row r="1261" spans="1:10" x14ac:dyDescent="0.35">
      <c r="A1261" t="s">
        <v>13</v>
      </c>
      <c r="B1261" t="s">
        <v>38</v>
      </c>
      <c r="C1261" s="77" t="s">
        <v>88</v>
      </c>
      <c r="D1261" t="s">
        <v>81</v>
      </c>
      <c r="E1261" s="77" t="s">
        <v>120</v>
      </c>
      <c r="F1261" s="77" t="s">
        <v>73</v>
      </c>
      <c r="G1261" s="77" t="s">
        <v>74</v>
      </c>
      <c r="H1261" s="77" t="s">
        <v>108</v>
      </c>
      <c r="I1261" s="77" t="s">
        <v>84</v>
      </c>
      <c r="J1261" s="76">
        <v>1.5283979779928203E-3</v>
      </c>
    </row>
    <row r="1262" spans="1:10" x14ac:dyDescent="0.35">
      <c r="A1262" t="s">
        <v>13</v>
      </c>
      <c r="B1262" t="s">
        <v>38</v>
      </c>
      <c r="C1262" s="77" t="s">
        <v>88</v>
      </c>
      <c r="D1262" t="s">
        <v>81</v>
      </c>
      <c r="E1262" s="77" t="s">
        <v>121</v>
      </c>
      <c r="F1262" s="77" t="s">
        <v>73</v>
      </c>
      <c r="G1262" s="77" t="s">
        <v>74</v>
      </c>
      <c r="H1262" s="77" t="s">
        <v>108</v>
      </c>
      <c r="I1262" s="77" t="s">
        <v>84</v>
      </c>
      <c r="J1262" s="76">
        <f>'SUT_EU27 total'!$K$42</f>
        <v>0</v>
      </c>
    </row>
    <row r="1263" spans="1:10" x14ac:dyDescent="0.35">
      <c r="A1263" t="s">
        <v>13</v>
      </c>
      <c r="B1263" t="s">
        <v>38</v>
      </c>
      <c r="C1263" s="77" t="s">
        <v>88</v>
      </c>
      <c r="D1263" t="s">
        <v>81</v>
      </c>
      <c r="E1263" s="77" t="s">
        <v>117</v>
      </c>
      <c r="F1263" s="77" t="s">
        <v>73</v>
      </c>
      <c r="G1263" s="77" t="s">
        <v>74</v>
      </c>
      <c r="H1263" s="77" t="s">
        <v>108</v>
      </c>
      <c r="I1263" s="77" t="s">
        <v>84</v>
      </c>
      <c r="J1263" s="76">
        <f>'SUT_EU27 total'!$K$44</f>
        <v>9.9090099874062521E-4</v>
      </c>
    </row>
    <row r="1264" spans="1:10" x14ac:dyDescent="0.35">
      <c r="A1264" t="s">
        <v>13</v>
      </c>
      <c r="B1264" t="s">
        <v>38</v>
      </c>
      <c r="C1264" s="77" t="s">
        <v>88</v>
      </c>
      <c r="D1264" t="s">
        <v>81</v>
      </c>
      <c r="E1264" s="77" t="s">
        <v>122</v>
      </c>
      <c r="F1264" s="77" t="s">
        <v>73</v>
      </c>
      <c r="G1264" s="77" t="s">
        <v>74</v>
      </c>
      <c r="H1264" s="77" t="s">
        <v>108</v>
      </c>
      <c r="I1264" s="77" t="s">
        <v>84</v>
      </c>
      <c r="J1264" s="76">
        <f>'SUT_EU27 total'!$K$47</f>
        <v>0</v>
      </c>
    </row>
    <row r="1265" spans="1:10" x14ac:dyDescent="0.35">
      <c r="A1265" t="s">
        <v>13</v>
      </c>
      <c r="B1265" t="s">
        <v>38</v>
      </c>
      <c r="C1265" s="77" t="s">
        <v>88</v>
      </c>
      <c r="D1265" t="s">
        <v>81</v>
      </c>
      <c r="E1265" s="77" t="s">
        <v>101</v>
      </c>
      <c r="F1265" s="77" t="s">
        <v>73</v>
      </c>
      <c r="G1265" s="77" t="s">
        <v>74</v>
      </c>
      <c r="H1265" s="77" t="s">
        <v>108</v>
      </c>
      <c r="I1265" s="77" t="s">
        <v>84</v>
      </c>
      <c r="J1265" s="76" cm="1">
        <f t="array" ref="J1265:J1267">'SUT_EU27 total'!$K$49:$K$51</f>
        <v>0</v>
      </c>
    </row>
    <row r="1266" spans="1:10" x14ac:dyDescent="0.35">
      <c r="A1266" t="s">
        <v>13</v>
      </c>
      <c r="B1266" t="s">
        <v>38</v>
      </c>
      <c r="C1266" s="77" t="s">
        <v>88</v>
      </c>
      <c r="D1266" t="s">
        <v>81</v>
      </c>
      <c r="E1266" s="77" t="s">
        <v>104</v>
      </c>
      <c r="F1266" s="77" t="s">
        <v>73</v>
      </c>
      <c r="G1266" s="77" t="s">
        <v>74</v>
      </c>
      <c r="H1266" s="77" t="s">
        <v>108</v>
      </c>
      <c r="I1266" s="77" t="s">
        <v>84</v>
      </c>
      <c r="J1266" s="76">
        <v>0</v>
      </c>
    </row>
    <row r="1267" spans="1:10" x14ac:dyDescent="0.35">
      <c r="A1267" t="s">
        <v>13</v>
      </c>
      <c r="B1267" t="s">
        <v>38</v>
      </c>
      <c r="C1267" s="77" t="s">
        <v>88</v>
      </c>
      <c r="D1267" t="s">
        <v>81</v>
      </c>
      <c r="E1267" s="77" t="s">
        <v>106</v>
      </c>
      <c r="F1267" s="77" t="s">
        <v>73</v>
      </c>
      <c r="G1267" s="77" t="s">
        <v>74</v>
      </c>
      <c r="H1267" s="77" t="s">
        <v>108</v>
      </c>
      <c r="I1267" s="77" t="s">
        <v>84</v>
      </c>
      <c r="J1267" s="76">
        <v>0</v>
      </c>
    </row>
    <row r="1268" spans="1:10" x14ac:dyDescent="0.35">
      <c r="A1268" t="s">
        <v>13</v>
      </c>
      <c r="B1268" t="s">
        <v>38</v>
      </c>
      <c r="C1268" s="77" t="s">
        <v>90</v>
      </c>
      <c r="D1268" t="s">
        <v>81</v>
      </c>
      <c r="E1268" s="77" t="s">
        <v>118</v>
      </c>
      <c r="F1268" s="77" t="s">
        <v>73</v>
      </c>
      <c r="G1268" s="77" t="s">
        <v>74</v>
      </c>
      <c r="H1268" s="77" t="s">
        <v>108</v>
      </c>
      <c r="I1268" s="77" t="s">
        <v>84</v>
      </c>
      <c r="J1268" s="76" cm="1">
        <f t="array" ref="J1268:J1270">'SUT_EU27 total'!$K$55:$K$57</f>
        <v>4.323194595174263E-3</v>
      </c>
    </row>
    <row r="1269" spans="1:10" x14ac:dyDescent="0.35">
      <c r="A1269" t="s">
        <v>13</v>
      </c>
      <c r="B1269" t="s">
        <v>38</v>
      </c>
      <c r="C1269" s="77" t="s">
        <v>90</v>
      </c>
      <c r="D1269" t="s">
        <v>81</v>
      </c>
      <c r="E1269" s="77" t="s">
        <v>119</v>
      </c>
      <c r="F1269" s="77" t="s">
        <v>73</v>
      </c>
      <c r="G1269" s="77" t="s">
        <v>74</v>
      </c>
      <c r="H1269" s="77" t="s">
        <v>108</v>
      </c>
      <c r="I1269" s="77" t="s">
        <v>84</v>
      </c>
      <c r="J1269" s="76">
        <v>1.2800331672655335E-3</v>
      </c>
    </row>
    <row r="1270" spans="1:10" x14ac:dyDescent="0.35">
      <c r="A1270" t="s">
        <v>13</v>
      </c>
      <c r="B1270" t="s">
        <v>38</v>
      </c>
      <c r="C1270" s="77" t="s">
        <v>90</v>
      </c>
      <c r="D1270" t="s">
        <v>81</v>
      </c>
      <c r="E1270" s="77" t="s">
        <v>120</v>
      </c>
      <c r="F1270" s="77" t="s">
        <v>73</v>
      </c>
      <c r="G1270" s="77" t="s">
        <v>74</v>
      </c>
      <c r="H1270" s="77" t="s">
        <v>108</v>
      </c>
      <c r="I1270" s="77" t="s">
        <v>84</v>
      </c>
      <c r="J1270" s="76">
        <v>5.6700291220540041E-3</v>
      </c>
    </row>
    <row r="1271" spans="1:10" x14ac:dyDescent="0.35">
      <c r="A1271" t="s">
        <v>13</v>
      </c>
      <c r="B1271" t="s">
        <v>38</v>
      </c>
      <c r="C1271" s="77" t="s">
        <v>90</v>
      </c>
      <c r="D1271" t="s">
        <v>81</v>
      </c>
      <c r="E1271" s="77" t="s">
        <v>121</v>
      </c>
      <c r="F1271" s="77" t="s">
        <v>73</v>
      </c>
      <c r="G1271" s="77" t="s">
        <v>74</v>
      </c>
      <c r="H1271" s="77" t="s">
        <v>108</v>
      </c>
      <c r="I1271" s="77" t="s">
        <v>84</v>
      </c>
      <c r="J1271" s="76">
        <f>'SUT_EU27 total'!$K$59</f>
        <v>0</v>
      </c>
    </row>
    <row r="1272" spans="1:10" x14ac:dyDescent="0.35">
      <c r="A1272" t="s">
        <v>13</v>
      </c>
      <c r="B1272" t="s">
        <v>38</v>
      </c>
      <c r="C1272" s="77" t="s">
        <v>90</v>
      </c>
      <c r="D1272" t="s">
        <v>81</v>
      </c>
      <c r="E1272" s="77" t="s">
        <v>117</v>
      </c>
      <c r="F1272" s="77" t="s">
        <v>73</v>
      </c>
      <c r="G1272" s="77" t="s">
        <v>74</v>
      </c>
      <c r="H1272" s="77" t="s">
        <v>108</v>
      </c>
      <c r="I1272" s="77" t="s">
        <v>84</v>
      </c>
      <c r="J1272" s="76">
        <f>'SUT_EU27 total'!$K$61</f>
        <v>1.1930979242119881E-3</v>
      </c>
    </row>
    <row r="1273" spans="1:10" x14ac:dyDescent="0.35">
      <c r="A1273" t="s">
        <v>13</v>
      </c>
      <c r="B1273" t="s">
        <v>38</v>
      </c>
      <c r="C1273" s="77" t="s">
        <v>90</v>
      </c>
      <c r="D1273" t="s">
        <v>81</v>
      </c>
      <c r="E1273" s="77" t="s">
        <v>122</v>
      </c>
      <c r="F1273" s="77" t="s">
        <v>73</v>
      </c>
      <c r="G1273" s="77" t="s">
        <v>74</v>
      </c>
      <c r="H1273" s="77" t="s">
        <v>108</v>
      </c>
      <c r="I1273" s="77" t="s">
        <v>84</v>
      </c>
      <c r="J1273" s="76">
        <f>'SUT_EU27 total'!$K$64</f>
        <v>2.5776238002378116E-3</v>
      </c>
    </row>
    <row r="1274" spans="1:10" x14ac:dyDescent="0.35">
      <c r="A1274" t="s">
        <v>13</v>
      </c>
      <c r="B1274" t="s">
        <v>38</v>
      </c>
      <c r="C1274" s="77" t="s">
        <v>90</v>
      </c>
      <c r="D1274" t="s">
        <v>81</v>
      </c>
      <c r="E1274" s="77" t="s">
        <v>101</v>
      </c>
      <c r="F1274" s="77" t="s">
        <v>73</v>
      </c>
      <c r="G1274" s="77" t="s">
        <v>74</v>
      </c>
      <c r="H1274" s="77" t="s">
        <v>108</v>
      </c>
      <c r="I1274" s="77" t="s">
        <v>84</v>
      </c>
      <c r="J1274" s="76" cm="1">
        <f t="array" ref="J1274:J1276">'SUT_EU27 total'!$K$66:$K$68</f>
        <v>0</v>
      </c>
    </row>
    <row r="1275" spans="1:10" x14ac:dyDescent="0.35">
      <c r="A1275" t="s">
        <v>13</v>
      </c>
      <c r="B1275" t="s">
        <v>38</v>
      </c>
      <c r="C1275" s="77" t="s">
        <v>90</v>
      </c>
      <c r="D1275" t="s">
        <v>81</v>
      </c>
      <c r="E1275" s="77" t="s">
        <v>104</v>
      </c>
      <c r="F1275" s="77" t="s">
        <v>73</v>
      </c>
      <c r="G1275" s="77" t="s">
        <v>74</v>
      </c>
      <c r="H1275" s="77" t="s">
        <v>108</v>
      </c>
      <c r="I1275" s="77" t="s">
        <v>84</v>
      </c>
      <c r="J1275" s="76">
        <v>0</v>
      </c>
    </row>
    <row r="1276" spans="1:10" x14ac:dyDescent="0.35">
      <c r="A1276" t="s">
        <v>13</v>
      </c>
      <c r="B1276" t="s">
        <v>38</v>
      </c>
      <c r="C1276" s="77" t="s">
        <v>90</v>
      </c>
      <c r="D1276" t="s">
        <v>81</v>
      </c>
      <c r="E1276" s="77" t="s">
        <v>106</v>
      </c>
      <c r="F1276" s="77" t="s">
        <v>73</v>
      </c>
      <c r="G1276" s="77" t="s">
        <v>74</v>
      </c>
      <c r="H1276" s="77" t="s">
        <v>108</v>
      </c>
      <c r="I1276" s="77" t="s">
        <v>84</v>
      </c>
      <c r="J1276" s="76">
        <v>0</v>
      </c>
    </row>
    <row r="1277" spans="1:10" x14ac:dyDescent="0.35">
      <c r="A1277" t="s">
        <v>13</v>
      </c>
      <c r="B1277" t="s">
        <v>38</v>
      </c>
      <c r="C1277" s="77" t="s">
        <v>91</v>
      </c>
      <c r="D1277" t="s">
        <v>81</v>
      </c>
      <c r="E1277" s="77" t="s">
        <v>118</v>
      </c>
      <c r="F1277" s="77" t="s">
        <v>73</v>
      </c>
      <c r="G1277" s="77" t="s">
        <v>74</v>
      </c>
      <c r="H1277" s="77" t="s">
        <v>108</v>
      </c>
      <c r="I1277" s="77" t="s">
        <v>84</v>
      </c>
      <c r="J1277" s="76" cm="1">
        <f t="array" ref="J1277:J1279">'SUT_EU27 total'!$K$72:$K$74</f>
        <v>5.3791732332439677E-3</v>
      </c>
    </row>
    <row r="1278" spans="1:10" x14ac:dyDescent="0.35">
      <c r="A1278" t="s">
        <v>13</v>
      </c>
      <c r="B1278" t="s">
        <v>38</v>
      </c>
      <c r="C1278" s="77" t="s">
        <v>91</v>
      </c>
      <c r="D1278" t="s">
        <v>81</v>
      </c>
      <c r="E1278" s="77" t="s">
        <v>119</v>
      </c>
      <c r="F1278" s="77" t="s">
        <v>73</v>
      </c>
      <c r="G1278" s="77" t="s">
        <v>74</v>
      </c>
      <c r="H1278" s="77" t="s">
        <v>108</v>
      </c>
      <c r="I1278" s="77" t="s">
        <v>84</v>
      </c>
      <c r="J1278" s="76">
        <v>6.5526133182607291E-3</v>
      </c>
    </row>
    <row r="1279" spans="1:10" x14ac:dyDescent="0.35">
      <c r="A1279" t="s">
        <v>13</v>
      </c>
      <c r="B1279" t="s">
        <v>38</v>
      </c>
      <c r="C1279" s="77" t="s">
        <v>91</v>
      </c>
      <c r="D1279" t="s">
        <v>81</v>
      </c>
      <c r="E1279" s="77" t="s">
        <v>120</v>
      </c>
      <c r="F1279" s="77" t="s">
        <v>73</v>
      </c>
      <c r="G1279" s="77" t="s">
        <v>74</v>
      </c>
      <c r="H1279" s="77" t="s">
        <v>108</v>
      </c>
      <c r="I1279" s="77" t="s">
        <v>84</v>
      </c>
      <c r="J1279" s="76">
        <v>2.464950959887623E-4</v>
      </c>
    </row>
    <row r="1280" spans="1:10" x14ac:dyDescent="0.35">
      <c r="A1280" t="s">
        <v>13</v>
      </c>
      <c r="B1280" t="s">
        <v>38</v>
      </c>
      <c r="C1280" s="77" t="s">
        <v>91</v>
      </c>
      <c r="D1280" t="s">
        <v>81</v>
      </c>
      <c r="E1280" s="77" t="s">
        <v>121</v>
      </c>
      <c r="F1280" s="77" t="s">
        <v>73</v>
      </c>
      <c r="G1280" s="77" t="s">
        <v>74</v>
      </c>
      <c r="H1280" s="77" t="s">
        <v>108</v>
      </c>
      <c r="I1280" s="77" t="s">
        <v>84</v>
      </c>
      <c r="J1280" s="76">
        <f>'SUT_EU27 total'!$K$76</f>
        <v>0</v>
      </c>
    </row>
    <row r="1281" spans="1:10" x14ac:dyDescent="0.35">
      <c r="A1281" t="s">
        <v>13</v>
      </c>
      <c r="B1281" t="s">
        <v>38</v>
      </c>
      <c r="C1281" s="77" t="s">
        <v>91</v>
      </c>
      <c r="D1281" t="s">
        <v>81</v>
      </c>
      <c r="E1281" s="77" t="s">
        <v>117</v>
      </c>
      <c r="F1281" s="77" t="s">
        <v>73</v>
      </c>
      <c r="G1281" s="77" t="s">
        <v>74</v>
      </c>
      <c r="H1281" s="77" t="s">
        <v>108</v>
      </c>
      <c r="I1281" s="77" t="s">
        <v>84</v>
      </c>
      <c r="J1281" s="76">
        <f>'SUT_EU27 total'!$K$78</f>
        <v>1.1485683451306521E-3</v>
      </c>
    </row>
    <row r="1282" spans="1:10" x14ac:dyDescent="0.35">
      <c r="A1282" t="s">
        <v>13</v>
      </c>
      <c r="B1282" t="s">
        <v>38</v>
      </c>
      <c r="C1282" s="77" t="s">
        <v>91</v>
      </c>
      <c r="D1282" t="s">
        <v>81</v>
      </c>
      <c r="E1282" s="77" t="s">
        <v>122</v>
      </c>
      <c r="F1282" s="77" t="s">
        <v>73</v>
      </c>
      <c r="G1282" s="77" t="s">
        <v>74</v>
      </c>
      <c r="H1282" s="77" t="s">
        <v>108</v>
      </c>
      <c r="I1282" s="77" t="s">
        <v>84</v>
      </c>
      <c r="J1282" s="76">
        <f>'SUT_EU27 total'!$K$81</f>
        <v>0</v>
      </c>
    </row>
    <row r="1283" spans="1:10" x14ac:dyDescent="0.35">
      <c r="A1283" t="s">
        <v>13</v>
      </c>
      <c r="B1283" t="s">
        <v>38</v>
      </c>
      <c r="C1283" s="77" t="s">
        <v>91</v>
      </c>
      <c r="D1283" t="s">
        <v>81</v>
      </c>
      <c r="E1283" s="77" t="s">
        <v>101</v>
      </c>
      <c r="F1283" s="77" t="s">
        <v>73</v>
      </c>
      <c r="G1283" s="77" t="s">
        <v>74</v>
      </c>
      <c r="H1283" s="77" t="s">
        <v>108</v>
      </c>
      <c r="I1283" s="77" t="s">
        <v>84</v>
      </c>
      <c r="J1283" s="76" cm="1">
        <f t="array" ref="J1283:J1285">'SUT_EU27 total'!$K$83:$K$85</f>
        <v>0</v>
      </c>
    </row>
    <row r="1284" spans="1:10" x14ac:dyDescent="0.35">
      <c r="A1284" t="s">
        <v>13</v>
      </c>
      <c r="B1284" t="s">
        <v>38</v>
      </c>
      <c r="C1284" s="77" t="s">
        <v>91</v>
      </c>
      <c r="D1284" t="s">
        <v>81</v>
      </c>
      <c r="E1284" s="77" t="s">
        <v>104</v>
      </c>
      <c r="F1284" s="77" t="s">
        <v>73</v>
      </c>
      <c r="G1284" s="77" t="s">
        <v>74</v>
      </c>
      <c r="H1284" s="77" t="s">
        <v>108</v>
      </c>
      <c r="I1284" s="77" t="s">
        <v>84</v>
      </c>
      <c r="J1284" s="76">
        <v>0</v>
      </c>
    </row>
    <row r="1285" spans="1:10" x14ac:dyDescent="0.35">
      <c r="A1285" t="s">
        <v>13</v>
      </c>
      <c r="B1285" t="s">
        <v>38</v>
      </c>
      <c r="C1285" s="77" t="s">
        <v>91</v>
      </c>
      <c r="D1285" t="s">
        <v>81</v>
      </c>
      <c r="E1285" s="77" t="s">
        <v>106</v>
      </c>
      <c r="F1285" s="77" t="s">
        <v>73</v>
      </c>
      <c r="G1285" s="77" t="s">
        <v>74</v>
      </c>
      <c r="H1285" s="77" t="s">
        <v>108</v>
      </c>
      <c r="I1285" s="77" t="s">
        <v>84</v>
      </c>
      <c r="J1285" s="76">
        <v>0</v>
      </c>
    </row>
    <row r="1286" spans="1:10" x14ac:dyDescent="0.35">
      <c r="A1286" t="s">
        <v>13</v>
      </c>
      <c r="B1286" t="s">
        <v>38</v>
      </c>
      <c r="C1286" s="77" t="s">
        <v>92</v>
      </c>
      <c r="D1286" t="s">
        <v>81</v>
      </c>
      <c r="E1286" s="77" t="s">
        <v>118</v>
      </c>
      <c r="F1286" s="77" t="s">
        <v>73</v>
      </c>
      <c r="G1286" s="77" t="s">
        <v>74</v>
      </c>
      <c r="H1286" s="77" t="s">
        <v>108</v>
      </c>
      <c r="I1286" s="77" t="s">
        <v>84</v>
      </c>
      <c r="J1286" s="76" cm="1">
        <f t="array" ref="J1286:J1288">'SUT_EU27 total'!$K$89:$K$91</f>
        <v>3.3497344343163542E-3</v>
      </c>
    </row>
    <row r="1287" spans="1:10" x14ac:dyDescent="0.35">
      <c r="A1287" t="s">
        <v>13</v>
      </c>
      <c r="B1287" t="s">
        <v>38</v>
      </c>
      <c r="C1287" s="77" t="s">
        <v>92</v>
      </c>
      <c r="D1287" t="s">
        <v>81</v>
      </c>
      <c r="E1287" s="77" t="s">
        <v>119</v>
      </c>
      <c r="F1287" s="77" t="s">
        <v>73</v>
      </c>
      <c r="G1287" s="77" t="s">
        <v>74</v>
      </c>
      <c r="H1287" s="77" t="s">
        <v>108</v>
      </c>
      <c r="I1287" s="77" t="s">
        <v>84</v>
      </c>
      <c r="J1287" s="76">
        <v>6.0269323460777589E-3</v>
      </c>
    </row>
    <row r="1288" spans="1:10" x14ac:dyDescent="0.35">
      <c r="A1288" t="s">
        <v>13</v>
      </c>
      <c r="B1288" t="s">
        <v>38</v>
      </c>
      <c r="C1288" s="77" t="s">
        <v>92</v>
      </c>
      <c r="D1288" t="s">
        <v>81</v>
      </c>
      <c r="E1288" s="77" t="s">
        <v>120</v>
      </c>
      <c r="F1288" s="77" t="s">
        <v>73</v>
      </c>
      <c r="G1288" s="77" t="s">
        <v>74</v>
      </c>
      <c r="H1288" s="77" t="s">
        <v>108</v>
      </c>
      <c r="I1288" s="77" t="s">
        <v>84</v>
      </c>
      <c r="J1288" s="76">
        <v>4.0947713992508196E-3</v>
      </c>
    </row>
    <row r="1289" spans="1:10" x14ac:dyDescent="0.35">
      <c r="A1289" t="s">
        <v>13</v>
      </c>
      <c r="B1289" t="s">
        <v>38</v>
      </c>
      <c r="C1289" s="77" t="s">
        <v>92</v>
      </c>
      <c r="D1289" t="s">
        <v>81</v>
      </c>
      <c r="E1289" s="77" t="s">
        <v>121</v>
      </c>
      <c r="F1289" s="77" t="s">
        <v>73</v>
      </c>
      <c r="G1289" s="77" t="s">
        <v>74</v>
      </c>
      <c r="H1289" s="77" t="s">
        <v>108</v>
      </c>
      <c r="I1289" s="77" t="s">
        <v>84</v>
      </c>
      <c r="J1289" s="76">
        <f>'SUT_EU27 total'!$K$93</f>
        <v>0</v>
      </c>
    </row>
    <row r="1290" spans="1:10" x14ac:dyDescent="0.35">
      <c r="A1290" t="s">
        <v>13</v>
      </c>
      <c r="B1290" t="s">
        <v>38</v>
      </c>
      <c r="C1290" s="77" t="s">
        <v>92</v>
      </c>
      <c r="D1290" t="s">
        <v>81</v>
      </c>
      <c r="E1290" s="77" t="s">
        <v>117</v>
      </c>
      <c r="F1290" s="77" t="s">
        <v>73</v>
      </c>
      <c r="G1290" s="77" t="s">
        <v>74</v>
      </c>
      <c r="H1290" s="77" t="s">
        <v>108</v>
      </c>
      <c r="I1290" s="77" t="s">
        <v>84</v>
      </c>
      <c r="J1290" s="76">
        <f>'SUT_EU27 total'!$K$95</f>
        <v>0</v>
      </c>
    </row>
    <row r="1291" spans="1:10" x14ac:dyDescent="0.35">
      <c r="A1291" t="s">
        <v>13</v>
      </c>
      <c r="B1291" t="s">
        <v>38</v>
      </c>
      <c r="C1291" s="77" t="s">
        <v>92</v>
      </c>
      <c r="D1291" t="s">
        <v>81</v>
      </c>
      <c r="E1291" s="77" t="s">
        <v>122</v>
      </c>
      <c r="F1291" s="77" t="s">
        <v>73</v>
      </c>
      <c r="G1291" s="77" t="s">
        <v>74</v>
      </c>
      <c r="H1291" s="77" t="s">
        <v>108</v>
      </c>
      <c r="I1291" s="77" t="s">
        <v>84</v>
      </c>
      <c r="J1291" s="76">
        <f>'SUT_EU27 total'!$K$98</f>
        <v>0</v>
      </c>
    </row>
    <row r="1292" spans="1:10" x14ac:dyDescent="0.35">
      <c r="A1292" t="s">
        <v>13</v>
      </c>
      <c r="B1292" t="s">
        <v>38</v>
      </c>
      <c r="C1292" s="77" t="s">
        <v>92</v>
      </c>
      <c r="D1292" t="s">
        <v>81</v>
      </c>
      <c r="E1292" s="77" t="s">
        <v>101</v>
      </c>
      <c r="F1292" s="77" t="s">
        <v>73</v>
      </c>
      <c r="G1292" s="77" t="s">
        <v>74</v>
      </c>
      <c r="H1292" s="77" t="s">
        <v>108</v>
      </c>
      <c r="I1292" s="77" t="s">
        <v>84</v>
      </c>
      <c r="J1292" s="76" cm="1">
        <f t="array" ref="J1292:J1294">'SUT_EU27 total'!$K$100:$K$102</f>
        <v>0</v>
      </c>
    </row>
    <row r="1293" spans="1:10" x14ac:dyDescent="0.35">
      <c r="A1293" t="s">
        <v>13</v>
      </c>
      <c r="B1293" t="s">
        <v>38</v>
      </c>
      <c r="C1293" s="77" t="s">
        <v>92</v>
      </c>
      <c r="D1293" t="s">
        <v>81</v>
      </c>
      <c r="E1293" s="77" t="s">
        <v>104</v>
      </c>
      <c r="F1293" s="77" t="s">
        <v>73</v>
      </c>
      <c r="G1293" s="77" t="s">
        <v>74</v>
      </c>
      <c r="H1293" s="77" t="s">
        <v>108</v>
      </c>
      <c r="I1293" s="77" t="s">
        <v>84</v>
      </c>
      <c r="J1293" s="76">
        <v>0</v>
      </c>
    </row>
    <row r="1294" spans="1:10" x14ac:dyDescent="0.35">
      <c r="A1294" t="s">
        <v>13</v>
      </c>
      <c r="B1294" t="s">
        <v>38</v>
      </c>
      <c r="C1294" s="77" t="s">
        <v>92</v>
      </c>
      <c r="D1294" t="s">
        <v>81</v>
      </c>
      <c r="E1294" s="77" t="s">
        <v>106</v>
      </c>
      <c r="F1294" s="77" t="s">
        <v>73</v>
      </c>
      <c r="G1294" s="77" t="s">
        <v>74</v>
      </c>
      <c r="H1294" s="77" t="s">
        <v>108</v>
      </c>
      <c r="I1294" s="77" t="s">
        <v>84</v>
      </c>
      <c r="J1294" s="76">
        <v>0</v>
      </c>
    </row>
    <row r="1295" spans="1:10" x14ac:dyDescent="0.35">
      <c r="A1295" t="s">
        <v>13</v>
      </c>
      <c r="B1295" t="s">
        <v>38</v>
      </c>
      <c r="C1295" s="77" t="s">
        <v>93</v>
      </c>
      <c r="D1295" t="s">
        <v>81</v>
      </c>
      <c r="E1295" s="77" t="s">
        <v>118</v>
      </c>
      <c r="F1295" s="77" t="s">
        <v>73</v>
      </c>
      <c r="G1295" s="77" t="s">
        <v>74</v>
      </c>
      <c r="H1295" s="77" t="s">
        <v>108</v>
      </c>
      <c r="I1295" s="77" t="s">
        <v>84</v>
      </c>
      <c r="J1295" s="76" cm="1">
        <f t="array" ref="J1295:J1297">'SUT_EU27 total'!$K$106:$K$108</f>
        <v>1.4980971667560324E-2</v>
      </c>
    </row>
    <row r="1296" spans="1:10" x14ac:dyDescent="0.35">
      <c r="A1296" t="s">
        <v>13</v>
      </c>
      <c r="B1296" t="s">
        <v>38</v>
      </c>
      <c r="C1296" s="77" t="s">
        <v>93</v>
      </c>
      <c r="D1296" t="s">
        <v>81</v>
      </c>
      <c r="E1296" s="77" t="s">
        <v>119</v>
      </c>
      <c r="F1296" s="77" t="s">
        <v>73</v>
      </c>
      <c r="G1296" s="77" t="s">
        <v>74</v>
      </c>
      <c r="H1296" s="77" t="s">
        <v>108</v>
      </c>
      <c r="I1296" s="77" t="s">
        <v>84</v>
      </c>
      <c r="J1296" s="76">
        <v>4.3405477873147885E-2</v>
      </c>
    </row>
    <row r="1297" spans="1:10" x14ac:dyDescent="0.35">
      <c r="A1297" t="s">
        <v>13</v>
      </c>
      <c r="B1297" t="s">
        <v>38</v>
      </c>
      <c r="C1297" s="77" t="s">
        <v>93</v>
      </c>
      <c r="D1297" t="s">
        <v>81</v>
      </c>
      <c r="E1297" s="77" t="s">
        <v>120</v>
      </c>
      <c r="F1297" s="77" t="s">
        <v>73</v>
      </c>
      <c r="G1297" s="77" t="s">
        <v>74</v>
      </c>
      <c r="H1297" s="77" t="s">
        <v>108</v>
      </c>
      <c r="I1297" s="77" t="s">
        <v>84</v>
      </c>
      <c r="J1297" s="76">
        <v>2.1237093113781802E-2</v>
      </c>
    </row>
    <row r="1298" spans="1:10" x14ac:dyDescent="0.35">
      <c r="A1298" t="s">
        <v>13</v>
      </c>
      <c r="B1298" t="s">
        <v>38</v>
      </c>
      <c r="C1298" s="77" t="s">
        <v>93</v>
      </c>
      <c r="D1298" t="s">
        <v>81</v>
      </c>
      <c r="E1298" s="77" t="s">
        <v>121</v>
      </c>
      <c r="F1298" s="77" t="s">
        <v>73</v>
      </c>
      <c r="G1298" s="77" t="s">
        <v>74</v>
      </c>
      <c r="H1298" s="77" t="s">
        <v>108</v>
      </c>
      <c r="I1298" s="77" t="s">
        <v>84</v>
      </c>
      <c r="J1298" s="76">
        <f>'SUT_EU27 total'!$K$110</f>
        <v>0</v>
      </c>
    </row>
    <row r="1299" spans="1:10" x14ac:dyDescent="0.35">
      <c r="A1299" t="s">
        <v>13</v>
      </c>
      <c r="B1299" t="s">
        <v>38</v>
      </c>
      <c r="C1299" s="77" t="s">
        <v>93</v>
      </c>
      <c r="D1299" t="s">
        <v>81</v>
      </c>
      <c r="E1299" s="77" t="s">
        <v>117</v>
      </c>
      <c r="F1299" s="77" t="s">
        <v>73</v>
      </c>
      <c r="G1299" s="77" t="s">
        <v>74</v>
      </c>
      <c r="H1299" s="77" t="s">
        <v>108</v>
      </c>
      <c r="I1299" s="77" t="s">
        <v>84</v>
      </c>
      <c r="J1299" s="76">
        <f>'SUT_EU27 total'!$K$112</f>
        <v>1.1930984723440377E-3</v>
      </c>
    </row>
    <row r="1300" spans="1:10" x14ac:dyDescent="0.35">
      <c r="A1300" t="s">
        <v>13</v>
      </c>
      <c r="B1300" t="s">
        <v>38</v>
      </c>
      <c r="C1300" s="77" t="s">
        <v>93</v>
      </c>
      <c r="D1300" t="s">
        <v>81</v>
      </c>
      <c r="E1300" s="77" t="s">
        <v>122</v>
      </c>
      <c r="F1300" s="77" t="s">
        <v>73</v>
      </c>
      <c r="G1300" s="77" t="s">
        <v>74</v>
      </c>
      <c r="H1300" s="77" t="s">
        <v>108</v>
      </c>
      <c r="I1300" s="77" t="s">
        <v>84</v>
      </c>
      <c r="J1300" s="76">
        <f>'SUT_EU27 total'!$K$115</f>
        <v>8.7987828585017833E-3</v>
      </c>
    </row>
    <row r="1301" spans="1:10" x14ac:dyDescent="0.35">
      <c r="A1301" t="s">
        <v>13</v>
      </c>
      <c r="B1301" t="s">
        <v>38</v>
      </c>
      <c r="C1301" s="77" t="s">
        <v>93</v>
      </c>
      <c r="D1301" t="s">
        <v>81</v>
      </c>
      <c r="E1301" s="77" t="s">
        <v>101</v>
      </c>
      <c r="F1301" s="77" t="s">
        <v>73</v>
      </c>
      <c r="G1301" s="77" t="s">
        <v>74</v>
      </c>
      <c r="H1301" s="77" t="s">
        <v>108</v>
      </c>
      <c r="I1301" s="77" t="s">
        <v>84</v>
      </c>
      <c r="J1301" s="76" cm="1">
        <f t="array" ref="J1301:J1303">'SUT_EU27 total'!$K$117:$K$119</f>
        <v>0</v>
      </c>
    </row>
    <row r="1302" spans="1:10" x14ac:dyDescent="0.35">
      <c r="A1302" t="s">
        <v>13</v>
      </c>
      <c r="B1302" t="s">
        <v>38</v>
      </c>
      <c r="C1302" s="77" t="s">
        <v>93</v>
      </c>
      <c r="D1302" t="s">
        <v>81</v>
      </c>
      <c r="E1302" s="77" t="s">
        <v>104</v>
      </c>
      <c r="F1302" s="77" t="s">
        <v>73</v>
      </c>
      <c r="G1302" s="77" t="s">
        <v>74</v>
      </c>
      <c r="H1302" s="77" t="s">
        <v>108</v>
      </c>
      <c r="I1302" s="77" t="s">
        <v>84</v>
      </c>
      <c r="J1302" s="76">
        <v>0</v>
      </c>
    </row>
    <row r="1303" spans="1:10" x14ac:dyDescent="0.35">
      <c r="A1303" t="s">
        <v>13</v>
      </c>
      <c r="B1303" t="s">
        <v>38</v>
      </c>
      <c r="C1303" s="77" t="s">
        <v>93</v>
      </c>
      <c r="D1303" t="s">
        <v>81</v>
      </c>
      <c r="E1303" s="77" t="s">
        <v>106</v>
      </c>
      <c r="F1303" s="77" t="s">
        <v>73</v>
      </c>
      <c r="G1303" s="77" t="s">
        <v>74</v>
      </c>
      <c r="H1303" s="77" t="s">
        <v>108</v>
      </c>
      <c r="I1303" s="77" t="s">
        <v>84</v>
      </c>
      <c r="J1303" s="76">
        <v>0</v>
      </c>
    </row>
    <row r="1304" spans="1:10" x14ac:dyDescent="0.35">
      <c r="A1304" t="s">
        <v>13</v>
      </c>
      <c r="B1304" t="s">
        <v>38</v>
      </c>
      <c r="C1304" s="77" t="s">
        <v>73</v>
      </c>
      <c r="D1304" t="s">
        <v>81</v>
      </c>
      <c r="E1304" s="77" t="s">
        <v>119</v>
      </c>
      <c r="F1304" s="77" t="s">
        <v>73</v>
      </c>
      <c r="G1304" s="77" t="s">
        <v>74</v>
      </c>
      <c r="H1304" s="77" t="s">
        <v>123</v>
      </c>
      <c r="I1304" s="77" t="s">
        <v>84</v>
      </c>
      <c r="J1304" s="76">
        <f>'SUT_EU27 total'!$L$22</f>
        <v>1.9500181678711294E-2</v>
      </c>
    </row>
    <row r="1305" spans="1:10" x14ac:dyDescent="0.35">
      <c r="A1305" t="s">
        <v>13</v>
      </c>
      <c r="B1305" t="s">
        <v>38</v>
      </c>
      <c r="C1305" s="77" t="s">
        <v>73</v>
      </c>
      <c r="D1305" t="s">
        <v>81</v>
      </c>
      <c r="E1305" s="77" t="s">
        <v>124</v>
      </c>
      <c r="F1305" s="77" t="s">
        <v>73</v>
      </c>
      <c r="G1305" s="77" t="s">
        <v>74</v>
      </c>
      <c r="H1305" s="77" t="s">
        <v>123</v>
      </c>
      <c r="I1305" s="77" t="s">
        <v>84</v>
      </c>
      <c r="J1305" s="76" cm="1">
        <f t="array" ref="J1305:J1313">'SUT_EU27 total'!$L$26:$L$34</f>
        <v>1.9404661061278542E-3</v>
      </c>
    </row>
    <row r="1306" spans="1:10" x14ac:dyDescent="0.35">
      <c r="A1306" t="s">
        <v>13</v>
      </c>
      <c r="B1306" t="s">
        <v>38</v>
      </c>
      <c r="C1306" s="77" t="s">
        <v>73</v>
      </c>
      <c r="D1306" t="s">
        <v>81</v>
      </c>
      <c r="E1306" s="77" t="s">
        <v>117</v>
      </c>
      <c r="F1306" s="77" t="s">
        <v>73</v>
      </c>
      <c r="G1306" s="77" t="s">
        <v>74</v>
      </c>
      <c r="H1306" s="77" t="s">
        <v>123</v>
      </c>
      <c r="I1306" s="77" t="s">
        <v>84</v>
      </c>
      <c r="J1306" s="76">
        <v>5.8423628191201782E-3</v>
      </c>
    </row>
    <row r="1307" spans="1:10" x14ac:dyDescent="0.35">
      <c r="A1307" t="s">
        <v>13</v>
      </c>
      <c r="B1307" t="s">
        <v>38</v>
      </c>
      <c r="C1307" s="77" t="s">
        <v>73</v>
      </c>
      <c r="D1307" t="s">
        <v>81</v>
      </c>
      <c r="E1307" s="77" t="s">
        <v>82</v>
      </c>
      <c r="F1307" s="77" t="s">
        <v>73</v>
      </c>
      <c r="G1307" s="77" t="s">
        <v>74</v>
      </c>
      <c r="H1307" s="77" t="s">
        <v>123</v>
      </c>
      <c r="I1307" s="77" t="s">
        <v>84</v>
      </c>
      <c r="J1307" s="76">
        <v>4.8981233243967828E-4</v>
      </c>
    </row>
    <row r="1308" spans="1:10" x14ac:dyDescent="0.35">
      <c r="A1308" t="s">
        <v>13</v>
      </c>
      <c r="B1308" t="s">
        <v>38</v>
      </c>
      <c r="C1308" s="77" t="s">
        <v>73</v>
      </c>
      <c r="D1308" t="s">
        <v>81</v>
      </c>
      <c r="E1308" s="77" t="s">
        <v>125</v>
      </c>
      <c r="F1308" s="77" t="s">
        <v>73</v>
      </c>
      <c r="G1308" s="77" t="s">
        <v>74</v>
      </c>
      <c r="H1308" s="77" t="s">
        <v>123</v>
      </c>
      <c r="I1308" s="77" t="s">
        <v>84</v>
      </c>
      <c r="J1308" s="76">
        <v>2.4658201215687387E-3</v>
      </c>
    </row>
    <row r="1309" spans="1:10" x14ac:dyDescent="0.35">
      <c r="A1309" t="s">
        <v>13</v>
      </c>
      <c r="B1309" t="s">
        <v>38</v>
      </c>
      <c r="C1309" s="77" t="s">
        <v>73</v>
      </c>
      <c r="D1309" t="s">
        <v>81</v>
      </c>
      <c r="E1309" s="77" t="s">
        <v>122</v>
      </c>
      <c r="F1309" s="77" t="s">
        <v>73</v>
      </c>
      <c r="G1309" s="77" t="s">
        <v>74</v>
      </c>
      <c r="H1309" s="77" t="s">
        <v>123</v>
      </c>
      <c r="I1309" s="77" t="s">
        <v>84</v>
      </c>
      <c r="J1309" s="76">
        <v>4.922711058263972E-4</v>
      </c>
    </row>
    <row r="1310" spans="1:10" x14ac:dyDescent="0.35">
      <c r="A1310" t="s">
        <v>13</v>
      </c>
      <c r="B1310" t="s">
        <v>38</v>
      </c>
      <c r="C1310" s="77" t="s">
        <v>73</v>
      </c>
      <c r="D1310" t="s">
        <v>81</v>
      </c>
      <c r="E1310" s="77" t="s">
        <v>126</v>
      </c>
      <c r="F1310" s="77" t="s">
        <v>73</v>
      </c>
      <c r="G1310" s="77" t="s">
        <v>74</v>
      </c>
      <c r="H1310" s="77" t="s">
        <v>123</v>
      </c>
      <c r="I1310" s="77" t="s">
        <v>84</v>
      </c>
      <c r="J1310" s="76">
        <v>0</v>
      </c>
    </row>
    <row r="1311" spans="1:10" x14ac:dyDescent="0.35">
      <c r="A1311" t="s">
        <v>13</v>
      </c>
      <c r="B1311" t="s">
        <v>38</v>
      </c>
      <c r="C1311" s="77" t="s">
        <v>73</v>
      </c>
      <c r="D1311" t="s">
        <v>81</v>
      </c>
      <c r="E1311" s="77" t="s">
        <v>101</v>
      </c>
      <c r="F1311" s="77" t="s">
        <v>73</v>
      </c>
      <c r="G1311" s="77" t="s">
        <v>74</v>
      </c>
      <c r="H1311" s="77" t="s">
        <v>123</v>
      </c>
      <c r="I1311" s="77" t="s">
        <v>84</v>
      </c>
      <c r="J1311" s="76">
        <v>3.7860913795851507E-4</v>
      </c>
    </row>
    <row r="1312" spans="1:10" x14ac:dyDescent="0.35">
      <c r="A1312" t="s">
        <v>13</v>
      </c>
      <c r="B1312" t="s">
        <v>38</v>
      </c>
      <c r="C1312" s="77" t="s">
        <v>73</v>
      </c>
      <c r="D1312" t="s">
        <v>81</v>
      </c>
      <c r="E1312" s="77" t="s">
        <v>104</v>
      </c>
      <c r="F1312" s="77" t="s">
        <v>73</v>
      </c>
      <c r="G1312" s="77" t="s">
        <v>74</v>
      </c>
      <c r="H1312" s="77" t="s">
        <v>123</v>
      </c>
      <c r="I1312" s="77" t="s">
        <v>84</v>
      </c>
      <c r="J1312" s="76">
        <v>7.1686251377883477E-4</v>
      </c>
    </row>
    <row r="1313" spans="1:10" x14ac:dyDescent="0.35">
      <c r="A1313" t="s">
        <v>13</v>
      </c>
      <c r="B1313" t="s">
        <v>38</v>
      </c>
      <c r="C1313" s="77" t="s">
        <v>73</v>
      </c>
      <c r="D1313" t="s">
        <v>81</v>
      </c>
      <c r="E1313" s="77" t="s">
        <v>106</v>
      </c>
      <c r="F1313" s="77" t="s">
        <v>73</v>
      </c>
      <c r="G1313" s="77" t="s">
        <v>74</v>
      </c>
      <c r="H1313" s="77" t="s">
        <v>123</v>
      </c>
      <c r="I1313" s="77" t="s">
        <v>84</v>
      </c>
      <c r="J1313" s="76">
        <v>2.438307869996036E-3</v>
      </c>
    </row>
    <row r="1314" spans="1:10" x14ac:dyDescent="0.35">
      <c r="A1314" t="s">
        <v>13</v>
      </c>
      <c r="B1314" t="s">
        <v>38</v>
      </c>
      <c r="C1314" s="77" t="s">
        <v>88</v>
      </c>
      <c r="D1314" t="s">
        <v>81</v>
      </c>
      <c r="E1314" s="77" t="s">
        <v>119</v>
      </c>
      <c r="F1314" s="77" t="s">
        <v>73</v>
      </c>
      <c r="G1314" s="77" t="s">
        <v>74</v>
      </c>
      <c r="H1314" s="77" t="s">
        <v>123</v>
      </c>
      <c r="I1314" s="77" t="s">
        <v>84</v>
      </c>
      <c r="J1314" s="76">
        <f>'SUT_EU27 total'!$L$39</f>
        <v>0.16108845734587587</v>
      </c>
    </row>
    <row r="1315" spans="1:10" x14ac:dyDescent="0.35">
      <c r="A1315" t="s">
        <v>13</v>
      </c>
      <c r="B1315" t="s">
        <v>38</v>
      </c>
      <c r="C1315" s="77" t="s">
        <v>88</v>
      </c>
      <c r="D1315" t="s">
        <v>81</v>
      </c>
      <c r="E1315" s="77" t="s">
        <v>124</v>
      </c>
      <c r="F1315" s="77" t="s">
        <v>73</v>
      </c>
      <c r="G1315" s="77" t="s">
        <v>74</v>
      </c>
      <c r="H1315" s="77" t="s">
        <v>123</v>
      </c>
      <c r="I1315" s="77" t="s">
        <v>84</v>
      </c>
      <c r="J1315" s="76" cm="1">
        <f t="array" ref="J1315:J1323">'SUT_EU27 total'!$M$43:$M$51</f>
        <v>5.0558836222750793E-4</v>
      </c>
    </row>
    <row r="1316" spans="1:10" x14ac:dyDescent="0.35">
      <c r="A1316" t="s">
        <v>13</v>
      </c>
      <c r="B1316" t="s">
        <v>38</v>
      </c>
      <c r="C1316" s="77" t="s">
        <v>88</v>
      </c>
      <c r="D1316" t="s">
        <v>81</v>
      </c>
      <c r="E1316" s="77" t="s">
        <v>117</v>
      </c>
      <c r="F1316" s="77" t="s">
        <v>73</v>
      </c>
      <c r="G1316" s="77" t="s">
        <v>74</v>
      </c>
      <c r="H1316" s="77" t="s">
        <v>123</v>
      </c>
      <c r="I1316" s="77" t="s">
        <v>84</v>
      </c>
      <c r="J1316" s="76">
        <v>4.8514464106651379E-3</v>
      </c>
    </row>
    <row r="1317" spans="1:10" x14ac:dyDescent="0.35">
      <c r="A1317" t="s">
        <v>13</v>
      </c>
      <c r="B1317" t="s">
        <v>38</v>
      </c>
      <c r="C1317" s="77" t="s">
        <v>88</v>
      </c>
      <c r="D1317" t="s">
        <v>81</v>
      </c>
      <c r="E1317" s="77" t="s">
        <v>82</v>
      </c>
      <c r="F1317" s="77" t="s">
        <v>73</v>
      </c>
      <c r="G1317" s="77" t="s">
        <v>74</v>
      </c>
      <c r="H1317" s="77" t="s">
        <v>123</v>
      </c>
      <c r="I1317" s="77" t="s">
        <v>84</v>
      </c>
      <c r="J1317" s="76">
        <v>1.109418436791091E-2</v>
      </c>
    </row>
    <row r="1318" spans="1:10" x14ac:dyDescent="0.35">
      <c r="A1318" t="s">
        <v>13</v>
      </c>
      <c r="B1318" t="s">
        <v>38</v>
      </c>
      <c r="C1318" s="77" t="s">
        <v>88</v>
      </c>
      <c r="D1318" t="s">
        <v>81</v>
      </c>
      <c r="E1318" s="77" t="s">
        <v>125</v>
      </c>
      <c r="F1318" s="77" t="s">
        <v>73</v>
      </c>
      <c r="G1318" s="77" t="s">
        <v>74</v>
      </c>
      <c r="H1318" s="77" t="s">
        <v>123</v>
      </c>
      <c r="I1318" s="77" t="s">
        <v>84</v>
      </c>
      <c r="J1318" s="76">
        <v>2.890870278990243E-5</v>
      </c>
    </row>
    <row r="1319" spans="1:10" x14ac:dyDescent="0.35">
      <c r="A1319" t="s">
        <v>13</v>
      </c>
      <c r="B1319" t="s">
        <v>38</v>
      </c>
      <c r="C1319" s="77" t="s">
        <v>88</v>
      </c>
      <c r="D1319" t="s">
        <v>81</v>
      </c>
      <c r="E1319" s="77" t="s">
        <v>122</v>
      </c>
      <c r="F1319" s="77" t="s">
        <v>73</v>
      </c>
      <c r="G1319" s="77" t="s">
        <v>74</v>
      </c>
      <c r="H1319" s="77" t="s">
        <v>123</v>
      </c>
      <c r="I1319" s="77" t="s">
        <v>84</v>
      </c>
      <c r="J1319" s="76">
        <v>0</v>
      </c>
    </row>
    <row r="1320" spans="1:10" x14ac:dyDescent="0.35">
      <c r="A1320" t="s">
        <v>13</v>
      </c>
      <c r="B1320" t="s">
        <v>38</v>
      </c>
      <c r="C1320" s="77" t="s">
        <v>88</v>
      </c>
      <c r="D1320" t="s">
        <v>81</v>
      </c>
      <c r="E1320" s="77" t="s">
        <v>126</v>
      </c>
      <c r="F1320" s="77" t="s">
        <v>73</v>
      </c>
      <c r="G1320" s="77" t="s">
        <v>74</v>
      </c>
      <c r="H1320" s="77" t="s">
        <v>123</v>
      </c>
      <c r="I1320" s="77" t="s">
        <v>84</v>
      </c>
      <c r="J1320" s="76">
        <v>2.8514320987501449E-3</v>
      </c>
    </row>
    <row r="1321" spans="1:10" x14ac:dyDescent="0.35">
      <c r="A1321" t="s">
        <v>13</v>
      </c>
      <c r="B1321" t="s">
        <v>38</v>
      </c>
      <c r="C1321" s="77" t="s">
        <v>88</v>
      </c>
      <c r="D1321" t="s">
        <v>81</v>
      </c>
      <c r="E1321" s="77" t="s">
        <v>101</v>
      </c>
      <c r="F1321" s="77" t="s">
        <v>73</v>
      </c>
      <c r="G1321" s="77" t="s">
        <v>74</v>
      </c>
      <c r="H1321" s="77" t="s">
        <v>123</v>
      </c>
      <c r="I1321" s="77" t="s">
        <v>84</v>
      </c>
      <c r="J1321" s="76">
        <v>0</v>
      </c>
    </row>
    <row r="1322" spans="1:10" x14ac:dyDescent="0.35">
      <c r="A1322" t="s">
        <v>13</v>
      </c>
      <c r="B1322" t="s">
        <v>38</v>
      </c>
      <c r="C1322" s="77" t="s">
        <v>88</v>
      </c>
      <c r="D1322" t="s">
        <v>81</v>
      </c>
      <c r="E1322" s="77" t="s">
        <v>104</v>
      </c>
      <c r="F1322" s="77" t="s">
        <v>73</v>
      </c>
      <c r="G1322" s="77" t="s">
        <v>74</v>
      </c>
      <c r="H1322" s="77" t="s">
        <v>123</v>
      </c>
      <c r="I1322" s="77" t="s">
        <v>84</v>
      </c>
      <c r="J1322" s="76">
        <v>0</v>
      </c>
    </row>
    <row r="1323" spans="1:10" x14ac:dyDescent="0.35">
      <c r="A1323" t="s">
        <v>13</v>
      </c>
      <c r="B1323" t="s">
        <v>38</v>
      </c>
      <c r="C1323" s="77" t="s">
        <v>88</v>
      </c>
      <c r="D1323" t="s">
        <v>81</v>
      </c>
      <c r="E1323" s="77" t="s">
        <v>106</v>
      </c>
      <c r="F1323" s="77" t="s">
        <v>73</v>
      </c>
      <c r="G1323" s="77" t="s">
        <v>74</v>
      </c>
      <c r="H1323" s="77" t="s">
        <v>123</v>
      </c>
      <c r="I1323" s="77" t="s">
        <v>84</v>
      </c>
      <c r="J1323" s="76">
        <v>0</v>
      </c>
    </row>
    <row r="1324" spans="1:10" x14ac:dyDescent="0.35">
      <c r="A1324" t="s">
        <v>13</v>
      </c>
      <c r="B1324" t="s">
        <v>38</v>
      </c>
      <c r="C1324" s="77" t="s">
        <v>90</v>
      </c>
      <c r="D1324" t="s">
        <v>81</v>
      </c>
      <c r="E1324" s="77" t="s">
        <v>119</v>
      </c>
      <c r="F1324" s="77" t="s">
        <v>73</v>
      </c>
      <c r="G1324" s="77" t="s">
        <v>74</v>
      </c>
      <c r="H1324" s="77" t="s">
        <v>123</v>
      </c>
      <c r="I1324" s="77" t="s">
        <v>84</v>
      </c>
      <c r="J1324" s="76">
        <f>'SUT_EU27 total'!$M$56</f>
        <v>2.949251079979006E-2</v>
      </c>
    </row>
    <row r="1325" spans="1:10" x14ac:dyDescent="0.35">
      <c r="A1325" t="s">
        <v>13</v>
      </c>
      <c r="B1325" t="s">
        <v>38</v>
      </c>
      <c r="C1325" s="77" t="s">
        <v>90</v>
      </c>
      <c r="D1325" t="s">
        <v>81</v>
      </c>
      <c r="E1325" s="77" t="s">
        <v>124</v>
      </c>
      <c r="F1325" s="77" t="s">
        <v>73</v>
      </c>
      <c r="G1325" s="77" t="s">
        <v>74</v>
      </c>
      <c r="H1325" s="77" t="s">
        <v>123</v>
      </c>
      <c r="I1325" s="77" t="s">
        <v>84</v>
      </c>
      <c r="J1325" s="76" cm="1">
        <f t="array" ref="J1325:J1333">'SUT_EU27 total'!$L$60:$L$68</f>
        <v>2.1047443073980527E-5</v>
      </c>
    </row>
    <row r="1326" spans="1:10" x14ac:dyDescent="0.35">
      <c r="A1326" t="s">
        <v>13</v>
      </c>
      <c r="B1326" t="s">
        <v>38</v>
      </c>
      <c r="C1326" s="77" t="s">
        <v>90</v>
      </c>
      <c r="D1326" t="s">
        <v>81</v>
      </c>
      <c r="E1326" s="77" t="s">
        <v>117</v>
      </c>
      <c r="F1326" s="77" t="s">
        <v>73</v>
      </c>
      <c r="G1326" s="77" t="s">
        <v>74</v>
      </c>
      <c r="H1326" s="77" t="s">
        <v>123</v>
      </c>
      <c r="I1326" s="77" t="s">
        <v>84</v>
      </c>
      <c r="J1326" s="76">
        <v>5.8414015621608938E-3</v>
      </c>
    </row>
    <row r="1327" spans="1:10" x14ac:dyDescent="0.35">
      <c r="A1327" t="s">
        <v>13</v>
      </c>
      <c r="B1327" t="s">
        <v>38</v>
      </c>
      <c r="C1327" s="77" t="s">
        <v>90</v>
      </c>
      <c r="D1327" t="s">
        <v>81</v>
      </c>
      <c r="E1327" s="77" t="s">
        <v>82</v>
      </c>
      <c r="F1327" s="77" t="s">
        <v>73</v>
      </c>
      <c r="G1327" s="77" t="s">
        <v>74</v>
      </c>
      <c r="H1327" s="77" t="s">
        <v>123</v>
      </c>
      <c r="I1327" s="77" t="s">
        <v>84</v>
      </c>
      <c r="J1327" s="76">
        <v>1.4521138379047227E-3</v>
      </c>
    </row>
    <row r="1328" spans="1:10" x14ac:dyDescent="0.35">
      <c r="A1328" t="s">
        <v>13</v>
      </c>
      <c r="B1328" t="s">
        <v>38</v>
      </c>
      <c r="C1328" s="77" t="s">
        <v>90</v>
      </c>
      <c r="D1328" t="s">
        <v>81</v>
      </c>
      <c r="E1328" s="77" t="s">
        <v>125</v>
      </c>
      <c r="F1328" s="77" t="s">
        <v>73</v>
      </c>
      <c r="G1328" s="77" t="s">
        <v>74</v>
      </c>
      <c r="H1328" s="77" t="s">
        <v>123</v>
      </c>
      <c r="I1328" s="77" t="s">
        <v>84</v>
      </c>
      <c r="J1328" s="76">
        <v>6.5130870114372285E-5</v>
      </c>
    </row>
    <row r="1329" spans="1:10" x14ac:dyDescent="0.35">
      <c r="A1329" t="s">
        <v>13</v>
      </c>
      <c r="B1329" t="s">
        <v>38</v>
      </c>
      <c r="C1329" s="77" t="s">
        <v>90</v>
      </c>
      <c r="D1329" t="s">
        <v>81</v>
      </c>
      <c r="E1329" s="77" t="s">
        <v>122</v>
      </c>
      <c r="F1329" s="77" t="s">
        <v>73</v>
      </c>
      <c r="G1329" s="77" t="s">
        <v>74</v>
      </c>
      <c r="H1329" s="77" t="s">
        <v>123</v>
      </c>
      <c r="I1329" s="77" t="s">
        <v>84</v>
      </c>
      <c r="J1329" s="76">
        <v>7.9476813317479189E-4</v>
      </c>
    </row>
    <row r="1330" spans="1:10" x14ac:dyDescent="0.35">
      <c r="A1330" t="s">
        <v>13</v>
      </c>
      <c r="B1330" t="s">
        <v>38</v>
      </c>
      <c r="C1330" s="77" t="s">
        <v>90</v>
      </c>
      <c r="D1330" t="s">
        <v>81</v>
      </c>
      <c r="E1330" s="77" t="s">
        <v>126</v>
      </c>
      <c r="F1330" s="77" t="s">
        <v>73</v>
      </c>
      <c r="G1330" s="77" t="s">
        <v>74</v>
      </c>
      <c r="H1330" s="77" t="s">
        <v>123</v>
      </c>
      <c r="I1330" s="77" t="s">
        <v>84</v>
      </c>
      <c r="J1330" s="76">
        <v>8.4821183458843076E-3</v>
      </c>
    </row>
    <row r="1331" spans="1:10" x14ac:dyDescent="0.35">
      <c r="A1331" t="s">
        <v>13</v>
      </c>
      <c r="B1331" t="s">
        <v>38</v>
      </c>
      <c r="C1331" s="77" t="s">
        <v>90</v>
      </c>
      <c r="D1331" t="s">
        <v>81</v>
      </c>
      <c r="E1331" s="77" t="s">
        <v>101</v>
      </c>
      <c r="F1331" s="77" t="s">
        <v>73</v>
      </c>
      <c r="G1331" s="77" t="s">
        <v>74</v>
      </c>
      <c r="H1331" s="77" t="s">
        <v>123</v>
      </c>
      <c r="I1331" s="77" t="s">
        <v>84</v>
      </c>
      <c r="J1331" s="76">
        <v>0</v>
      </c>
    </row>
    <row r="1332" spans="1:10" x14ac:dyDescent="0.35">
      <c r="A1332" t="s">
        <v>13</v>
      </c>
      <c r="B1332" t="s">
        <v>38</v>
      </c>
      <c r="C1332" s="77" t="s">
        <v>90</v>
      </c>
      <c r="D1332" t="s">
        <v>81</v>
      </c>
      <c r="E1332" s="77" t="s">
        <v>104</v>
      </c>
      <c r="F1332" s="77" t="s">
        <v>73</v>
      </c>
      <c r="G1332" s="77" t="s">
        <v>74</v>
      </c>
      <c r="H1332" s="77" t="s">
        <v>123</v>
      </c>
      <c r="I1332" s="77" t="s">
        <v>84</v>
      </c>
      <c r="J1332" s="76">
        <v>0</v>
      </c>
    </row>
    <row r="1333" spans="1:10" x14ac:dyDescent="0.35">
      <c r="A1333" t="s">
        <v>13</v>
      </c>
      <c r="B1333" t="s">
        <v>38</v>
      </c>
      <c r="C1333" s="77" t="s">
        <v>90</v>
      </c>
      <c r="D1333" t="s">
        <v>81</v>
      </c>
      <c r="E1333" s="77" t="s">
        <v>106</v>
      </c>
      <c r="F1333" s="77" t="s">
        <v>73</v>
      </c>
      <c r="G1333" s="77" t="s">
        <v>74</v>
      </c>
      <c r="H1333" s="77" t="s">
        <v>123</v>
      </c>
      <c r="I1333" s="77" t="s">
        <v>84</v>
      </c>
      <c r="J1333" s="76">
        <v>0</v>
      </c>
    </row>
    <row r="1334" spans="1:10" x14ac:dyDescent="0.35">
      <c r="A1334" t="s">
        <v>13</v>
      </c>
      <c r="B1334" t="s">
        <v>38</v>
      </c>
      <c r="C1334" s="77" t="s">
        <v>91</v>
      </c>
      <c r="D1334" t="s">
        <v>81</v>
      </c>
      <c r="E1334" s="77" t="s">
        <v>119</v>
      </c>
      <c r="F1334" s="77" t="s">
        <v>73</v>
      </c>
      <c r="G1334" s="77" t="s">
        <v>74</v>
      </c>
      <c r="H1334" s="77" t="s">
        <v>123</v>
      </c>
      <c r="I1334" s="77" t="s">
        <v>84</v>
      </c>
      <c r="J1334" s="76">
        <f>'SUT_EU27 total'!$L$73</f>
        <v>0.15097500908393557</v>
      </c>
    </row>
    <row r="1335" spans="1:10" x14ac:dyDescent="0.35">
      <c r="A1335" t="s">
        <v>13</v>
      </c>
      <c r="B1335" t="s">
        <v>38</v>
      </c>
      <c r="C1335" s="77" t="s">
        <v>91</v>
      </c>
      <c r="D1335" t="s">
        <v>81</v>
      </c>
      <c r="E1335" s="77" t="s">
        <v>124</v>
      </c>
      <c r="F1335" s="77" t="s">
        <v>73</v>
      </c>
      <c r="G1335" s="77" t="s">
        <v>74</v>
      </c>
      <c r="H1335" s="77" t="s">
        <v>123</v>
      </c>
      <c r="I1335" s="77" t="s">
        <v>84</v>
      </c>
      <c r="J1335" s="76" cm="1">
        <f t="array" ref="J1335:J1343">'SUT_EU27 total'!$L$77:$L$85</f>
        <v>6.7728942399646885E-5</v>
      </c>
    </row>
    <row r="1336" spans="1:10" x14ac:dyDescent="0.35">
      <c r="A1336" t="s">
        <v>13</v>
      </c>
      <c r="B1336" t="s">
        <v>38</v>
      </c>
      <c r="C1336" s="77" t="s">
        <v>91</v>
      </c>
      <c r="D1336" t="s">
        <v>81</v>
      </c>
      <c r="E1336" s="77" t="s">
        <v>117</v>
      </c>
      <c r="F1336" s="77" t="s">
        <v>73</v>
      </c>
      <c r="G1336" s="77" t="s">
        <v>74</v>
      </c>
      <c r="H1336" s="77" t="s">
        <v>123</v>
      </c>
      <c r="I1336" s="77" t="s">
        <v>84</v>
      </c>
      <c r="J1336" s="76">
        <v>5.6233849622410815E-3</v>
      </c>
    </row>
    <row r="1337" spans="1:10" x14ac:dyDescent="0.35">
      <c r="A1337" t="s">
        <v>13</v>
      </c>
      <c r="B1337" t="s">
        <v>38</v>
      </c>
      <c r="C1337" s="77" t="s">
        <v>91</v>
      </c>
      <c r="D1337" t="s">
        <v>81</v>
      </c>
      <c r="E1337" s="77" t="s">
        <v>82</v>
      </c>
      <c r="F1337" s="77" t="s">
        <v>73</v>
      </c>
      <c r="G1337" s="77" t="s">
        <v>74</v>
      </c>
      <c r="H1337" s="77" t="s">
        <v>123</v>
      </c>
      <c r="I1337" s="77" t="s">
        <v>84</v>
      </c>
      <c r="J1337" s="76">
        <v>1.8068055269127655E-3</v>
      </c>
    </row>
    <row r="1338" spans="1:10" x14ac:dyDescent="0.35">
      <c r="A1338" t="s">
        <v>13</v>
      </c>
      <c r="B1338" t="s">
        <v>38</v>
      </c>
      <c r="C1338" s="77" t="s">
        <v>91</v>
      </c>
      <c r="D1338" t="s">
        <v>81</v>
      </c>
      <c r="E1338" s="77" t="s">
        <v>125</v>
      </c>
      <c r="F1338" s="77" t="s">
        <v>73</v>
      </c>
      <c r="G1338" s="77" t="s">
        <v>74</v>
      </c>
      <c r="H1338" s="77" t="s">
        <v>123</v>
      </c>
      <c r="I1338" s="77" t="s">
        <v>84</v>
      </c>
      <c r="J1338" s="76">
        <v>5.6492118062760293E-6</v>
      </c>
    </row>
    <row r="1339" spans="1:10" x14ac:dyDescent="0.35">
      <c r="A1339" t="s">
        <v>13</v>
      </c>
      <c r="B1339" t="s">
        <v>38</v>
      </c>
      <c r="C1339" s="77" t="s">
        <v>91</v>
      </c>
      <c r="D1339" t="s">
        <v>81</v>
      </c>
      <c r="E1339" s="77" t="s">
        <v>122</v>
      </c>
      <c r="F1339" s="77" t="s">
        <v>73</v>
      </c>
      <c r="G1339" s="77" t="s">
        <v>74</v>
      </c>
      <c r="H1339" s="77" t="s">
        <v>123</v>
      </c>
      <c r="I1339" s="77" t="s">
        <v>84</v>
      </c>
      <c r="J1339" s="76">
        <v>0</v>
      </c>
    </row>
    <row r="1340" spans="1:10" x14ac:dyDescent="0.35">
      <c r="A1340" t="s">
        <v>13</v>
      </c>
      <c r="B1340" t="s">
        <v>38</v>
      </c>
      <c r="C1340" s="77" t="s">
        <v>91</v>
      </c>
      <c r="D1340" t="s">
        <v>81</v>
      </c>
      <c r="E1340" s="77" t="s">
        <v>126</v>
      </c>
      <c r="F1340" s="77" t="s">
        <v>73</v>
      </c>
      <c r="G1340" s="77" t="s">
        <v>74</v>
      </c>
      <c r="H1340" s="77" t="s">
        <v>123</v>
      </c>
      <c r="I1340" s="77" t="s">
        <v>84</v>
      </c>
      <c r="J1340" s="76">
        <v>8.1093795177776388E-4</v>
      </c>
    </row>
    <row r="1341" spans="1:10" x14ac:dyDescent="0.35">
      <c r="A1341" t="s">
        <v>13</v>
      </c>
      <c r="B1341" t="s">
        <v>38</v>
      </c>
      <c r="C1341" s="77" t="s">
        <v>91</v>
      </c>
      <c r="D1341" t="s">
        <v>81</v>
      </c>
      <c r="E1341" s="77" t="s">
        <v>101</v>
      </c>
      <c r="F1341" s="77" t="s">
        <v>73</v>
      </c>
      <c r="G1341" s="77" t="s">
        <v>74</v>
      </c>
      <c r="H1341" s="77" t="s">
        <v>123</v>
      </c>
      <c r="I1341" s="77" t="s">
        <v>84</v>
      </c>
      <c r="J1341" s="76">
        <v>0</v>
      </c>
    </row>
    <row r="1342" spans="1:10" x14ac:dyDescent="0.35">
      <c r="A1342" t="s">
        <v>13</v>
      </c>
      <c r="B1342" t="s">
        <v>38</v>
      </c>
      <c r="C1342" s="77" t="s">
        <v>91</v>
      </c>
      <c r="D1342" t="s">
        <v>81</v>
      </c>
      <c r="E1342" s="77" t="s">
        <v>104</v>
      </c>
      <c r="F1342" s="77" t="s">
        <v>73</v>
      </c>
      <c r="G1342" s="77" t="s">
        <v>74</v>
      </c>
      <c r="H1342" s="77" t="s">
        <v>123</v>
      </c>
      <c r="I1342" s="77" t="s">
        <v>84</v>
      </c>
      <c r="J1342" s="76">
        <v>0</v>
      </c>
    </row>
    <row r="1343" spans="1:10" x14ac:dyDescent="0.35">
      <c r="A1343" t="s">
        <v>13</v>
      </c>
      <c r="B1343" t="s">
        <v>38</v>
      </c>
      <c r="C1343" s="77" t="s">
        <v>91</v>
      </c>
      <c r="D1343" t="s">
        <v>81</v>
      </c>
      <c r="E1343" s="77" t="s">
        <v>106</v>
      </c>
      <c r="F1343" s="77" t="s">
        <v>73</v>
      </c>
      <c r="G1343" s="77" t="s">
        <v>74</v>
      </c>
      <c r="H1343" s="77" t="s">
        <v>123</v>
      </c>
      <c r="I1343" s="77" t="s">
        <v>84</v>
      </c>
      <c r="J1343" s="76">
        <v>0</v>
      </c>
    </row>
    <row r="1344" spans="1:10" x14ac:dyDescent="0.35">
      <c r="A1344" t="s">
        <v>13</v>
      </c>
      <c r="B1344" t="s">
        <v>38</v>
      </c>
      <c r="C1344" s="77" t="s">
        <v>92</v>
      </c>
      <c r="D1344" t="s">
        <v>81</v>
      </c>
      <c r="E1344" s="77" t="s">
        <v>119</v>
      </c>
      <c r="F1344" s="77" t="s">
        <v>73</v>
      </c>
      <c r="G1344" s="77" t="s">
        <v>74</v>
      </c>
      <c r="H1344" s="77" t="s">
        <v>123</v>
      </c>
      <c r="I1344" s="77" t="s">
        <v>84</v>
      </c>
      <c r="J1344" s="76">
        <f>'SUT_EU27 total'!$L$90</f>
        <v>0.13886309499777949</v>
      </c>
    </row>
    <row r="1345" spans="1:10" x14ac:dyDescent="0.35">
      <c r="A1345" t="s">
        <v>13</v>
      </c>
      <c r="B1345" t="s">
        <v>38</v>
      </c>
      <c r="C1345" s="77" t="s">
        <v>92</v>
      </c>
      <c r="D1345" t="s">
        <v>81</v>
      </c>
      <c r="E1345" s="77" t="s">
        <v>124</v>
      </c>
      <c r="F1345" s="77" t="s">
        <v>73</v>
      </c>
      <c r="G1345" s="77" t="s">
        <v>74</v>
      </c>
      <c r="H1345" s="77" t="s">
        <v>123</v>
      </c>
      <c r="I1345" s="77" t="s">
        <v>84</v>
      </c>
      <c r="J1345" s="76" cm="1">
        <f t="array" ref="J1345:J1353">'SUT_EU27 total'!$L$94:$L$102</f>
        <v>9.2968907089085616E-5</v>
      </c>
    </row>
    <row r="1346" spans="1:10" x14ac:dyDescent="0.35">
      <c r="A1346" t="s">
        <v>13</v>
      </c>
      <c r="B1346" t="s">
        <v>38</v>
      </c>
      <c r="C1346" s="77" t="s">
        <v>92</v>
      </c>
      <c r="D1346" t="s">
        <v>81</v>
      </c>
      <c r="E1346" s="77" t="s">
        <v>117</v>
      </c>
      <c r="F1346" s="77" t="s">
        <v>73</v>
      </c>
      <c r="G1346" s="77" t="s">
        <v>74</v>
      </c>
      <c r="H1346" s="77" t="s">
        <v>123</v>
      </c>
      <c r="I1346" s="77" t="s">
        <v>84</v>
      </c>
      <c r="J1346" s="76">
        <v>0</v>
      </c>
    </row>
    <row r="1347" spans="1:10" x14ac:dyDescent="0.35">
      <c r="A1347" t="s">
        <v>13</v>
      </c>
      <c r="B1347" t="s">
        <v>38</v>
      </c>
      <c r="C1347" s="77" t="s">
        <v>92</v>
      </c>
      <c r="D1347" t="s">
        <v>81</v>
      </c>
      <c r="E1347" s="77" t="s">
        <v>82</v>
      </c>
      <c r="F1347" s="77" t="s">
        <v>73</v>
      </c>
      <c r="G1347" s="77" t="s">
        <v>74</v>
      </c>
      <c r="H1347" s="77" t="s">
        <v>123</v>
      </c>
      <c r="I1347" s="77" t="s">
        <v>84</v>
      </c>
      <c r="J1347" s="76">
        <v>1.1251392039595793E-3</v>
      </c>
    </row>
    <row r="1348" spans="1:10" x14ac:dyDescent="0.35">
      <c r="A1348" t="s">
        <v>13</v>
      </c>
      <c r="B1348" t="s">
        <v>38</v>
      </c>
      <c r="C1348" s="77" t="s">
        <v>92</v>
      </c>
      <c r="D1348" t="s">
        <v>81</v>
      </c>
      <c r="E1348" s="77" t="s">
        <v>125</v>
      </c>
      <c r="F1348" s="77" t="s">
        <v>73</v>
      </c>
      <c r="G1348" s="77" t="s">
        <v>74</v>
      </c>
      <c r="H1348" s="77" t="s">
        <v>123</v>
      </c>
      <c r="I1348" s="77" t="s">
        <v>84</v>
      </c>
      <c r="J1348" s="76">
        <v>5.0048817841215026E-7</v>
      </c>
    </row>
    <row r="1349" spans="1:10" x14ac:dyDescent="0.35">
      <c r="A1349" t="s">
        <v>13</v>
      </c>
      <c r="B1349" t="s">
        <v>38</v>
      </c>
      <c r="C1349" s="77" t="s">
        <v>92</v>
      </c>
      <c r="D1349" t="s">
        <v>81</v>
      </c>
      <c r="E1349" s="77" t="s">
        <v>122</v>
      </c>
      <c r="F1349" s="77" t="s">
        <v>73</v>
      </c>
      <c r="G1349" s="77" t="s">
        <v>74</v>
      </c>
      <c r="H1349" s="77" t="s">
        <v>123</v>
      </c>
      <c r="I1349" s="77" t="s">
        <v>84</v>
      </c>
      <c r="J1349" s="76">
        <v>0</v>
      </c>
    </row>
    <row r="1350" spans="1:10" x14ac:dyDescent="0.35">
      <c r="A1350" t="s">
        <v>13</v>
      </c>
      <c r="B1350" t="s">
        <v>38</v>
      </c>
      <c r="C1350" s="77" t="s">
        <v>92</v>
      </c>
      <c r="D1350" t="s">
        <v>81</v>
      </c>
      <c r="E1350" s="77" t="s">
        <v>126</v>
      </c>
      <c r="F1350" s="77" t="s">
        <v>73</v>
      </c>
      <c r="G1350" s="77" t="s">
        <v>74</v>
      </c>
      <c r="H1350" s="77" t="s">
        <v>123</v>
      </c>
      <c r="I1350" s="77" t="s">
        <v>84</v>
      </c>
      <c r="J1350" s="76">
        <v>0</v>
      </c>
    </row>
    <row r="1351" spans="1:10" x14ac:dyDescent="0.35">
      <c r="A1351" t="s">
        <v>13</v>
      </c>
      <c r="B1351" t="s">
        <v>38</v>
      </c>
      <c r="C1351" s="77" t="s">
        <v>92</v>
      </c>
      <c r="D1351" t="s">
        <v>81</v>
      </c>
      <c r="E1351" s="77" t="s">
        <v>101</v>
      </c>
      <c r="F1351" s="77" t="s">
        <v>73</v>
      </c>
      <c r="G1351" s="77" t="s">
        <v>74</v>
      </c>
      <c r="H1351" s="77" t="s">
        <v>123</v>
      </c>
      <c r="I1351" s="77" t="s">
        <v>84</v>
      </c>
      <c r="J1351" s="76">
        <v>0</v>
      </c>
    </row>
    <row r="1352" spans="1:10" x14ac:dyDescent="0.35">
      <c r="A1352" t="s">
        <v>13</v>
      </c>
      <c r="B1352" t="s">
        <v>38</v>
      </c>
      <c r="C1352" s="77" t="s">
        <v>92</v>
      </c>
      <c r="D1352" t="s">
        <v>81</v>
      </c>
      <c r="E1352" s="77" t="s">
        <v>104</v>
      </c>
      <c r="F1352" s="77" t="s">
        <v>73</v>
      </c>
      <c r="G1352" s="77" t="s">
        <v>74</v>
      </c>
      <c r="H1352" s="77" t="s">
        <v>123</v>
      </c>
      <c r="I1352" s="77" t="s">
        <v>84</v>
      </c>
      <c r="J1352" s="76">
        <v>0</v>
      </c>
    </row>
    <row r="1353" spans="1:10" x14ac:dyDescent="0.35">
      <c r="A1353" t="s">
        <v>13</v>
      </c>
      <c r="B1353" t="s">
        <v>38</v>
      </c>
      <c r="C1353" s="77" t="s">
        <v>92</v>
      </c>
      <c r="D1353" t="s">
        <v>81</v>
      </c>
      <c r="E1353" s="77" t="s">
        <v>106</v>
      </c>
      <c r="F1353" s="77" t="s">
        <v>73</v>
      </c>
      <c r="G1353" s="77" t="s">
        <v>74</v>
      </c>
      <c r="H1353" s="77" t="s">
        <v>123</v>
      </c>
      <c r="I1353" s="77" t="s">
        <v>84</v>
      </c>
      <c r="J1353" s="76">
        <v>0</v>
      </c>
    </row>
    <row r="1354" spans="1:10" x14ac:dyDescent="0.35">
      <c r="A1354" t="s">
        <v>13</v>
      </c>
      <c r="B1354" t="s">
        <v>38</v>
      </c>
      <c r="C1354" s="77" t="s">
        <v>93</v>
      </c>
      <c r="D1354" t="s">
        <v>81</v>
      </c>
      <c r="E1354" s="77" t="s">
        <v>119</v>
      </c>
      <c r="F1354" s="77" t="s">
        <v>73</v>
      </c>
      <c r="G1354" s="77" t="s">
        <v>74</v>
      </c>
      <c r="H1354" s="77" t="s">
        <v>123</v>
      </c>
      <c r="I1354" s="77" t="s">
        <v>84</v>
      </c>
      <c r="J1354" s="76">
        <f>'SUT_EU27 total'!$L$107</f>
        <v>1.0000807460939076</v>
      </c>
    </row>
    <row r="1355" spans="1:10" x14ac:dyDescent="0.35">
      <c r="A1355" t="s">
        <v>13</v>
      </c>
      <c r="B1355" t="s">
        <v>38</v>
      </c>
      <c r="C1355" s="77" t="s">
        <v>93</v>
      </c>
      <c r="D1355" t="s">
        <v>81</v>
      </c>
      <c r="E1355" s="77" t="s">
        <v>124</v>
      </c>
      <c r="F1355" s="77" t="s">
        <v>73</v>
      </c>
      <c r="G1355" s="77" t="s">
        <v>74</v>
      </c>
      <c r="H1355" s="77" t="s">
        <v>123</v>
      </c>
      <c r="I1355" s="77" t="s">
        <v>84</v>
      </c>
      <c r="J1355" s="76" cm="1">
        <f t="array" ref="J1355:J1363">'SUT_EU27 total'!$L$111:$L$119</f>
        <v>3.7052409430862396E-4</v>
      </c>
    </row>
    <row r="1356" spans="1:10" x14ac:dyDescent="0.35">
      <c r="A1356" t="s">
        <v>13</v>
      </c>
      <c r="B1356" t="s">
        <v>38</v>
      </c>
      <c r="C1356" s="77" t="s">
        <v>93</v>
      </c>
      <c r="D1356" t="s">
        <v>81</v>
      </c>
      <c r="E1356" s="77" t="s">
        <v>117</v>
      </c>
      <c r="F1356" s="77" t="s">
        <v>73</v>
      </c>
      <c r="G1356" s="77" t="s">
        <v>74</v>
      </c>
      <c r="H1356" s="77" t="s">
        <v>123</v>
      </c>
      <c r="I1356" s="77" t="s">
        <v>84</v>
      </c>
      <c r="J1356" s="76">
        <v>5.8414042458127093E-3</v>
      </c>
    </row>
    <row r="1357" spans="1:10" x14ac:dyDescent="0.35">
      <c r="A1357" t="s">
        <v>13</v>
      </c>
      <c r="B1357" t="s">
        <v>38</v>
      </c>
      <c r="C1357" s="77" t="s">
        <v>93</v>
      </c>
      <c r="D1357" t="s">
        <v>81</v>
      </c>
      <c r="E1357" s="77" t="s">
        <v>82</v>
      </c>
      <c r="F1357" s="77" t="s">
        <v>73</v>
      </c>
      <c r="G1357" s="77" t="s">
        <v>74</v>
      </c>
      <c r="H1357" s="77" t="s">
        <v>123</v>
      </c>
      <c r="I1357" s="77" t="s">
        <v>84</v>
      </c>
      <c r="J1357" s="76">
        <v>5.0319447308723453E-3</v>
      </c>
    </row>
    <row r="1358" spans="1:10" x14ac:dyDescent="0.35">
      <c r="A1358" t="s">
        <v>13</v>
      </c>
      <c r="B1358" t="s">
        <v>38</v>
      </c>
      <c r="C1358" s="77" t="s">
        <v>93</v>
      </c>
      <c r="D1358" t="s">
        <v>81</v>
      </c>
      <c r="E1358" s="77" t="s">
        <v>125</v>
      </c>
      <c r="F1358" s="77" t="s">
        <v>73</v>
      </c>
      <c r="G1358" s="77" t="s">
        <v>74</v>
      </c>
      <c r="H1358" s="77" t="s">
        <v>123</v>
      </c>
      <c r="I1358" s="77" t="s">
        <v>84</v>
      </c>
      <c r="J1358" s="76">
        <v>4.336096678710085E-4</v>
      </c>
    </row>
    <row r="1359" spans="1:10" x14ac:dyDescent="0.35">
      <c r="A1359" t="s">
        <v>13</v>
      </c>
      <c r="B1359" t="s">
        <v>38</v>
      </c>
      <c r="C1359" s="77" t="s">
        <v>93</v>
      </c>
      <c r="D1359" t="s">
        <v>81</v>
      </c>
      <c r="E1359" s="77" t="s">
        <v>122</v>
      </c>
      <c r="F1359" s="77" t="s">
        <v>73</v>
      </c>
      <c r="G1359" s="77" t="s">
        <v>74</v>
      </c>
      <c r="H1359" s="77" t="s">
        <v>123</v>
      </c>
      <c r="I1359" s="77" t="s">
        <v>84</v>
      </c>
      <c r="J1359" s="76">
        <v>2.7129607609988112E-3</v>
      </c>
    </row>
    <row r="1360" spans="1:10" x14ac:dyDescent="0.35">
      <c r="A1360" t="s">
        <v>13</v>
      </c>
      <c r="B1360" t="s">
        <v>38</v>
      </c>
      <c r="C1360" s="77" t="s">
        <v>93</v>
      </c>
      <c r="D1360" t="s">
        <v>81</v>
      </c>
      <c r="E1360" s="77" t="s">
        <v>126</v>
      </c>
      <c r="F1360" s="77" t="s">
        <v>73</v>
      </c>
      <c r="G1360" s="77" t="s">
        <v>74</v>
      </c>
      <c r="H1360" s="77" t="s">
        <v>123</v>
      </c>
      <c r="I1360" s="77" t="s">
        <v>84</v>
      </c>
      <c r="J1360" s="76">
        <v>4.3855511603587784E-2</v>
      </c>
    </row>
    <row r="1361" spans="1:10" x14ac:dyDescent="0.35">
      <c r="A1361" t="s">
        <v>13</v>
      </c>
      <c r="B1361" t="s">
        <v>38</v>
      </c>
      <c r="C1361" s="77" t="s">
        <v>93</v>
      </c>
      <c r="D1361" t="s">
        <v>81</v>
      </c>
      <c r="E1361" s="77" t="s">
        <v>101</v>
      </c>
      <c r="F1361" s="77" t="s">
        <v>73</v>
      </c>
      <c r="G1361" s="77" t="s">
        <v>74</v>
      </c>
      <c r="H1361" s="77" t="s">
        <v>123</v>
      </c>
      <c r="I1361" s="77" t="s">
        <v>84</v>
      </c>
      <c r="J1361" s="76">
        <v>0</v>
      </c>
    </row>
    <row r="1362" spans="1:10" x14ac:dyDescent="0.35">
      <c r="A1362" t="s">
        <v>13</v>
      </c>
      <c r="B1362" t="s">
        <v>38</v>
      </c>
      <c r="C1362" s="77" t="s">
        <v>93</v>
      </c>
      <c r="D1362" t="s">
        <v>81</v>
      </c>
      <c r="E1362" s="77" t="s">
        <v>104</v>
      </c>
      <c r="F1362" s="77" t="s">
        <v>73</v>
      </c>
      <c r="G1362" s="77" t="s">
        <v>74</v>
      </c>
      <c r="H1362" s="77" t="s">
        <v>123</v>
      </c>
      <c r="I1362" s="77" t="s">
        <v>84</v>
      </c>
      <c r="J1362" s="76">
        <v>0</v>
      </c>
    </row>
    <row r="1363" spans="1:10" x14ac:dyDescent="0.35">
      <c r="A1363" t="s">
        <v>13</v>
      </c>
      <c r="B1363" t="s">
        <v>38</v>
      </c>
      <c r="C1363" s="77" t="s">
        <v>93</v>
      </c>
      <c r="D1363" t="s">
        <v>81</v>
      </c>
      <c r="E1363" s="77" t="s">
        <v>106</v>
      </c>
      <c r="F1363" s="77" t="s">
        <v>73</v>
      </c>
      <c r="G1363" s="77" t="s">
        <v>74</v>
      </c>
      <c r="H1363" s="77" t="s">
        <v>123</v>
      </c>
      <c r="I1363" s="77" t="s">
        <v>84</v>
      </c>
      <c r="J1363" s="76">
        <v>0</v>
      </c>
    </row>
    <row r="1364" spans="1:10" x14ac:dyDescent="0.35">
      <c r="A1364" t="s">
        <v>13</v>
      </c>
      <c r="B1364" t="s">
        <v>38</v>
      </c>
      <c r="C1364" s="77" t="s">
        <v>73</v>
      </c>
      <c r="D1364" t="s">
        <v>81</v>
      </c>
      <c r="E1364" s="77" t="s">
        <v>119</v>
      </c>
      <c r="F1364" s="77" t="s">
        <v>73</v>
      </c>
      <c r="G1364" s="77" t="s">
        <v>74</v>
      </c>
      <c r="H1364" s="77" t="s">
        <v>127</v>
      </c>
      <c r="I1364" s="77" t="s">
        <v>84</v>
      </c>
      <c r="J1364" s="76">
        <f>'SUT_EU27 total'!$M$22</f>
        <v>1.9500181678711294E-2</v>
      </c>
    </row>
    <row r="1365" spans="1:10" x14ac:dyDescent="0.35">
      <c r="A1365" t="s">
        <v>13</v>
      </c>
      <c r="B1365" t="s">
        <v>38</v>
      </c>
      <c r="C1365" s="77" t="s">
        <v>73</v>
      </c>
      <c r="D1365" t="s">
        <v>81</v>
      </c>
      <c r="E1365" s="77" t="s">
        <v>124</v>
      </c>
      <c r="F1365" s="77" t="s">
        <v>73</v>
      </c>
      <c r="G1365" s="77" t="s">
        <v>74</v>
      </c>
      <c r="H1365" s="77" t="s">
        <v>127</v>
      </c>
      <c r="I1365" s="77" t="s">
        <v>84</v>
      </c>
      <c r="J1365" s="76" cm="1">
        <f t="array" ref="J1365:J1373">'SUT_EU27 total'!$M$26:$M$34</f>
        <v>1.9404661061278542E-3</v>
      </c>
    </row>
    <row r="1366" spans="1:10" x14ac:dyDescent="0.35">
      <c r="A1366" t="s">
        <v>13</v>
      </c>
      <c r="B1366" t="s">
        <v>38</v>
      </c>
      <c r="C1366" s="77" t="s">
        <v>73</v>
      </c>
      <c r="D1366" t="s">
        <v>81</v>
      </c>
      <c r="E1366" s="77" t="s">
        <v>117</v>
      </c>
      <c r="F1366" s="77" t="s">
        <v>73</v>
      </c>
      <c r="G1366" s="77" t="s">
        <v>74</v>
      </c>
      <c r="H1366" s="77" t="s">
        <v>127</v>
      </c>
      <c r="I1366" s="77" t="s">
        <v>84</v>
      </c>
      <c r="J1366" s="76">
        <v>5.8423628191201782E-3</v>
      </c>
    </row>
    <row r="1367" spans="1:10" x14ac:dyDescent="0.35">
      <c r="A1367" t="s">
        <v>13</v>
      </c>
      <c r="B1367" t="s">
        <v>38</v>
      </c>
      <c r="C1367" s="77" t="s">
        <v>73</v>
      </c>
      <c r="D1367" t="s">
        <v>81</v>
      </c>
      <c r="E1367" s="77" t="s">
        <v>82</v>
      </c>
      <c r="F1367" s="77" t="s">
        <v>73</v>
      </c>
      <c r="G1367" s="77" t="s">
        <v>74</v>
      </c>
      <c r="H1367" s="77" t="s">
        <v>127</v>
      </c>
      <c r="I1367" s="77" t="s">
        <v>84</v>
      </c>
      <c r="J1367" s="76">
        <v>4.8981233243967828E-4</v>
      </c>
    </row>
    <row r="1368" spans="1:10" x14ac:dyDescent="0.35">
      <c r="A1368" t="s">
        <v>13</v>
      </c>
      <c r="B1368" t="s">
        <v>38</v>
      </c>
      <c r="C1368" s="77" t="s">
        <v>73</v>
      </c>
      <c r="D1368" t="s">
        <v>81</v>
      </c>
      <c r="E1368" s="77" t="s">
        <v>125</v>
      </c>
      <c r="F1368" s="77" t="s">
        <v>73</v>
      </c>
      <c r="G1368" s="77" t="s">
        <v>74</v>
      </c>
      <c r="H1368" s="77" t="s">
        <v>127</v>
      </c>
      <c r="I1368" s="77" t="s">
        <v>84</v>
      </c>
      <c r="J1368" s="76">
        <v>2.4658201215687387E-3</v>
      </c>
    </row>
    <row r="1369" spans="1:10" x14ac:dyDescent="0.35">
      <c r="A1369" t="s">
        <v>13</v>
      </c>
      <c r="B1369" t="s">
        <v>38</v>
      </c>
      <c r="C1369" s="77" t="s">
        <v>73</v>
      </c>
      <c r="D1369" t="s">
        <v>81</v>
      </c>
      <c r="E1369" s="77" t="s">
        <v>122</v>
      </c>
      <c r="F1369" s="77" t="s">
        <v>73</v>
      </c>
      <c r="G1369" s="77" t="s">
        <v>74</v>
      </c>
      <c r="H1369" s="77" t="s">
        <v>127</v>
      </c>
      <c r="I1369" s="77" t="s">
        <v>84</v>
      </c>
      <c r="J1369" s="76">
        <v>4.922711058263972E-4</v>
      </c>
    </row>
    <row r="1370" spans="1:10" x14ac:dyDescent="0.35">
      <c r="A1370" t="s">
        <v>13</v>
      </c>
      <c r="B1370" t="s">
        <v>38</v>
      </c>
      <c r="C1370" s="77" t="s">
        <v>73</v>
      </c>
      <c r="D1370" t="s">
        <v>81</v>
      </c>
      <c r="E1370" s="77" t="s">
        <v>126</v>
      </c>
      <c r="F1370" s="77" t="s">
        <v>73</v>
      </c>
      <c r="G1370" s="77" t="s">
        <v>74</v>
      </c>
      <c r="H1370" s="77" t="s">
        <v>127</v>
      </c>
      <c r="I1370" s="77" t="s">
        <v>84</v>
      </c>
      <c r="J1370" s="76">
        <v>0</v>
      </c>
    </row>
    <row r="1371" spans="1:10" x14ac:dyDescent="0.35">
      <c r="A1371" t="s">
        <v>13</v>
      </c>
      <c r="B1371" t="s">
        <v>38</v>
      </c>
      <c r="C1371" s="77" t="s">
        <v>73</v>
      </c>
      <c r="D1371" t="s">
        <v>81</v>
      </c>
      <c r="E1371" s="77" t="s">
        <v>101</v>
      </c>
      <c r="F1371" s="77" t="s">
        <v>73</v>
      </c>
      <c r="G1371" s="77" t="s">
        <v>74</v>
      </c>
      <c r="H1371" s="77" t="s">
        <v>127</v>
      </c>
      <c r="I1371" s="77" t="s">
        <v>84</v>
      </c>
      <c r="J1371" s="76">
        <v>3.6586167200000007E-4</v>
      </c>
    </row>
    <row r="1372" spans="1:10" x14ac:dyDescent="0.35">
      <c r="A1372" t="s">
        <v>13</v>
      </c>
      <c r="B1372" t="s">
        <v>38</v>
      </c>
      <c r="C1372" s="77" t="s">
        <v>73</v>
      </c>
      <c r="D1372" t="s">
        <v>81</v>
      </c>
      <c r="E1372" s="77" t="s">
        <v>104</v>
      </c>
      <c r="F1372" s="77" t="s">
        <v>73</v>
      </c>
      <c r="G1372" s="77" t="s">
        <v>74</v>
      </c>
      <c r="H1372" s="77" t="s">
        <v>127</v>
      </c>
      <c r="I1372" s="77" t="s">
        <v>84</v>
      </c>
      <c r="J1372" s="76">
        <v>6.9272632800000005E-4</v>
      </c>
    </row>
    <row r="1373" spans="1:10" x14ac:dyDescent="0.35">
      <c r="A1373" t="s">
        <v>13</v>
      </c>
      <c r="B1373" t="s">
        <v>38</v>
      </c>
      <c r="C1373" s="77" t="s">
        <v>73</v>
      </c>
      <c r="D1373" t="s">
        <v>81</v>
      </c>
      <c r="E1373" s="77" t="s">
        <v>106</v>
      </c>
      <c r="F1373" s="77" t="s">
        <v>73</v>
      </c>
      <c r="G1373" s="77" t="s">
        <v>74</v>
      </c>
      <c r="H1373" s="77" t="s">
        <v>127</v>
      </c>
      <c r="I1373" s="77" t="s">
        <v>84</v>
      </c>
      <c r="J1373" s="76">
        <v>2.3562119999999999E-3</v>
      </c>
    </row>
    <row r="1374" spans="1:10" x14ac:dyDescent="0.35">
      <c r="A1374" t="s">
        <v>13</v>
      </c>
      <c r="B1374" t="s">
        <v>38</v>
      </c>
      <c r="C1374" s="77" t="s">
        <v>88</v>
      </c>
      <c r="D1374" t="s">
        <v>81</v>
      </c>
      <c r="E1374" s="77" t="s">
        <v>119</v>
      </c>
      <c r="F1374" s="77" t="s">
        <v>73</v>
      </c>
      <c r="G1374" s="77" t="s">
        <v>74</v>
      </c>
      <c r="H1374" s="77" t="s">
        <v>127</v>
      </c>
      <c r="I1374" s="77" t="s">
        <v>84</v>
      </c>
      <c r="J1374" s="76">
        <f>'SUT_EU27 total'!$M$39</f>
        <v>0.16108845734587587</v>
      </c>
    </row>
    <row r="1375" spans="1:10" x14ac:dyDescent="0.35">
      <c r="A1375" t="s">
        <v>13</v>
      </c>
      <c r="B1375" t="s">
        <v>38</v>
      </c>
      <c r="C1375" s="77" t="s">
        <v>88</v>
      </c>
      <c r="D1375" t="s">
        <v>81</v>
      </c>
      <c r="E1375" s="77" t="s">
        <v>124</v>
      </c>
      <c r="F1375" s="77" t="s">
        <v>73</v>
      </c>
      <c r="G1375" s="77" t="s">
        <v>74</v>
      </c>
      <c r="H1375" s="77" t="s">
        <v>127</v>
      </c>
      <c r="I1375" s="77" t="s">
        <v>84</v>
      </c>
      <c r="J1375" s="76" cm="1">
        <f t="array" ref="J1375:J1383">'SUT_EU27 total'!$L$43:$L$51</f>
        <v>5.0558836222750793E-4</v>
      </c>
    </row>
    <row r="1376" spans="1:10" x14ac:dyDescent="0.35">
      <c r="A1376" t="s">
        <v>13</v>
      </c>
      <c r="B1376" t="s">
        <v>38</v>
      </c>
      <c r="C1376" s="77" t="s">
        <v>88</v>
      </c>
      <c r="D1376" t="s">
        <v>81</v>
      </c>
      <c r="E1376" s="77" t="s">
        <v>117</v>
      </c>
      <c r="F1376" s="77" t="s">
        <v>73</v>
      </c>
      <c r="G1376" s="77" t="s">
        <v>74</v>
      </c>
      <c r="H1376" s="77" t="s">
        <v>127</v>
      </c>
      <c r="I1376" s="77" t="s">
        <v>84</v>
      </c>
      <c r="J1376" s="76">
        <v>4.8514464106651379E-3</v>
      </c>
    </row>
    <row r="1377" spans="1:10" x14ac:dyDescent="0.35">
      <c r="A1377" t="s">
        <v>13</v>
      </c>
      <c r="B1377" t="s">
        <v>38</v>
      </c>
      <c r="C1377" s="77" t="s">
        <v>88</v>
      </c>
      <c r="D1377" t="s">
        <v>81</v>
      </c>
      <c r="E1377" s="77" t="s">
        <v>82</v>
      </c>
      <c r="F1377" s="77" t="s">
        <v>73</v>
      </c>
      <c r="G1377" s="77" t="s">
        <v>74</v>
      </c>
      <c r="H1377" s="77" t="s">
        <v>127</v>
      </c>
      <c r="I1377" s="77" t="s">
        <v>84</v>
      </c>
      <c r="J1377" s="76">
        <v>1.109418436791091E-2</v>
      </c>
    </row>
    <row r="1378" spans="1:10" x14ac:dyDescent="0.35">
      <c r="A1378" t="s">
        <v>13</v>
      </c>
      <c r="B1378" t="s">
        <v>38</v>
      </c>
      <c r="C1378" s="77" t="s">
        <v>88</v>
      </c>
      <c r="D1378" t="s">
        <v>81</v>
      </c>
      <c r="E1378" s="77" t="s">
        <v>125</v>
      </c>
      <c r="F1378" s="77" t="s">
        <v>73</v>
      </c>
      <c r="G1378" s="77" t="s">
        <v>74</v>
      </c>
      <c r="H1378" s="77" t="s">
        <v>127</v>
      </c>
      <c r="I1378" s="77" t="s">
        <v>84</v>
      </c>
      <c r="J1378" s="76">
        <v>2.890870278990243E-5</v>
      </c>
    </row>
    <row r="1379" spans="1:10" x14ac:dyDescent="0.35">
      <c r="A1379" t="s">
        <v>13</v>
      </c>
      <c r="B1379" t="s">
        <v>38</v>
      </c>
      <c r="C1379" s="77" t="s">
        <v>88</v>
      </c>
      <c r="D1379" t="s">
        <v>81</v>
      </c>
      <c r="E1379" s="77" t="s">
        <v>122</v>
      </c>
      <c r="F1379" s="77" t="s">
        <v>73</v>
      </c>
      <c r="G1379" s="77" t="s">
        <v>74</v>
      </c>
      <c r="H1379" s="77" t="s">
        <v>127</v>
      </c>
      <c r="I1379" s="77" t="s">
        <v>84</v>
      </c>
      <c r="J1379" s="76">
        <v>0</v>
      </c>
    </row>
    <row r="1380" spans="1:10" x14ac:dyDescent="0.35">
      <c r="A1380" t="s">
        <v>13</v>
      </c>
      <c r="B1380" t="s">
        <v>38</v>
      </c>
      <c r="C1380" s="77" t="s">
        <v>88</v>
      </c>
      <c r="D1380" t="s">
        <v>81</v>
      </c>
      <c r="E1380" s="77" t="s">
        <v>126</v>
      </c>
      <c r="F1380" s="77" t="s">
        <v>73</v>
      </c>
      <c r="G1380" s="77" t="s">
        <v>74</v>
      </c>
      <c r="H1380" s="77" t="s">
        <v>127</v>
      </c>
      <c r="I1380" s="77" t="s">
        <v>84</v>
      </c>
      <c r="J1380" s="76">
        <v>2.8514320987501449E-3</v>
      </c>
    </row>
    <row r="1381" spans="1:10" x14ac:dyDescent="0.35">
      <c r="A1381" t="s">
        <v>13</v>
      </c>
      <c r="B1381" t="s">
        <v>38</v>
      </c>
      <c r="C1381" s="77" t="s">
        <v>88</v>
      </c>
      <c r="D1381" t="s">
        <v>81</v>
      </c>
      <c r="E1381" s="77" t="s">
        <v>101</v>
      </c>
      <c r="F1381" s="77" t="s">
        <v>73</v>
      </c>
      <c r="G1381" s="77" t="s">
        <v>74</v>
      </c>
      <c r="H1381" s="77" t="s">
        <v>127</v>
      </c>
      <c r="I1381" s="77" t="s">
        <v>84</v>
      </c>
      <c r="J1381" s="76">
        <v>0</v>
      </c>
    </row>
    <row r="1382" spans="1:10" x14ac:dyDescent="0.35">
      <c r="A1382" t="s">
        <v>13</v>
      </c>
      <c r="B1382" t="s">
        <v>38</v>
      </c>
      <c r="C1382" s="77" t="s">
        <v>88</v>
      </c>
      <c r="D1382" t="s">
        <v>81</v>
      </c>
      <c r="E1382" s="77" t="s">
        <v>104</v>
      </c>
      <c r="F1382" s="77" t="s">
        <v>73</v>
      </c>
      <c r="G1382" s="77" t="s">
        <v>74</v>
      </c>
      <c r="H1382" s="77" t="s">
        <v>127</v>
      </c>
      <c r="I1382" s="77" t="s">
        <v>84</v>
      </c>
      <c r="J1382" s="76">
        <v>0</v>
      </c>
    </row>
    <row r="1383" spans="1:10" x14ac:dyDescent="0.35">
      <c r="A1383" t="s">
        <v>13</v>
      </c>
      <c r="B1383" t="s">
        <v>38</v>
      </c>
      <c r="C1383" s="77" t="s">
        <v>88</v>
      </c>
      <c r="D1383" t="s">
        <v>81</v>
      </c>
      <c r="E1383" s="77" t="s">
        <v>106</v>
      </c>
      <c r="F1383" s="77" t="s">
        <v>73</v>
      </c>
      <c r="G1383" s="77" t="s">
        <v>74</v>
      </c>
      <c r="H1383" s="77" t="s">
        <v>127</v>
      </c>
      <c r="I1383" s="77" t="s">
        <v>84</v>
      </c>
      <c r="J1383" s="76">
        <v>0</v>
      </c>
    </row>
    <row r="1384" spans="1:10" x14ac:dyDescent="0.35">
      <c r="A1384" t="s">
        <v>13</v>
      </c>
      <c r="B1384" t="s">
        <v>38</v>
      </c>
      <c r="C1384" s="77" t="s">
        <v>90</v>
      </c>
      <c r="D1384" t="s">
        <v>81</v>
      </c>
      <c r="E1384" s="77" t="s">
        <v>119</v>
      </c>
      <c r="F1384" s="77" t="s">
        <v>73</v>
      </c>
      <c r="G1384" s="77" t="s">
        <v>74</v>
      </c>
      <c r="H1384" s="77" t="s">
        <v>127</v>
      </c>
      <c r="I1384" s="77" t="s">
        <v>84</v>
      </c>
      <c r="J1384" s="76">
        <f>'SUT_EU27 total'!$M$56</f>
        <v>2.949251079979006E-2</v>
      </c>
    </row>
    <row r="1385" spans="1:10" x14ac:dyDescent="0.35">
      <c r="A1385" t="s">
        <v>13</v>
      </c>
      <c r="B1385" t="s">
        <v>38</v>
      </c>
      <c r="C1385" s="77" t="s">
        <v>90</v>
      </c>
      <c r="D1385" t="s">
        <v>81</v>
      </c>
      <c r="E1385" s="77" t="s">
        <v>124</v>
      </c>
      <c r="F1385" s="77" t="s">
        <v>73</v>
      </c>
      <c r="G1385" s="77" t="s">
        <v>74</v>
      </c>
      <c r="H1385" s="77" t="s">
        <v>127</v>
      </c>
      <c r="I1385" s="77" t="s">
        <v>84</v>
      </c>
      <c r="J1385" s="76" cm="1">
        <f t="array" ref="J1385:J1393">'SUT_EU27 total'!$M$60:$M$68</f>
        <v>2.1047443073980527E-5</v>
      </c>
    </row>
    <row r="1386" spans="1:10" x14ac:dyDescent="0.35">
      <c r="A1386" t="s">
        <v>13</v>
      </c>
      <c r="B1386" t="s">
        <v>38</v>
      </c>
      <c r="C1386" s="77" t="s">
        <v>90</v>
      </c>
      <c r="D1386" t="s">
        <v>81</v>
      </c>
      <c r="E1386" s="77" t="s">
        <v>117</v>
      </c>
      <c r="F1386" s="77" t="s">
        <v>73</v>
      </c>
      <c r="G1386" s="77" t="s">
        <v>74</v>
      </c>
      <c r="H1386" s="77" t="s">
        <v>127</v>
      </c>
      <c r="I1386" s="77" t="s">
        <v>84</v>
      </c>
      <c r="J1386" s="76">
        <v>5.8414015621608938E-3</v>
      </c>
    </row>
    <row r="1387" spans="1:10" x14ac:dyDescent="0.35">
      <c r="A1387" t="s">
        <v>13</v>
      </c>
      <c r="B1387" t="s">
        <v>38</v>
      </c>
      <c r="C1387" s="77" t="s">
        <v>90</v>
      </c>
      <c r="D1387" t="s">
        <v>81</v>
      </c>
      <c r="E1387" s="77" t="s">
        <v>82</v>
      </c>
      <c r="F1387" s="77" t="s">
        <v>73</v>
      </c>
      <c r="G1387" s="77" t="s">
        <v>74</v>
      </c>
      <c r="H1387" s="77" t="s">
        <v>127</v>
      </c>
      <c r="I1387" s="77" t="s">
        <v>84</v>
      </c>
      <c r="J1387" s="76">
        <v>1.4521138379047227E-3</v>
      </c>
    </row>
    <row r="1388" spans="1:10" x14ac:dyDescent="0.35">
      <c r="A1388" t="s">
        <v>13</v>
      </c>
      <c r="B1388" t="s">
        <v>38</v>
      </c>
      <c r="C1388" s="77" t="s">
        <v>90</v>
      </c>
      <c r="D1388" t="s">
        <v>81</v>
      </c>
      <c r="E1388" s="77" t="s">
        <v>125</v>
      </c>
      <c r="F1388" s="77" t="s">
        <v>73</v>
      </c>
      <c r="G1388" s="77" t="s">
        <v>74</v>
      </c>
      <c r="H1388" s="77" t="s">
        <v>127</v>
      </c>
      <c r="I1388" s="77" t="s">
        <v>84</v>
      </c>
      <c r="J1388" s="76">
        <v>6.5130870114372285E-5</v>
      </c>
    </row>
    <row r="1389" spans="1:10" x14ac:dyDescent="0.35">
      <c r="A1389" t="s">
        <v>13</v>
      </c>
      <c r="B1389" t="s">
        <v>38</v>
      </c>
      <c r="C1389" s="77" t="s">
        <v>90</v>
      </c>
      <c r="D1389" t="s">
        <v>81</v>
      </c>
      <c r="E1389" s="77" t="s">
        <v>122</v>
      </c>
      <c r="F1389" s="77" t="s">
        <v>73</v>
      </c>
      <c r="G1389" s="77" t="s">
        <v>74</v>
      </c>
      <c r="H1389" s="77" t="s">
        <v>127</v>
      </c>
      <c r="I1389" s="77" t="s">
        <v>84</v>
      </c>
      <c r="J1389" s="76">
        <v>7.9476813317479189E-4</v>
      </c>
    </row>
    <row r="1390" spans="1:10" x14ac:dyDescent="0.35">
      <c r="A1390" t="s">
        <v>13</v>
      </c>
      <c r="B1390" t="s">
        <v>38</v>
      </c>
      <c r="C1390" s="77" t="s">
        <v>90</v>
      </c>
      <c r="D1390" t="s">
        <v>81</v>
      </c>
      <c r="E1390" s="77" t="s">
        <v>126</v>
      </c>
      <c r="F1390" s="77" t="s">
        <v>73</v>
      </c>
      <c r="G1390" s="77" t="s">
        <v>74</v>
      </c>
      <c r="H1390" s="77" t="s">
        <v>127</v>
      </c>
      <c r="I1390" s="77" t="s">
        <v>84</v>
      </c>
      <c r="J1390" s="76">
        <v>8.4821183458843076E-3</v>
      </c>
    </row>
    <row r="1391" spans="1:10" x14ac:dyDescent="0.35">
      <c r="A1391" t="s">
        <v>13</v>
      </c>
      <c r="B1391" t="s">
        <v>38</v>
      </c>
      <c r="C1391" s="77" t="s">
        <v>90</v>
      </c>
      <c r="D1391" t="s">
        <v>81</v>
      </c>
      <c r="E1391" s="77" t="s">
        <v>101</v>
      </c>
      <c r="F1391" s="77" t="s">
        <v>73</v>
      </c>
      <c r="G1391" s="77" t="s">
        <v>74</v>
      </c>
      <c r="H1391" s="77" t="s">
        <v>127</v>
      </c>
      <c r="I1391" s="77" t="s">
        <v>84</v>
      </c>
      <c r="J1391" s="76">
        <v>0</v>
      </c>
    </row>
    <row r="1392" spans="1:10" x14ac:dyDescent="0.35">
      <c r="A1392" t="s">
        <v>13</v>
      </c>
      <c r="B1392" t="s">
        <v>38</v>
      </c>
      <c r="C1392" s="77" t="s">
        <v>90</v>
      </c>
      <c r="D1392" t="s">
        <v>81</v>
      </c>
      <c r="E1392" s="77" t="s">
        <v>104</v>
      </c>
      <c r="F1392" s="77" t="s">
        <v>73</v>
      </c>
      <c r="G1392" s="77" t="s">
        <v>74</v>
      </c>
      <c r="H1392" s="77" t="s">
        <v>127</v>
      </c>
      <c r="I1392" s="77" t="s">
        <v>84</v>
      </c>
      <c r="J1392" s="76">
        <v>0</v>
      </c>
    </row>
    <row r="1393" spans="1:10" x14ac:dyDescent="0.35">
      <c r="A1393" t="s">
        <v>13</v>
      </c>
      <c r="B1393" t="s">
        <v>38</v>
      </c>
      <c r="C1393" s="77" t="s">
        <v>90</v>
      </c>
      <c r="D1393" t="s">
        <v>81</v>
      </c>
      <c r="E1393" s="77" t="s">
        <v>106</v>
      </c>
      <c r="F1393" s="77" t="s">
        <v>73</v>
      </c>
      <c r="G1393" s="77" t="s">
        <v>74</v>
      </c>
      <c r="H1393" s="77" t="s">
        <v>127</v>
      </c>
      <c r="I1393" s="77" t="s">
        <v>84</v>
      </c>
      <c r="J1393" s="76">
        <v>0</v>
      </c>
    </row>
    <row r="1394" spans="1:10" x14ac:dyDescent="0.35">
      <c r="A1394" t="s">
        <v>13</v>
      </c>
      <c r="B1394" t="s">
        <v>38</v>
      </c>
      <c r="C1394" s="77" t="s">
        <v>91</v>
      </c>
      <c r="D1394" t="s">
        <v>81</v>
      </c>
      <c r="E1394" s="77" t="s">
        <v>119</v>
      </c>
      <c r="F1394" s="77" t="s">
        <v>73</v>
      </c>
      <c r="G1394" s="77" t="s">
        <v>74</v>
      </c>
      <c r="H1394" s="77" t="s">
        <v>127</v>
      </c>
      <c r="I1394" s="77" t="s">
        <v>84</v>
      </c>
      <c r="J1394" s="76">
        <f>'SUT_EU27 total'!$M$73</f>
        <v>0.15097500908393557</v>
      </c>
    </row>
    <row r="1395" spans="1:10" x14ac:dyDescent="0.35">
      <c r="A1395" t="s">
        <v>13</v>
      </c>
      <c r="B1395" t="s">
        <v>38</v>
      </c>
      <c r="C1395" s="77" t="s">
        <v>91</v>
      </c>
      <c r="D1395" t="s">
        <v>81</v>
      </c>
      <c r="E1395" s="77" t="s">
        <v>124</v>
      </c>
      <c r="F1395" s="77" t="s">
        <v>73</v>
      </c>
      <c r="G1395" s="77" t="s">
        <v>74</v>
      </c>
      <c r="H1395" s="77" t="s">
        <v>127</v>
      </c>
      <c r="I1395" s="77" t="s">
        <v>84</v>
      </c>
      <c r="J1395" s="76" cm="1">
        <f t="array" ref="J1395:J1403">'SUT_EU27 total'!$M$77:$M$85</f>
        <v>6.7728942399646885E-5</v>
      </c>
    </row>
    <row r="1396" spans="1:10" x14ac:dyDescent="0.35">
      <c r="A1396" t="s">
        <v>13</v>
      </c>
      <c r="B1396" t="s">
        <v>38</v>
      </c>
      <c r="C1396" s="77" t="s">
        <v>91</v>
      </c>
      <c r="D1396" t="s">
        <v>81</v>
      </c>
      <c r="E1396" s="77" t="s">
        <v>117</v>
      </c>
      <c r="F1396" s="77" t="s">
        <v>73</v>
      </c>
      <c r="G1396" s="77" t="s">
        <v>74</v>
      </c>
      <c r="H1396" s="77" t="s">
        <v>127</v>
      </c>
      <c r="I1396" s="77" t="s">
        <v>84</v>
      </c>
      <c r="J1396" s="76">
        <v>5.6233849622410815E-3</v>
      </c>
    </row>
    <row r="1397" spans="1:10" x14ac:dyDescent="0.35">
      <c r="A1397" t="s">
        <v>13</v>
      </c>
      <c r="B1397" t="s">
        <v>38</v>
      </c>
      <c r="C1397" s="77" t="s">
        <v>91</v>
      </c>
      <c r="D1397" t="s">
        <v>81</v>
      </c>
      <c r="E1397" s="77" t="s">
        <v>82</v>
      </c>
      <c r="F1397" s="77" t="s">
        <v>73</v>
      </c>
      <c r="G1397" s="77" t="s">
        <v>74</v>
      </c>
      <c r="H1397" s="77" t="s">
        <v>127</v>
      </c>
      <c r="I1397" s="77" t="s">
        <v>84</v>
      </c>
      <c r="J1397" s="76">
        <v>1.8068055269127655E-3</v>
      </c>
    </row>
    <row r="1398" spans="1:10" x14ac:dyDescent="0.35">
      <c r="A1398" t="s">
        <v>13</v>
      </c>
      <c r="B1398" t="s">
        <v>38</v>
      </c>
      <c r="C1398" s="77" t="s">
        <v>91</v>
      </c>
      <c r="D1398" t="s">
        <v>81</v>
      </c>
      <c r="E1398" s="77" t="s">
        <v>125</v>
      </c>
      <c r="F1398" s="77" t="s">
        <v>73</v>
      </c>
      <c r="G1398" s="77" t="s">
        <v>74</v>
      </c>
      <c r="H1398" s="77" t="s">
        <v>127</v>
      </c>
      <c r="I1398" s="77" t="s">
        <v>84</v>
      </c>
      <c r="J1398" s="76">
        <v>5.6492118062760293E-6</v>
      </c>
    </row>
    <row r="1399" spans="1:10" x14ac:dyDescent="0.35">
      <c r="A1399" t="s">
        <v>13</v>
      </c>
      <c r="B1399" t="s">
        <v>38</v>
      </c>
      <c r="C1399" s="77" t="s">
        <v>91</v>
      </c>
      <c r="D1399" t="s">
        <v>81</v>
      </c>
      <c r="E1399" s="77" t="s">
        <v>122</v>
      </c>
      <c r="F1399" s="77" t="s">
        <v>73</v>
      </c>
      <c r="G1399" s="77" t="s">
        <v>74</v>
      </c>
      <c r="H1399" s="77" t="s">
        <v>127</v>
      </c>
      <c r="I1399" s="77" t="s">
        <v>84</v>
      </c>
      <c r="J1399" s="76">
        <v>0</v>
      </c>
    </row>
    <row r="1400" spans="1:10" x14ac:dyDescent="0.35">
      <c r="A1400" t="s">
        <v>13</v>
      </c>
      <c r="B1400" t="s">
        <v>38</v>
      </c>
      <c r="C1400" s="77" t="s">
        <v>91</v>
      </c>
      <c r="D1400" t="s">
        <v>81</v>
      </c>
      <c r="E1400" s="77" t="s">
        <v>126</v>
      </c>
      <c r="F1400" s="77" t="s">
        <v>73</v>
      </c>
      <c r="G1400" s="77" t="s">
        <v>74</v>
      </c>
      <c r="H1400" s="77" t="s">
        <v>127</v>
      </c>
      <c r="I1400" s="77" t="s">
        <v>84</v>
      </c>
      <c r="J1400" s="76">
        <v>8.1093795177776388E-4</v>
      </c>
    </row>
    <row r="1401" spans="1:10" x14ac:dyDescent="0.35">
      <c r="A1401" t="s">
        <v>13</v>
      </c>
      <c r="B1401" t="s">
        <v>38</v>
      </c>
      <c r="C1401" s="77" t="s">
        <v>91</v>
      </c>
      <c r="D1401" t="s">
        <v>81</v>
      </c>
      <c r="E1401" s="77" t="s">
        <v>101</v>
      </c>
      <c r="F1401" s="77" t="s">
        <v>73</v>
      </c>
      <c r="G1401" s="77" t="s">
        <v>74</v>
      </c>
      <c r="H1401" s="77" t="s">
        <v>127</v>
      </c>
      <c r="I1401" s="77" t="s">
        <v>84</v>
      </c>
      <c r="J1401" s="76">
        <v>0</v>
      </c>
    </row>
    <row r="1402" spans="1:10" x14ac:dyDescent="0.35">
      <c r="A1402" t="s">
        <v>13</v>
      </c>
      <c r="B1402" t="s">
        <v>38</v>
      </c>
      <c r="C1402" s="77" t="s">
        <v>91</v>
      </c>
      <c r="D1402" t="s">
        <v>81</v>
      </c>
      <c r="E1402" s="77" t="s">
        <v>104</v>
      </c>
      <c r="F1402" s="77" t="s">
        <v>73</v>
      </c>
      <c r="G1402" s="77" t="s">
        <v>74</v>
      </c>
      <c r="H1402" s="77" t="s">
        <v>127</v>
      </c>
      <c r="I1402" s="77" t="s">
        <v>84</v>
      </c>
      <c r="J1402" s="76">
        <v>0</v>
      </c>
    </row>
    <row r="1403" spans="1:10" x14ac:dyDescent="0.35">
      <c r="A1403" t="s">
        <v>13</v>
      </c>
      <c r="B1403" t="s">
        <v>38</v>
      </c>
      <c r="C1403" s="77" t="s">
        <v>91</v>
      </c>
      <c r="D1403" t="s">
        <v>81</v>
      </c>
      <c r="E1403" s="77" t="s">
        <v>106</v>
      </c>
      <c r="F1403" s="77" t="s">
        <v>73</v>
      </c>
      <c r="G1403" s="77" t="s">
        <v>74</v>
      </c>
      <c r="H1403" s="77" t="s">
        <v>127</v>
      </c>
      <c r="I1403" s="77" t="s">
        <v>84</v>
      </c>
      <c r="J1403" s="76">
        <v>0</v>
      </c>
    </row>
    <row r="1404" spans="1:10" x14ac:dyDescent="0.35">
      <c r="A1404" t="s">
        <v>13</v>
      </c>
      <c r="B1404" t="s">
        <v>38</v>
      </c>
      <c r="C1404" s="77" t="s">
        <v>92</v>
      </c>
      <c r="D1404" t="s">
        <v>81</v>
      </c>
      <c r="E1404" s="77" t="s">
        <v>119</v>
      </c>
      <c r="F1404" s="77" t="s">
        <v>73</v>
      </c>
      <c r="G1404" s="77" t="s">
        <v>74</v>
      </c>
      <c r="H1404" s="77" t="s">
        <v>127</v>
      </c>
      <c r="I1404" s="77" t="s">
        <v>84</v>
      </c>
      <c r="J1404" s="76">
        <f>'SUT_EU27 total'!$M$90</f>
        <v>0.13886309499777949</v>
      </c>
    </row>
    <row r="1405" spans="1:10" x14ac:dyDescent="0.35">
      <c r="A1405" t="s">
        <v>13</v>
      </c>
      <c r="B1405" t="s">
        <v>38</v>
      </c>
      <c r="C1405" s="77" t="s">
        <v>92</v>
      </c>
      <c r="D1405" t="s">
        <v>81</v>
      </c>
      <c r="E1405" s="77" t="s">
        <v>124</v>
      </c>
      <c r="F1405" s="77" t="s">
        <v>73</v>
      </c>
      <c r="G1405" s="77" t="s">
        <v>74</v>
      </c>
      <c r="H1405" s="77" t="s">
        <v>127</v>
      </c>
      <c r="I1405" s="77" t="s">
        <v>84</v>
      </c>
      <c r="J1405" s="76" cm="1">
        <f t="array" ref="J1405:J1413">'SUT_EU27 total'!$M$94:$M$102</f>
        <v>9.2968907089085616E-5</v>
      </c>
    </row>
    <row r="1406" spans="1:10" x14ac:dyDescent="0.35">
      <c r="A1406" t="s">
        <v>13</v>
      </c>
      <c r="B1406" t="s">
        <v>38</v>
      </c>
      <c r="C1406" s="77" t="s">
        <v>92</v>
      </c>
      <c r="D1406" t="s">
        <v>81</v>
      </c>
      <c r="E1406" s="77" t="s">
        <v>117</v>
      </c>
      <c r="F1406" s="77" t="s">
        <v>73</v>
      </c>
      <c r="G1406" s="77" t="s">
        <v>74</v>
      </c>
      <c r="H1406" s="77" t="s">
        <v>127</v>
      </c>
      <c r="I1406" s="77" t="s">
        <v>84</v>
      </c>
      <c r="J1406" s="76">
        <v>0</v>
      </c>
    </row>
    <row r="1407" spans="1:10" x14ac:dyDescent="0.35">
      <c r="A1407" t="s">
        <v>13</v>
      </c>
      <c r="B1407" t="s">
        <v>38</v>
      </c>
      <c r="C1407" s="77" t="s">
        <v>92</v>
      </c>
      <c r="D1407" t="s">
        <v>81</v>
      </c>
      <c r="E1407" s="77" t="s">
        <v>82</v>
      </c>
      <c r="F1407" s="77" t="s">
        <v>73</v>
      </c>
      <c r="G1407" s="77" t="s">
        <v>74</v>
      </c>
      <c r="H1407" s="77" t="s">
        <v>127</v>
      </c>
      <c r="I1407" s="77" t="s">
        <v>84</v>
      </c>
      <c r="J1407" s="76">
        <v>1.1251392039595793E-3</v>
      </c>
    </row>
    <row r="1408" spans="1:10" x14ac:dyDescent="0.35">
      <c r="A1408" t="s">
        <v>13</v>
      </c>
      <c r="B1408" t="s">
        <v>38</v>
      </c>
      <c r="C1408" s="77" t="s">
        <v>92</v>
      </c>
      <c r="D1408" t="s">
        <v>81</v>
      </c>
      <c r="E1408" s="77" t="s">
        <v>125</v>
      </c>
      <c r="F1408" s="77" t="s">
        <v>73</v>
      </c>
      <c r="G1408" s="77" t="s">
        <v>74</v>
      </c>
      <c r="H1408" s="77" t="s">
        <v>127</v>
      </c>
      <c r="I1408" s="77" t="s">
        <v>84</v>
      </c>
      <c r="J1408" s="76">
        <v>5.0048817841215026E-7</v>
      </c>
    </row>
    <row r="1409" spans="1:10" x14ac:dyDescent="0.35">
      <c r="A1409" t="s">
        <v>13</v>
      </c>
      <c r="B1409" t="s">
        <v>38</v>
      </c>
      <c r="C1409" s="77" t="s">
        <v>92</v>
      </c>
      <c r="D1409" t="s">
        <v>81</v>
      </c>
      <c r="E1409" s="77" t="s">
        <v>122</v>
      </c>
      <c r="F1409" s="77" t="s">
        <v>73</v>
      </c>
      <c r="G1409" s="77" t="s">
        <v>74</v>
      </c>
      <c r="H1409" s="77" t="s">
        <v>127</v>
      </c>
      <c r="I1409" s="77" t="s">
        <v>84</v>
      </c>
      <c r="J1409" s="76">
        <v>0</v>
      </c>
    </row>
    <row r="1410" spans="1:10" x14ac:dyDescent="0.35">
      <c r="A1410" t="s">
        <v>13</v>
      </c>
      <c r="B1410" t="s">
        <v>38</v>
      </c>
      <c r="C1410" s="77" t="s">
        <v>92</v>
      </c>
      <c r="D1410" t="s">
        <v>81</v>
      </c>
      <c r="E1410" s="77" t="s">
        <v>126</v>
      </c>
      <c r="F1410" s="77" t="s">
        <v>73</v>
      </c>
      <c r="G1410" s="77" t="s">
        <v>74</v>
      </c>
      <c r="H1410" s="77" t="s">
        <v>127</v>
      </c>
      <c r="I1410" s="77" t="s">
        <v>84</v>
      </c>
      <c r="J1410" s="76">
        <v>0</v>
      </c>
    </row>
    <row r="1411" spans="1:10" x14ac:dyDescent="0.35">
      <c r="A1411" t="s">
        <v>13</v>
      </c>
      <c r="B1411" t="s">
        <v>38</v>
      </c>
      <c r="C1411" s="77" t="s">
        <v>92</v>
      </c>
      <c r="D1411" t="s">
        <v>81</v>
      </c>
      <c r="E1411" s="77" t="s">
        <v>101</v>
      </c>
      <c r="F1411" s="77" t="s">
        <v>73</v>
      </c>
      <c r="G1411" s="77" t="s">
        <v>74</v>
      </c>
      <c r="H1411" s="77" t="s">
        <v>127</v>
      </c>
      <c r="I1411" s="77" t="s">
        <v>84</v>
      </c>
      <c r="J1411" s="76">
        <v>0</v>
      </c>
    </row>
    <row r="1412" spans="1:10" x14ac:dyDescent="0.35">
      <c r="A1412" t="s">
        <v>13</v>
      </c>
      <c r="B1412" t="s">
        <v>38</v>
      </c>
      <c r="C1412" s="77" t="s">
        <v>92</v>
      </c>
      <c r="D1412" t="s">
        <v>81</v>
      </c>
      <c r="E1412" s="77" t="s">
        <v>104</v>
      </c>
      <c r="F1412" s="77" t="s">
        <v>73</v>
      </c>
      <c r="G1412" s="77" t="s">
        <v>74</v>
      </c>
      <c r="H1412" s="77" t="s">
        <v>127</v>
      </c>
      <c r="I1412" s="77" t="s">
        <v>84</v>
      </c>
      <c r="J1412" s="76">
        <v>0</v>
      </c>
    </row>
    <row r="1413" spans="1:10" x14ac:dyDescent="0.35">
      <c r="A1413" t="s">
        <v>13</v>
      </c>
      <c r="B1413" t="s">
        <v>38</v>
      </c>
      <c r="C1413" s="77" t="s">
        <v>92</v>
      </c>
      <c r="D1413" t="s">
        <v>81</v>
      </c>
      <c r="E1413" s="77" t="s">
        <v>106</v>
      </c>
      <c r="F1413" s="77" t="s">
        <v>73</v>
      </c>
      <c r="G1413" s="77" t="s">
        <v>74</v>
      </c>
      <c r="H1413" s="77" t="s">
        <v>127</v>
      </c>
      <c r="I1413" s="77" t="s">
        <v>84</v>
      </c>
      <c r="J1413" s="76">
        <v>0</v>
      </c>
    </row>
    <row r="1414" spans="1:10" x14ac:dyDescent="0.35">
      <c r="A1414" t="s">
        <v>13</v>
      </c>
      <c r="B1414" t="s">
        <v>38</v>
      </c>
      <c r="C1414" s="77" t="s">
        <v>93</v>
      </c>
      <c r="D1414" t="s">
        <v>81</v>
      </c>
      <c r="E1414" s="77" t="s">
        <v>119</v>
      </c>
      <c r="F1414" s="77" t="s">
        <v>73</v>
      </c>
      <c r="G1414" s="77" t="s">
        <v>74</v>
      </c>
      <c r="H1414" s="77" t="s">
        <v>127</v>
      </c>
      <c r="I1414" s="77" t="s">
        <v>84</v>
      </c>
      <c r="J1414" s="76">
        <f>'SUT_EU27 total'!$M$107</f>
        <v>1.0000807460939076</v>
      </c>
    </row>
    <row r="1415" spans="1:10" x14ac:dyDescent="0.35">
      <c r="A1415" t="s">
        <v>13</v>
      </c>
      <c r="B1415" t="s">
        <v>38</v>
      </c>
      <c r="C1415" s="77" t="s">
        <v>93</v>
      </c>
      <c r="D1415" t="s">
        <v>81</v>
      </c>
      <c r="E1415" s="77" t="s">
        <v>124</v>
      </c>
      <c r="F1415" s="77" t="s">
        <v>73</v>
      </c>
      <c r="G1415" s="77" t="s">
        <v>74</v>
      </c>
      <c r="H1415" s="77" t="s">
        <v>127</v>
      </c>
      <c r="I1415" s="77" t="s">
        <v>84</v>
      </c>
      <c r="J1415" s="76" cm="1">
        <f t="array" ref="J1415:J1423">'SUT_EU27 total'!$M$111:$M$119</f>
        <v>3.7052409430862396E-4</v>
      </c>
    </row>
    <row r="1416" spans="1:10" x14ac:dyDescent="0.35">
      <c r="A1416" t="s">
        <v>13</v>
      </c>
      <c r="B1416" t="s">
        <v>38</v>
      </c>
      <c r="C1416" s="77" t="s">
        <v>93</v>
      </c>
      <c r="D1416" t="s">
        <v>81</v>
      </c>
      <c r="E1416" s="77" t="s">
        <v>117</v>
      </c>
      <c r="F1416" s="77" t="s">
        <v>73</v>
      </c>
      <c r="G1416" s="77" t="s">
        <v>74</v>
      </c>
      <c r="H1416" s="77" t="s">
        <v>127</v>
      </c>
      <c r="I1416" s="77" t="s">
        <v>84</v>
      </c>
      <c r="J1416" s="76">
        <v>5.8414042458127093E-3</v>
      </c>
    </row>
    <row r="1417" spans="1:10" x14ac:dyDescent="0.35">
      <c r="A1417" t="s">
        <v>13</v>
      </c>
      <c r="B1417" t="s">
        <v>38</v>
      </c>
      <c r="C1417" s="77" t="s">
        <v>93</v>
      </c>
      <c r="D1417" t="s">
        <v>81</v>
      </c>
      <c r="E1417" s="77" t="s">
        <v>82</v>
      </c>
      <c r="F1417" s="77" t="s">
        <v>73</v>
      </c>
      <c r="G1417" s="77" t="s">
        <v>74</v>
      </c>
      <c r="H1417" s="77" t="s">
        <v>127</v>
      </c>
      <c r="I1417" s="77" t="s">
        <v>84</v>
      </c>
      <c r="J1417" s="76">
        <v>5.0319447308723453E-3</v>
      </c>
    </row>
    <row r="1418" spans="1:10" x14ac:dyDescent="0.35">
      <c r="A1418" t="s">
        <v>13</v>
      </c>
      <c r="B1418" t="s">
        <v>38</v>
      </c>
      <c r="C1418" s="77" t="s">
        <v>93</v>
      </c>
      <c r="D1418" t="s">
        <v>81</v>
      </c>
      <c r="E1418" s="77" t="s">
        <v>125</v>
      </c>
      <c r="F1418" s="77" t="s">
        <v>73</v>
      </c>
      <c r="G1418" s="77" t="s">
        <v>74</v>
      </c>
      <c r="H1418" s="77" t="s">
        <v>127</v>
      </c>
      <c r="I1418" s="77" t="s">
        <v>84</v>
      </c>
      <c r="J1418" s="76">
        <v>4.336096678710085E-4</v>
      </c>
    </row>
    <row r="1419" spans="1:10" x14ac:dyDescent="0.35">
      <c r="A1419" t="s">
        <v>13</v>
      </c>
      <c r="B1419" t="s">
        <v>38</v>
      </c>
      <c r="C1419" s="77" t="s">
        <v>93</v>
      </c>
      <c r="D1419" t="s">
        <v>81</v>
      </c>
      <c r="E1419" s="77" t="s">
        <v>122</v>
      </c>
      <c r="F1419" s="77" t="s">
        <v>73</v>
      </c>
      <c r="G1419" s="77" t="s">
        <v>74</v>
      </c>
      <c r="H1419" s="77" t="s">
        <v>127</v>
      </c>
      <c r="I1419" s="77" t="s">
        <v>84</v>
      </c>
      <c r="J1419" s="76">
        <v>2.7129607609988112E-3</v>
      </c>
    </row>
    <row r="1420" spans="1:10" x14ac:dyDescent="0.35">
      <c r="A1420" t="s">
        <v>13</v>
      </c>
      <c r="B1420" t="s">
        <v>38</v>
      </c>
      <c r="C1420" s="77" t="s">
        <v>93</v>
      </c>
      <c r="D1420" t="s">
        <v>81</v>
      </c>
      <c r="E1420" s="77" t="s">
        <v>126</v>
      </c>
      <c r="F1420" s="77" t="s">
        <v>73</v>
      </c>
      <c r="G1420" s="77" t="s">
        <v>74</v>
      </c>
      <c r="H1420" s="77" t="s">
        <v>127</v>
      </c>
      <c r="I1420" s="77" t="s">
        <v>84</v>
      </c>
      <c r="J1420" s="76">
        <v>4.3855511603587784E-2</v>
      </c>
    </row>
    <row r="1421" spans="1:10" x14ac:dyDescent="0.35">
      <c r="A1421" t="s">
        <v>13</v>
      </c>
      <c r="B1421" t="s">
        <v>38</v>
      </c>
      <c r="C1421" s="77" t="s">
        <v>93</v>
      </c>
      <c r="D1421" t="s">
        <v>81</v>
      </c>
      <c r="E1421" s="77" t="s">
        <v>101</v>
      </c>
      <c r="F1421" s="77" t="s">
        <v>73</v>
      </c>
      <c r="G1421" s="77" t="s">
        <v>74</v>
      </c>
      <c r="H1421" s="77" t="s">
        <v>127</v>
      </c>
      <c r="I1421" s="77" t="s">
        <v>84</v>
      </c>
      <c r="J1421" s="76">
        <v>0</v>
      </c>
    </row>
    <row r="1422" spans="1:10" x14ac:dyDescent="0.35">
      <c r="A1422" t="s">
        <v>13</v>
      </c>
      <c r="B1422" t="s">
        <v>38</v>
      </c>
      <c r="C1422" s="77" t="s">
        <v>93</v>
      </c>
      <c r="D1422" t="s">
        <v>81</v>
      </c>
      <c r="E1422" s="77" t="s">
        <v>104</v>
      </c>
      <c r="F1422" s="77" t="s">
        <v>73</v>
      </c>
      <c r="G1422" s="77" t="s">
        <v>74</v>
      </c>
      <c r="H1422" s="77" t="s">
        <v>127</v>
      </c>
      <c r="I1422" s="77" t="s">
        <v>84</v>
      </c>
      <c r="J1422" s="76">
        <v>0</v>
      </c>
    </row>
    <row r="1423" spans="1:10" x14ac:dyDescent="0.35">
      <c r="A1423" t="s">
        <v>13</v>
      </c>
      <c r="B1423" t="s">
        <v>38</v>
      </c>
      <c r="C1423" s="77" t="s">
        <v>93</v>
      </c>
      <c r="D1423" t="s">
        <v>81</v>
      </c>
      <c r="E1423" s="77" t="s">
        <v>106</v>
      </c>
      <c r="F1423" s="77" t="s">
        <v>73</v>
      </c>
      <c r="G1423" s="77" t="s">
        <v>74</v>
      </c>
      <c r="H1423" s="77" t="s">
        <v>127</v>
      </c>
      <c r="I1423" s="77" t="s">
        <v>84</v>
      </c>
      <c r="J1423" s="76">
        <v>0</v>
      </c>
    </row>
    <row r="1424" spans="1:10" x14ac:dyDescent="0.35">
      <c r="A1424" t="s">
        <v>13</v>
      </c>
      <c r="B1424" t="s">
        <v>38</v>
      </c>
      <c r="C1424" s="77" t="s">
        <v>73</v>
      </c>
      <c r="D1424" t="s">
        <v>81</v>
      </c>
      <c r="E1424" s="77" t="s">
        <v>82</v>
      </c>
      <c r="F1424" s="77" t="s">
        <v>73</v>
      </c>
      <c r="G1424" s="77" t="s">
        <v>74</v>
      </c>
      <c r="H1424" s="77" t="s">
        <v>128</v>
      </c>
      <c r="I1424" s="77" t="s">
        <v>84</v>
      </c>
      <c r="J1424" s="76">
        <f>'SUT_EU27 total'!$N$28</f>
        <v>1.4658301341380521E-2</v>
      </c>
    </row>
    <row r="1425" spans="1:10" x14ac:dyDescent="0.35">
      <c r="A1425" t="s">
        <v>13</v>
      </c>
      <c r="B1425" t="s">
        <v>38</v>
      </c>
      <c r="C1425" s="77" t="s">
        <v>73</v>
      </c>
      <c r="D1425" t="s">
        <v>81</v>
      </c>
      <c r="E1425" s="77" t="s">
        <v>86</v>
      </c>
      <c r="F1425" s="77" t="s">
        <v>73</v>
      </c>
      <c r="G1425" s="77" t="s">
        <v>74</v>
      </c>
      <c r="H1425" s="77" t="s">
        <v>128</v>
      </c>
      <c r="I1425" s="77" t="s">
        <v>84</v>
      </c>
      <c r="J1425" s="76">
        <f>'SUT_EU27 total'!$N$35</f>
        <v>3.0740776778828832E-3</v>
      </c>
    </row>
    <row r="1426" spans="1:10" x14ac:dyDescent="0.35">
      <c r="A1426" t="s">
        <v>13</v>
      </c>
      <c r="B1426" t="s">
        <v>38</v>
      </c>
      <c r="C1426" s="77" t="s">
        <v>88</v>
      </c>
      <c r="D1426" t="s">
        <v>81</v>
      </c>
      <c r="E1426" s="77" t="s">
        <v>82</v>
      </c>
      <c r="F1426" s="77" t="s">
        <v>73</v>
      </c>
      <c r="G1426" s="77" t="s">
        <v>74</v>
      </c>
      <c r="H1426" s="77" t="s">
        <v>128</v>
      </c>
      <c r="I1426" s="77" t="s">
        <v>84</v>
      </c>
      <c r="J1426" s="76">
        <f>'SUT_EU27 total'!$N$45</f>
        <v>9.2276548594747033E-3</v>
      </c>
    </row>
    <row r="1427" spans="1:10" x14ac:dyDescent="0.35">
      <c r="A1427" t="s">
        <v>13</v>
      </c>
      <c r="B1427" t="s">
        <v>38</v>
      </c>
      <c r="C1427" s="77" t="s">
        <v>88</v>
      </c>
      <c r="D1427" t="s">
        <v>81</v>
      </c>
      <c r="E1427" s="77" t="s">
        <v>86</v>
      </c>
      <c r="F1427" s="77" t="s">
        <v>73</v>
      </c>
      <c r="G1427" s="77" t="s">
        <v>74</v>
      </c>
      <c r="H1427" s="77" t="s">
        <v>128</v>
      </c>
      <c r="I1427" s="77" t="s">
        <v>84</v>
      </c>
      <c r="J1427" s="76">
        <f>'SUT_EU27 total'!$N$52</f>
        <v>6.9627451701437512E-2</v>
      </c>
    </row>
    <row r="1428" spans="1:10" x14ac:dyDescent="0.35">
      <c r="A1428" t="s">
        <v>13</v>
      </c>
      <c r="B1428" t="s">
        <v>38</v>
      </c>
      <c r="C1428" s="77" t="s">
        <v>90</v>
      </c>
      <c r="D1428" t="s">
        <v>81</v>
      </c>
      <c r="E1428" s="77" t="s">
        <v>82</v>
      </c>
      <c r="F1428" s="77" t="s">
        <v>73</v>
      </c>
      <c r="G1428" s="77" t="s">
        <v>74</v>
      </c>
      <c r="H1428" s="77" t="s">
        <v>128</v>
      </c>
      <c r="I1428" s="77" t="s">
        <v>84</v>
      </c>
      <c r="J1428" s="76">
        <f>'SUT_EU27 total'!$N$62</f>
        <v>2.2200107734217647E-6</v>
      </c>
    </row>
    <row r="1429" spans="1:10" x14ac:dyDescent="0.35">
      <c r="A1429" t="s">
        <v>13</v>
      </c>
      <c r="B1429" t="s">
        <v>38</v>
      </c>
      <c r="C1429" s="77" t="s">
        <v>90</v>
      </c>
      <c r="D1429" t="s">
        <v>81</v>
      </c>
      <c r="E1429" s="77" t="s">
        <v>86</v>
      </c>
      <c r="F1429" s="77" t="s">
        <v>73</v>
      </c>
      <c r="G1429" s="77" t="s">
        <v>74</v>
      </c>
      <c r="H1429" s="77" t="s">
        <v>128</v>
      </c>
      <c r="I1429" s="77" t="s">
        <v>84</v>
      </c>
      <c r="J1429" s="76">
        <f>'SUT_EU27 total'!$N$69</f>
        <v>9.1135123377023061E-3</v>
      </c>
    </row>
    <row r="1430" spans="1:10" x14ac:dyDescent="0.35">
      <c r="A1430" t="s">
        <v>13</v>
      </c>
      <c r="B1430" t="s">
        <v>38</v>
      </c>
      <c r="C1430" s="77" t="s">
        <v>91</v>
      </c>
      <c r="D1430" t="s">
        <v>81</v>
      </c>
      <c r="E1430" s="77" t="s">
        <v>82</v>
      </c>
      <c r="F1430" s="77" t="s">
        <v>73</v>
      </c>
      <c r="G1430" s="77" t="s">
        <v>74</v>
      </c>
      <c r="H1430" s="77" t="s">
        <v>128</v>
      </c>
      <c r="I1430" s="77" t="s">
        <v>84</v>
      </c>
      <c r="J1430" s="76">
        <f>'SUT_EU27 total'!$N$79</f>
        <v>4.3195382907628159E-4</v>
      </c>
    </row>
    <row r="1431" spans="1:10" x14ac:dyDescent="0.35">
      <c r="A1431" t="s">
        <v>13</v>
      </c>
      <c r="B1431" t="s">
        <v>38</v>
      </c>
      <c r="C1431" s="77" t="s">
        <v>91</v>
      </c>
      <c r="D1431" t="s">
        <v>81</v>
      </c>
      <c r="E1431" s="77" t="s">
        <v>86</v>
      </c>
      <c r="F1431" s="77" t="s">
        <v>73</v>
      </c>
      <c r="G1431" s="77" t="s">
        <v>74</v>
      </c>
      <c r="H1431" s="77" t="s">
        <v>128</v>
      </c>
      <c r="I1431" s="77" t="s">
        <v>84</v>
      </c>
      <c r="J1431" s="76">
        <f>'SUT_EU27 total'!$N$86</f>
        <v>1.1339568587203704E-2</v>
      </c>
    </row>
    <row r="1432" spans="1:10" x14ac:dyDescent="0.35">
      <c r="A1432" t="s">
        <v>13</v>
      </c>
      <c r="B1432" t="s">
        <v>38</v>
      </c>
      <c r="C1432" s="77" t="s">
        <v>92</v>
      </c>
      <c r="D1432" t="s">
        <v>81</v>
      </c>
      <c r="E1432" s="77" t="s">
        <v>82</v>
      </c>
      <c r="F1432" s="77" t="s">
        <v>73</v>
      </c>
      <c r="G1432" s="77" t="s">
        <v>74</v>
      </c>
      <c r="H1432" s="77" t="s">
        <v>128</v>
      </c>
      <c r="I1432" s="77" t="s">
        <v>84</v>
      </c>
      <c r="J1432" s="76">
        <f>'SUT_EU27 total'!$N$96</f>
        <v>5.9963902402539811E-4</v>
      </c>
    </row>
    <row r="1433" spans="1:10" x14ac:dyDescent="0.35">
      <c r="A1433" t="s">
        <v>13</v>
      </c>
      <c r="B1433" t="s">
        <v>38</v>
      </c>
      <c r="C1433" s="77" t="s">
        <v>92</v>
      </c>
      <c r="D1433" t="s">
        <v>81</v>
      </c>
      <c r="E1433" s="77" t="s">
        <v>86</v>
      </c>
      <c r="F1433" s="77" t="s">
        <v>73</v>
      </c>
      <c r="G1433" s="77" t="s">
        <v>74</v>
      </c>
      <c r="H1433" s="77" t="s">
        <v>128</v>
      </c>
      <c r="I1433" s="77" t="s">
        <v>84</v>
      </c>
      <c r="J1433" s="76">
        <f>'SUT_EU27 total'!$N$103</f>
        <v>7.0614092017150581E-3</v>
      </c>
    </row>
    <row r="1434" spans="1:10" x14ac:dyDescent="0.35">
      <c r="A1434" t="s">
        <v>13</v>
      </c>
      <c r="B1434" t="s">
        <v>38</v>
      </c>
      <c r="C1434" s="77" t="s">
        <v>93</v>
      </c>
      <c r="D1434" t="s">
        <v>81</v>
      </c>
      <c r="E1434" s="77" t="s">
        <v>82</v>
      </c>
      <c r="F1434" s="77" t="s">
        <v>73</v>
      </c>
      <c r="G1434" s="77" t="s">
        <v>74</v>
      </c>
      <c r="H1434" s="77" t="s">
        <v>128</v>
      </c>
      <c r="I1434" s="77" t="s">
        <v>84</v>
      </c>
      <c r="J1434" s="76">
        <f>'SUT_EU27 total'!$N$113</f>
        <v>2.4854239602480213E-3</v>
      </c>
    </row>
    <row r="1435" spans="1:10" x14ac:dyDescent="0.35">
      <c r="A1435" t="s">
        <v>13</v>
      </c>
      <c r="B1435" t="s">
        <v>38</v>
      </c>
      <c r="C1435" s="77" t="s">
        <v>93</v>
      </c>
      <c r="D1435" t="s">
        <v>81</v>
      </c>
      <c r="E1435" s="77" t="s">
        <v>86</v>
      </c>
      <c r="F1435" s="77" t="s">
        <v>73</v>
      </c>
      <c r="G1435" s="77" t="s">
        <v>74</v>
      </c>
      <c r="H1435" s="77" t="s">
        <v>128</v>
      </c>
      <c r="I1435" s="77" t="s">
        <v>84</v>
      </c>
      <c r="J1435" s="76">
        <f>'SUT_EU27 total'!$N$120</f>
        <v>3.1580644155014347E-2</v>
      </c>
    </row>
    <row r="1436" spans="1:10" x14ac:dyDescent="0.35">
      <c r="A1436" t="s">
        <v>13</v>
      </c>
      <c r="B1436" t="s">
        <v>38</v>
      </c>
      <c r="C1436" s="77" t="s">
        <v>73</v>
      </c>
      <c r="D1436" t="s">
        <v>81</v>
      </c>
      <c r="E1436" s="77" t="s">
        <v>82</v>
      </c>
      <c r="F1436" s="77" t="s">
        <v>73</v>
      </c>
      <c r="G1436" s="77" t="s">
        <v>74</v>
      </c>
      <c r="H1436" s="77" t="s">
        <v>129</v>
      </c>
      <c r="I1436" s="77" t="s">
        <v>84</v>
      </c>
      <c r="J1436" s="76">
        <f>'SUT_EU27 total'!$O$28</f>
        <v>1.4658301341380521E-2</v>
      </c>
    </row>
    <row r="1437" spans="1:10" x14ac:dyDescent="0.35">
      <c r="A1437" t="s">
        <v>13</v>
      </c>
      <c r="B1437" t="s">
        <v>38</v>
      </c>
      <c r="C1437" s="77" t="s">
        <v>73</v>
      </c>
      <c r="D1437" t="s">
        <v>81</v>
      </c>
      <c r="E1437" s="77" t="s">
        <v>86</v>
      </c>
      <c r="F1437" s="77" t="s">
        <v>73</v>
      </c>
      <c r="G1437" s="77" t="s">
        <v>74</v>
      </c>
      <c r="H1437" s="77" t="s">
        <v>129</v>
      </c>
      <c r="I1437" s="77" t="s">
        <v>84</v>
      </c>
      <c r="J1437" s="76">
        <f>'SUT_EU27 total'!$O$35</f>
        <v>3.0740776778828832E-3</v>
      </c>
    </row>
    <row r="1438" spans="1:10" x14ac:dyDescent="0.35">
      <c r="A1438" t="s">
        <v>13</v>
      </c>
      <c r="B1438" t="s">
        <v>38</v>
      </c>
      <c r="C1438" s="77" t="s">
        <v>88</v>
      </c>
      <c r="D1438" t="s">
        <v>81</v>
      </c>
      <c r="E1438" s="77" t="s">
        <v>82</v>
      </c>
      <c r="F1438" s="77" t="s">
        <v>73</v>
      </c>
      <c r="G1438" s="77" t="s">
        <v>74</v>
      </c>
      <c r="H1438" s="77" t="s">
        <v>129</v>
      </c>
      <c r="I1438" s="77" t="s">
        <v>84</v>
      </c>
      <c r="J1438" s="76">
        <f>'SUT_EU27 total'!$O$45</f>
        <v>9.2276548594747033E-3</v>
      </c>
    </row>
    <row r="1439" spans="1:10" x14ac:dyDescent="0.35">
      <c r="A1439" t="s">
        <v>13</v>
      </c>
      <c r="B1439" t="s">
        <v>38</v>
      </c>
      <c r="C1439" s="77" t="s">
        <v>88</v>
      </c>
      <c r="D1439" t="s">
        <v>81</v>
      </c>
      <c r="E1439" s="77" t="s">
        <v>86</v>
      </c>
      <c r="F1439" s="77" t="s">
        <v>73</v>
      </c>
      <c r="G1439" s="77" t="s">
        <v>74</v>
      </c>
      <c r="H1439" s="77" t="s">
        <v>129</v>
      </c>
      <c r="I1439" s="77" t="s">
        <v>84</v>
      </c>
      <c r="J1439" s="76">
        <f>'SUT_EU27 total'!$O$52</f>
        <v>6.9627451701437512E-2</v>
      </c>
    </row>
    <row r="1440" spans="1:10" x14ac:dyDescent="0.35">
      <c r="A1440" t="s">
        <v>13</v>
      </c>
      <c r="B1440" t="s">
        <v>38</v>
      </c>
      <c r="C1440" s="77" t="s">
        <v>90</v>
      </c>
      <c r="D1440" t="s">
        <v>81</v>
      </c>
      <c r="E1440" s="77" t="s">
        <v>82</v>
      </c>
      <c r="F1440" s="77" t="s">
        <v>73</v>
      </c>
      <c r="G1440" s="77" t="s">
        <v>74</v>
      </c>
      <c r="H1440" s="77" t="s">
        <v>129</v>
      </c>
      <c r="I1440" s="77" t="s">
        <v>84</v>
      </c>
      <c r="J1440" s="76">
        <f>'SUT_EU27 total'!$O$62</f>
        <v>2.2200107734217647E-6</v>
      </c>
    </row>
    <row r="1441" spans="1:10" x14ac:dyDescent="0.35">
      <c r="A1441" t="s">
        <v>13</v>
      </c>
      <c r="B1441" t="s">
        <v>38</v>
      </c>
      <c r="C1441" s="77" t="s">
        <v>90</v>
      </c>
      <c r="D1441" t="s">
        <v>81</v>
      </c>
      <c r="E1441" s="77" t="s">
        <v>86</v>
      </c>
      <c r="F1441" s="77" t="s">
        <v>73</v>
      </c>
      <c r="G1441" s="77" t="s">
        <v>74</v>
      </c>
      <c r="H1441" s="77" t="s">
        <v>129</v>
      </c>
      <c r="I1441" s="77" t="s">
        <v>84</v>
      </c>
      <c r="J1441" s="76">
        <f>'SUT_EU27 total'!$O$69</f>
        <v>9.1135123377023061E-3</v>
      </c>
    </row>
    <row r="1442" spans="1:10" x14ac:dyDescent="0.35">
      <c r="A1442" t="s">
        <v>13</v>
      </c>
      <c r="B1442" t="s">
        <v>38</v>
      </c>
      <c r="C1442" s="77" t="s">
        <v>91</v>
      </c>
      <c r="D1442" t="s">
        <v>81</v>
      </c>
      <c r="E1442" s="77" t="s">
        <v>82</v>
      </c>
      <c r="F1442" s="77" t="s">
        <v>73</v>
      </c>
      <c r="G1442" s="77" t="s">
        <v>74</v>
      </c>
      <c r="H1442" s="77" t="s">
        <v>129</v>
      </c>
      <c r="I1442" s="77" t="s">
        <v>84</v>
      </c>
      <c r="J1442" s="76">
        <f>'SUT_EU27 total'!$O$79</f>
        <v>4.3195382907628159E-4</v>
      </c>
    </row>
    <row r="1443" spans="1:10" x14ac:dyDescent="0.35">
      <c r="A1443" t="s">
        <v>13</v>
      </c>
      <c r="B1443" t="s">
        <v>38</v>
      </c>
      <c r="C1443" s="77" t="s">
        <v>91</v>
      </c>
      <c r="D1443" t="s">
        <v>81</v>
      </c>
      <c r="E1443" s="77" t="s">
        <v>86</v>
      </c>
      <c r="F1443" s="77" t="s">
        <v>73</v>
      </c>
      <c r="G1443" s="77" t="s">
        <v>74</v>
      </c>
      <c r="H1443" s="77" t="s">
        <v>129</v>
      </c>
      <c r="I1443" s="77" t="s">
        <v>84</v>
      </c>
      <c r="J1443" s="76">
        <f>'SUT_EU27 total'!$O$86</f>
        <v>1.1339568587203704E-2</v>
      </c>
    </row>
    <row r="1444" spans="1:10" x14ac:dyDescent="0.35">
      <c r="A1444" t="s">
        <v>13</v>
      </c>
      <c r="B1444" t="s">
        <v>38</v>
      </c>
      <c r="C1444" s="77" t="s">
        <v>92</v>
      </c>
      <c r="D1444" t="s">
        <v>81</v>
      </c>
      <c r="E1444" s="77" t="s">
        <v>82</v>
      </c>
      <c r="F1444" s="77" t="s">
        <v>73</v>
      </c>
      <c r="G1444" s="77" t="s">
        <v>74</v>
      </c>
      <c r="H1444" s="77" t="s">
        <v>129</v>
      </c>
      <c r="I1444" s="77" t="s">
        <v>84</v>
      </c>
      <c r="J1444" s="76">
        <f>'SUT_EU27 total'!$O$96</f>
        <v>5.9963902402539811E-4</v>
      </c>
    </row>
    <row r="1445" spans="1:10" x14ac:dyDescent="0.35">
      <c r="A1445" t="s">
        <v>13</v>
      </c>
      <c r="B1445" t="s">
        <v>38</v>
      </c>
      <c r="C1445" s="77" t="s">
        <v>92</v>
      </c>
      <c r="D1445" t="s">
        <v>81</v>
      </c>
      <c r="E1445" s="77" t="s">
        <v>86</v>
      </c>
      <c r="F1445" s="77" t="s">
        <v>73</v>
      </c>
      <c r="G1445" s="77" t="s">
        <v>74</v>
      </c>
      <c r="H1445" s="77" t="s">
        <v>129</v>
      </c>
      <c r="I1445" s="77" t="s">
        <v>84</v>
      </c>
      <c r="J1445" s="76">
        <f>'SUT_EU27 total'!$O$103</f>
        <v>7.0614092017150581E-3</v>
      </c>
    </row>
    <row r="1446" spans="1:10" x14ac:dyDescent="0.35">
      <c r="A1446" t="s">
        <v>13</v>
      </c>
      <c r="B1446" t="s">
        <v>38</v>
      </c>
      <c r="C1446" s="77" t="s">
        <v>93</v>
      </c>
      <c r="D1446" t="s">
        <v>81</v>
      </c>
      <c r="E1446" s="77" t="s">
        <v>82</v>
      </c>
      <c r="F1446" s="77" t="s">
        <v>73</v>
      </c>
      <c r="G1446" s="77" t="s">
        <v>74</v>
      </c>
      <c r="H1446" s="77" t="s">
        <v>129</v>
      </c>
      <c r="I1446" s="77" t="s">
        <v>84</v>
      </c>
      <c r="J1446" s="76">
        <f>'SUT_EU27 total'!$O$113</f>
        <v>2.4854239602480213E-3</v>
      </c>
    </row>
    <row r="1447" spans="1:10" x14ac:dyDescent="0.35">
      <c r="A1447" t="s">
        <v>13</v>
      </c>
      <c r="B1447" t="s">
        <v>38</v>
      </c>
      <c r="C1447" s="77" t="s">
        <v>93</v>
      </c>
      <c r="D1447" t="s">
        <v>81</v>
      </c>
      <c r="E1447" s="77" t="s">
        <v>86</v>
      </c>
      <c r="F1447" s="77" t="s">
        <v>73</v>
      </c>
      <c r="G1447" s="77" t="s">
        <v>74</v>
      </c>
      <c r="H1447" s="77" t="s">
        <v>129</v>
      </c>
      <c r="I1447" s="77" t="s">
        <v>84</v>
      </c>
      <c r="J1447" s="76">
        <f>'SUT_EU27 total'!$O$120</f>
        <v>3.1580644155014347E-2</v>
      </c>
    </row>
    <row r="1448" spans="1:10" x14ac:dyDescent="0.35">
      <c r="A1448" t="s">
        <v>13</v>
      </c>
      <c r="B1448" t="s">
        <v>38</v>
      </c>
      <c r="C1448" s="77" t="s">
        <v>73</v>
      </c>
      <c r="D1448" t="s">
        <v>81</v>
      </c>
      <c r="E1448" s="77" t="s">
        <v>82</v>
      </c>
      <c r="F1448" s="77" t="s">
        <v>73</v>
      </c>
      <c r="G1448" s="77" t="s">
        <v>74</v>
      </c>
      <c r="H1448" s="77" t="s">
        <v>130</v>
      </c>
      <c r="I1448" s="77" t="s">
        <v>84</v>
      </c>
      <c r="J1448" s="76">
        <f>'SUT_EU27 total'!$Q$28</f>
        <v>7.0611384178638645E-2</v>
      </c>
    </row>
    <row r="1449" spans="1:10" x14ac:dyDescent="0.35">
      <c r="A1449" t="s">
        <v>13</v>
      </c>
      <c r="B1449" t="s">
        <v>38</v>
      </c>
      <c r="C1449" s="77" t="s">
        <v>88</v>
      </c>
      <c r="D1449" t="s">
        <v>81</v>
      </c>
      <c r="E1449" s="77" t="s">
        <v>82</v>
      </c>
      <c r="F1449" s="77" t="s">
        <v>73</v>
      </c>
      <c r="G1449" s="77" t="s">
        <v>74</v>
      </c>
      <c r="H1449" s="77" t="s">
        <v>130</v>
      </c>
      <c r="I1449" s="77" t="s">
        <v>84</v>
      </c>
      <c r="J1449" s="76">
        <f>'SUT_EU27 total'!$Q$45</f>
        <v>4.4451090694311274E-2</v>
      </c>
    </row>
    <row r="1450" spans="1:10" x14ac:dyDescent="0.35">
      <c r="A1450" t="s">
        <v>13</v>
      </c>
      <c r="B1450" t="s">
        <v>38</v>
      </c>
      <c r="C1450" s="77" t="s">
        <v>90</v>
      </c>
      <c r="D1450" t="s">
        <v>81</v>
      </c>
      <c r="E1450" s="77" t="s">
        <v>82</v>
      </c>
      <c r="F1450" s="77" t="s">
        <v>73</v>
      </c>
      <c r="G1450" s="77" t="s">
        <v>74</v>
      </c>
      <c r="H1450" s="77" t="s">
        <v>130</v>
      </c>
      <c r="I1450" s="77" t="s">
        <v>84</v>
      </c>
      <c r="J1450" s="76">
        <f>'SUT_EU27 total'!$Q$62</f>
        <v>1.0694147292515508E-5</v>
      </c>
    </row>
    <row r="1451" spans="1:10" x14ac:dyDescent="0.35">
      <c r="A1451" t="s">
        <v>13</v>
      </c>
      <c r="B1451" t="s">
        <v>38</v>
      </c>
      <c r="C1451" s="77" t="s">
        <v>91</v>
      </c>
      <c r="D1451" t="s">
        <v>81</v>
      </c>
      <c r="E1451" s="77" t="s">
        <v>82</v>
      </c>
      <c r="F1451" s="77" t="s">
        <v>73</v>
      </c>
      <c r="G1451" s="77" t="s">
        <v>74</v>
      </c>
      <c r="H1451" s="77" t="s">
        <v>130</v>
      </c>
      <c r="I1451" s="77" t="s">
        <v>84</v>
      </c>
      <c r="J1451" s="76">
        <f>'SUT_EU27 total'!$Q$79</f>
        <v>2.0807907452574416E-3</v>
      </c>
    </row>
    <row r="1452" spans="1:10" x14ac:dyDescent="0.35">
      <c r="A1452" t="s">
        <v>13</v>
      </c>
      <c r="B1452" t="s">
        <v>38</v>
      </c>
      <c r="C1452" s="77" t="s">
        <v>92</v>
      </c>
      <c r="D1452" t="s">
        <v>81</v>
      </c>
      <c r="E1452" s="77" t="s">
        <v>82</v>
      </c>
      <c r="F1452" s="77" t="s">
        <v>73</v>
      </c>
      <c r="G1452" s="77" t="s">
        <v>74</v>
      </c>
      <c r="H1452" s="77" t="s">
        <v>130</v>
      </c>
      <c r="I1452" s="77" t="s">
        <v>84</v>
      </c>
      <c r="J1452" s="76">
        <f>'SUT_EU27 total'!$Q$96</f>
        <v>2.8885571737041122E-3</v>
      </c>
    </row>
    <row r="1453" spans="1:10" x14ac:dyDescent="0.35">
      <c r="A1453" t="s">
        <v>13</v>
      </c>
      <c r="B1453" t="s">
        <v>38</v>
      </c>
      <c r="C1453" s="77" t="s">
        <v>93</v>
      </c>
      <c r="D1453" t="s">
        <v>81</v>
      </c>
      <c r="E1453" s="77" t="s">
        <v>82</v>
      </c>
      <c r="F1453" s="77" t="s">
        <v>73</v>
      </c>
      <c r="G1453" s="77" t="s">
        <v>74</v>
      </c>
      <c r="H1453" s="77" t="s">
        <v>130</v>
      </c>
      <c r="I1453" s="77" t="s">
        <v>84</v>
      </c>
      <c r="J1453" s="76">
        <f>'SUT_EU27 total'!$Q$113</f>
        <v>1.1972685102906883E-2</v>
      </c>
    </row>
    <row r="1454" spans="1:10" x14ac:dyDescent="0.35">
      <c r="A1454" t="s">
        <v>13</v>
      </c>
      <c r="B1454" t="s">
        <v>38</v>
      </c>
      <c r="C1454" s="77" t="s">
        <v>73</v>
      </c>
      <c r="D1454" s="4" t="s">
        <v>81</v>
      </c>
      <c r="E1454" s="77" t="s">
        <v>96</v>
      </c>
      <c r="F1454" s="77" t="s">
        <v>73</v>
      </c>
      <c r="G1454" s="77" t="s">
        <v>74</v>
      </c>
      <c r="H1454" s="77" t="s">
        <v>130</v>
      </c>
      <c r="I1454" s="77" t="s">
        <v>84</v>
      </c>
      <c r="J1454" s="65" cm="1">
        <f t="array" ref="J1454:J1455">Sensitivity!J84:J85</f>
        <v>0</v>
      </c>
    </row>
    <row r="1455" spans="1:10" x14ac:dyDescent="0.35">
      <c r="A1455" t="s">
        <v>13</v>
      </c>
      <c r="B1455" t="s">
        <v>38</v>
      </c>
      <c r="C1455" s="77" t="s">
        <v>73</v>
      </c>
      <c r="D1455" s="4" t="s">
        <v>81</v>
      </c>
      <c r="E1455" s="77" t="s">
        <v>99</v>
      </c>
      <c r="F1455" s="77" t="s">
        <v>73</v>
      </c>
      <c r="G1455" s="77" t="s">
        <v>74</v>
      </c>
      <c r="H1455" s="77" t="s">
        <v>130</v>
      </c>
      <c r="I1455" s="77" t="s">
        <v>84</v>
      </c>
      <c r="J1455" s="65">
        <v>9.0622182146077552</v>
      </c>
    </row>
    <row r="1456" spans="1:10" x14ac:dyDescent="0.35">
      <c r="A1456" t="s">
        <v>13</v>
      </c>
      <c r="B1456" t="s">
        <v>38</v>
      </c>
      <c r="C1456" s="77" t="s">
        <v>73</v>
      </c>
      <c r="D1456" t="s">
        <v>81</v>
      </c>
      <c r="E1456" s="77" t="s">
        <v>131</v>
      </c>
      <c r="F1456" s="77" t="s">
        <v>73</v>
      </c>
      <c r="G1456" s="77" t="s">
        <v>74</v>
      </c>
      <c r="H1456" s="77" t="s">
        <v>112</v>
      </c>
      <c r="I1456" s="77" t="s">
        <v>84</v>
      </c>
      <c r="J1456" s="76">
        <f>'SUT_EU27 total'!$R$24</f>
        <v>4.0146105919003111E-8</v>
      </c>
    </row>
    <row r="1457" spans="1:10" x14ac:dyDescent="0.35">
      <c r="A1457" t="s">
        <v>13</v>
      </c>
      <c r="B1457" t="s">
        <v>38</v>
      </c>
      <c r="C1457" s="77" t="s">
        <v>73</v>
      </c>
      <c r="D1457" t="s">
        <v>81</v>
      </c>
      <c r="E1457" s="77" t="s">
        <v>122</v>
      </c>
      <c r="F1457" s="77" t="s">
        <v>73</v>
      </c>
      <c r="G1457" s="77" t="s">
        <v>74</v>
      </c>
      <c r="H1457" s="77" t="s">
        <v>112</v>
      </c>
      <c r="I1457" s="77" t="s">
        <v>84</v>
      </c>
      <c r="J1457" s="76">
        <f>'SUT_EU27 total'!$R$30</f>
        <v>3.9708116569218732E-4</v>
      </c>
    </row>
    <row r="1458" spans="1:10" x14ac:dyDescent="0.35">
      <c r="A1458" t="s">
        <v>13</v>
      </c>
      <c r="B1458" t="s">
        <v>38</v>
      </c>
      <c r="C1458" s="77" t="s">
        <v>73</v>
      </c>
      <c r="D1458" t="s">
        <v>81</v>
      </c>
      <c r="E1458" s="77" t="s">
        <v>101</v>
      </c>
      <c r="F1458" s="77" t="s">
        <v>73</v>
      </c>
      <c r="G1458" s="77" t="s">
        <v>74</v>
      </c>
      <c r="H1458" s="77" t="s">
        <v>112</v>
      </c>
      <c r="I1458" s="77" t="s">
        <v>84</v>
      </c>
      <c r="J1458" s="76" cm="1">
        <f t="array" ref="J1458:J1460">'SUT_EU27 total'!$R$32:$R$34</f>
        <v>1.2183459827918709E-7</v>
      </c>
    </row>
    <row r="1459" spans="1:10" x14ac:dyDescent="0.35">
      <c r="A1459" t="s">
        <v>13</v>
      </c>
      <c r="B1459" t="s">
        <v>38</v>
      </c>
      <c r="C1459" s="77" t="s">
        <v>73</v>
      </c>
      <c r="D1459" t="s">
        <v>81</v>
      </c>
      <c r="E1459" s="77" t="s">
        <v>104</v>
      </c>
      <c r="F1459" s="77" t="s">
        <v>73</v>
      </c>
      <c r="G1459" s="77" t="s">
        <v>74</v>
      </c>
      <c r="H1459" s="77" t="s">
        <v>112</v>
      </c>
      <c r="I1459" s="77" t="s">
        <v>84</v>
      </c>
      <c r="J1459" s="76">
        <v>2.3068290654205609E-7</v>
      </c>
    </row>
    <row r="1460" spans="1:10" x14ac:dyDescent="0.35">
      <c r="A1460" t="s">
        <v>13</v>
      </c>
      <c r="B1460" t="s">
        <v>38</v>
      </c>
      <c r="C1460" s="77" t="s">
        <v>73</v>
      </c>
      <c r="D1460" t="s">
        <v>81</v>
      </c>
      <c r="E1460" s="77" t="s">
        <v>106</v>
      </c>
      <c r="F1460" s="77" t="s">
        <v>73</v>
      </c>
      <c r="G1460" s="77" t="s">
        <v>74</v>
      </c>
      <c r="H1460" s="77" t="s">
        <v>112</v>
      </c>
      <c r="I1460" s="77" t="s">
        <v>84</v>
      </c>
      <c r="J1460" s="76">
        <v>7.8463573653760568E-7</v>
      </c>
    </row>
    <row r="1461" spans="1:10" x14ac:dyDescent="0.35">
      <c r="A1461" t="s">
        <v>13</v>
      </c>
      <c r="B1461" t="s">
        <v>38</v>
      </c>
      <c r="C1461" s="77" t="s">
        <v>88</v>
      </c>
      <c r="D1461" t="s">
        <v>81</v>
      </c>
      <c r="E1461" s="77" t="s">
        <v>131</v>
      </c>
      <c r="F1461" s="77" t="s">
        <v>73</v>
      </c>
      <c r="G1461" s="77" t="s">
        <v>74</v>
      </c>
      <c r="H1461" s="77" t="s">
        <v>112</v>
      </c>
      <c r="I1461" s="77" t="s">
        <v>84</v>
      </c>
      <c r="J1461" s="76">
        <f>'SUT_EU27 total'!$R$41</f>
        <v>0</v>
      </c>
    </row>
    <row r="1462" spans="1:10" x14ac:dyDescent="0.35">
      <c r="A1462" t="s">
        <v>13</v>
      </c>
      <c r="B1462" t="s">
        <v>38</v>
      </c>
      <c r="C1462" s="77" t="s">
        <v>88</v>
      </c>
      <c r="D1462" t="s">
        <v>81</v>
      </c>
      <c r="E1462" s="77" t="s">
        <v>122</v>
      </c>
      <c r="F1462" s="77" t="s">
        <v>73</v>
      </c>
      <c r="G1462" s="77" t="s">
        <v>74</v>
      </c>
      <c r="H1462" s="77" t="s">
        <v>112</v>
      </c>
      <c r="I1462" s="77" t="s">
        <v>84</v>
      </c>
      <c r="J1462" s="76">
        <f>'SUT_EU27 total'!$R$47</f>
        <v>0</v>
      </c>
    </row>
    <row r="1463" spans="1:10" x14ac:dyDescent="0.35">
      <c r="A1463" t="s">
        <v>13</v>
      </c>
      <c r="B1463" t="s">
        <v>38</v>
      </c>
      <c r="C1463" s="77" t="s">
        <v>88</v>
      </c>
      <c r="D1463" t="s">
        <v>81</v>
      </c>
      <c r="E1463" s="77" t="s">
        <v>101</v>
      </c>
      <c r="F1463" s="77" t="s">
        <v>73</v>
      </c>
      <c r="G1463" s="77" t="s">
        <v>74</v>
      </c>
      <c r="H1463" s="77" t="s">
        <v>112</v>
      </c>
      <c r="I1463" s="77" t="s">
        <v>84</v>
      </c>
      <c r="J1463" s="76" cm="1">
        <f t="array" ref="J1463:J1465">'SUT_EU27 total'!$R$49:$R$51</f>
        <v>0</v>
      </c>
    </row>
    <row r="1464" spans="1:10" x14ac:dyDescent="0.35">
      <c r="A1464" t="s">
        <v>13</v>
      </c>
      <c r="B1464" t="s">
        <v>38</v>
      </c>
      <c r="C1464" s="77" t="s">
        <v>88</v>
      </c>
      <c r="D1464" t="s">
        <v>81</v>
      </c>
      <c r="E1464" s="77" t="s">
        <v>104</v>
      </c>
      <c r="F1464" s="77" t="s">
        <v>73</v>
      </c>
      <c r="G1464" s="77" t="s">
        <v>74</v>
      </c>
      <c r="H1464" s="77" t="s">
        <v>112</v>
      </c>
      <c r="I1464" s="77" t="s">
        <v>84</v>
      </c>
      <c r="J1464" s="76">
        <v>0</v>
      </c>
    </row>
    <row r="1465" spans="1:10" x14ac:dyDescent="0.35">
      <c r="A1465" t="s">
        <v>13</v>
      </c>
      <c r="B1465" t="s">
        <v>38</v>
      </c>
      <c r="C1465" s="77" t="s">
        <v>88</v>
      </c>
      <c r="D1465" t="s">
        <v>81</v>
      </c>
      <c r="E1465" s="77" t="s">
        <v>106</v>
      </c>
      <c r="F1465" s="77" t="s">
        <v>73</v>
      </c>
      <c r="G1465" s="77" t="s">
        <v>74</v>
      </c>
      <c r="H1465" s="77" t="s">
        <v>112</v>
      </c>
      <c r="I1465" s="77" t="s">
        <v>84</v>
      </c>
      <c r="J1465" s="76">
        <v>0</v>
      </c>
    </row>
    <row r="1466" spans="1:10" x14ac:dyDescent="0.35">
      <c r="A1466" t="s">
        <v>13</v>
      </c>
      <c r="B1466" t="s">
        <v>38</v>
      </c>
      <c r="C1466" s="77" t="s">
        <v>90</v>
      </c>
      <c r="D1466" t="s">
        <v>81</v>
      </c>
      <c r="E1466" s="77" t="s">
        <v>131</v>
      </c>
      <c r="F1466" s="77" t="s">
        <v>73</v>
      </c>
      <c r="G1466" s="77" t="s">
        <v>74</v>
      </c>
      <c r="H1466" s="77" t="s">
        <v>112</v>
      </c>
      <c r="I1466" s="77" t="s">
        <v>84</v>
      </c>
      <c r="J1466" s="76">
        <f>'SUT_EU27 total'!$R$58</f>
        <v>0</v>
      </c>
    </row>
    <row r="1467" spans="1:10" x14ac:dyDescent="0.35">
      <c r="A1467" t="s">
        <v>13</v>
      </c>
      <c r="B1467" t="s">
        <v>38</v>
      </c>
      <c r="C1467" s="77" t="s">
        <v>90</v>
      </c>
      <c r="D1467" t="s">
        <v>81</v>
      </c>
      <c r="E1467" s="77" t="s">
        <v>122</v>
      </c>
      <c r="F1467" s="77" t="s">
        <v>73</v>
      </c>
      <c r="G1467" s="77" t="s">
        <v>74</v>
      </c>
      <c r="H1467" s="77" t="s">
        <v>112</v>
      </c>
      <c r="I1467" s="77" t="s">
        <v>84</v>
      </c>
      <c r="J1467" s="76">
        <f>'SUT_EU27 total'!$R$64</f>
        <v>6.4108466461028498E-4</v>
      </c>
    </row>
    <row r="1468" spans="1:10" x14ac:dyDescent="0.35">
      <c r="A1468" t="s">
        <v>13</v>
      </c>
      <c r="B1468" t="s">
        <v>38</v>
      </c>
      <c r="C1468" s="77" t="s">
        <v>90</v>
      </c>
      <c r="D1468" t="s">
        <v>81</v>
      </c>
      <c r="E1468" s="77" t="s">
        <v>101</v>
      </c>
      <c r="F1468" s="77" t="s">
        <v>73</v>
      </c>
      <c r="G1468" s="77" t="s">
        <v>74</v>
      </c>
      <c r="H1468" s="77" t="s">
        <v>112</v>
      </c>
      <c r="I1468" s="77" t="s">
        <v>84</v>
      </c>
      <c r="J1468" s="76" cm="1">
        <f t="array" ref="J1468:J1470">'SUT_EU27 total'!$R$66:$R$68</f>
        <v>0</v>
      </c>
    </row>
    <row r="1469" spans="1:10" x14ac:dyDescent="0.35">
      <c r="A1469" t="s">
        <v>13</v>
      </c>
      <c r="B1469" t="s">
        <v>38</v>
      </c>
      <c r="C1469" s="77" t="s">
        <v>90</v>
      </c>
      <c r="D1469" t="s">
        <v>81</v>
      </c>
      <c r="E1469" s="77" t="s">
        <v>104</v>
      </c>
      <c r="F1469" s="77" t="s">
        <v>73</v>
      </c>
      <c r="G1469" s="77" t="s">
        <v>74</v>
      </c>
      <c r="H1469" s="77" t="s">
        <v>112</v>
      </c>
      <c r="I1469" s="77" t="s">
        <v>84</v>
      </c>
      <c r="J1469" s="76">
        <v>0</v>
      </c>
    </row>
    <row r="1470" spans="1:10" x14ac:dyDescent="0.35">
      <c r="A1470" t="s">
        <v>13</v>
      </c>
      <c r="B1470" t="s">
        <v>38</v>
      </c>
      <c r="C1470" s="77" t="s">
        <v>90</v>
      </c>
      <c r="D1470" t="s">
        <v>81</v>
      </c>
      <c r="E1470" s="77" t="s">
        <v>106</v>
      </c>
      <c r="F1470" s="77" t="s">
        <v>73</v>
      </c>
      <c r="G1470" s="77" t="s">
        <v>74</v>
      </c>
      <c r="H1470" s="77" t="s">
        <v>112</v>
      </c>
      <c r="I1470" s="77" t="s">
        <v>84</v>
      </c>
      <c r="J1470" s="76">
        <v>0</v>
      </c>
    </row>
    <row r="1471" spans="1:10" x14ac:dyDescent="0.35">
      <c r="A1471" t="s">
        <v>13</v>
      </c>
      <c r="B1471" t="s">
        <v>38</v>
      </c>
      <c r="C1471" s="77" t="s">
        <v>91</v>
      </c>
      <c r="D1471" t="s">
        <v>81</v>
      </c>
      <c r="E1471" s="77" t="s">
        <v>131</v>
      </c>
      <c r="F1471" s="77" t="s">
        <v>73</v>
      </c>
      <c r="G1471" s="77" t="s">
        <v>74</v>
      </c>
      <c r="H1471" s="77" t="s">
        <v>112</v>
      </c>
      <c r="I1471" s="77" t="s">
        <v>84</v>
      </c>
      <c r="J1471" s="76">
        <f>'SUT_EU27 total'!$R$75</f>
        <v>0</v>
      </c>
    </row>
    <row r="1472" spans="1:10" x14ac:dyDescent="0.35">
      <c r="A1472" t="s">
        <v>13</v>
      </c>
      <c r="B1472" t="s">
        <v>38</v>
      </c>
      <c r="C1472" s="77" t="s">
        <v>91</v>
      </c>
      <c r="D1472" t="s">
        <v>81</v>
      </c>
      <c r="E1472" s="77" t="s">
        <v>122</v>
      </c>
      <c r="F1472" s="77" t="s">
        <v>73</v>
      </c>
      <c r="G1472" s="77" t="s">
        <v>74</v>
      </c>
      <c r="H1472" s="77" t="s">
        <v>112</v>
      </c>
      <c r="I1472" s="77" t="s">
        <v>84</v>
      </c>
      <c r="J1472" s="76">
        <f>'SUT_EU27 total'!$R$81</f>
        <v>0</v>
      </c>
    </row>
    <row r="1473" spans="1:10" x14ac:dyDescent="0.35">
      <c r="A1473" t="s">
        <v>13</v>
      </c>
      <c r="B1473" t="s">
        <v>38</v>
      </c>
      <c r="C1473" s="77" t="s">
        <v>91</v>
      </c>
      <c r="D1473" t="s">
        <v>81</v>
      </c>
      <c r="E1473" s="77" t="s">
        <v>101</v>
      </c>
      <c r="F1473" s="77" t="s">
        <v>73</v>
      </c>
      <c r="G1473" s="77" t="s">
        <v>74</v>
      </c>
      <c r="H1473" s="77" t="s">
        <v>112</v>
      </c>
      <c r="I1473" s="77" t="s">
        <v>84</v>
      </c>
      <c r="J1473" s="76" cm="1">
        <f t="array" ref="J1473:J1475">'SUT_EU27 total'!$R$83:$R$85</f>
        <v>0</v>
      </c>
    </row>
    <row r="1474" spans="1:10" x14ac:dyDescent="0.35">
      <c r="A1474" t="s">
        <v>13</v>
      </c>
      <c r="B1474" t="s">
        <v>38</v>
      </c>
      <c r="C1474" s="77" t="s">
        <v>91</v>
      </c>
      <c r="D1474" t="s">
        <v>81</v>
      </c>
      <c r="E1474" s="77" t="s">
        <v>104</v>
      </c>
      <c r="F1474" s="77" t="s">
        <v>73</v>
      </c>
      <c r="G1474" s="77" t="s">
        <v>74</v>
      </c>
      <c r="H1474" s="77" t="s">
        <v>112</v>
      </c>
      <c r="I1474" s="77" t="s">
        <v>84</v>
      </c>
      <c r="J1474" s="76">
        <v>0</v>
      </c>
    </row>
    <row r="1475" spans="1:10" x14ac:dyDescent="0.35">
      <c r="A1475" t="s">
        <v>13</v>
      </c>
      <c r="B1475" t="s">
        <v>38</v>
      </c>
      <c r="C1475" s="77" t="s">
        <v>91</v>
      </c>
      <c r="D1475" t="s">
        <v>81</v>
      </c>
      <c r="E1475" s="77" t="s">
        <v>106</v>
      </c>
      <c r="F1475" s="77" t="s">
        <v>73</v>
      </c>
      <c r="G1475" s="77" t="s">
        <v>74</v>
      </c>
      <c r="H1475" s="77" t="s">
        <v>112</v>
      </c>
      <c r="I1475" s="77" t="s">
        <v>84</v>
      </c>
      <c r="J1475" s="76">
        <v>0</v>
      </c>
    </row>
    <row r="1476" spans="1:10" x14ac:dyDescent="0.35">
      <c r="A1476" t="s">
        <v>13</v>
      </c>
      <c r="B1476" t="s">
        <v>38</v>
      </c>
      <c r="C1476" s="77" t="s">
        <v>92</v>
      </c>
      <c r="D1476" t="s">
        <v>81</v>
      </c>
      <c r="E1476" s="77" t="s">
        <v>131</v>
      </c>
      <c r="F1476" s="77" t="s">
        <v>73</v>
      </c>
      <c r="G1476" s="77" t="s">
        <v>74</v>
      </c>
      <c r="H1476" s="77" t="s">
        <v>112</v>
      </c>
      <c r="I1476" s="77" t="s">
        <v>84</v>
      </c>
      <c r="J1476" s="76">
        <f>'SUT_EU27 total'!$R$92</f>
        <v>0</v>
      </c>
    </row>
    <row r="1477" spans="1:10" x14ac:dyDescent="0.35">
      <c r="A1477" t="s">
        <v>13</v>
      </c>
      <c r="B1477" t="s">
        <v>38</v>
      </c>
      <c r="C1477" s="77" t="s">
        <v>92</v>
      </c>
      <c r="D1477" t="s">
        <v>81</v>
      </c>
      <c r="E1477" s="77" t="s">
        <v>122</v>
      </c>
      <c r="F1477" s="77" t="s">
        <v>73</v>
      </c>
      <c r="G1477" s="77" t="s">
        <v>74</v>
      </c>
      <c r="H1477" s="77" t="s">
        <v>112</v>
      </c>
      <c r="I1477" s="77" t="s">
        <v>84</v>
      </c>
      <c r="J1477" s="76">
        <f>'SUT_EU27 total'!$R$98</f>
        <v>0</v>
      </c>
    </row>
    <row r="1478" spans="1:10" x14ac:dyDescent="0.35">
      <c r="A1478" t="s">
        <v>13</v>
      </c>
      <c r="B1478" t="s">
        <v>38</v>
      </c>
      <c r="C1478" s="77" t="s">
        <v>92</v>
      </c>
      <c r="D1478" t="s">
        <v>81</v>
      </c>
      <c r="E1478" s="77" t="s">
        <v>101</v>
      </c>
      <c r="F1478" s="77" t="s">
        <v>73</v>
      </c>
      <c r="G1478" s="77" t="s">
        <v>74</v>
      </c>
      <c r="H1478" s="77" t="s">
        <v>112</v>
      </c>
      <c r="I1478" s="77" t="s">
        <v>84</v>
      </c>
      <c r="J1478" s="76" cm="1">
        <f t="array" ref="J1478:J1480">'SUT_EU27 total'!$R$100:$R$102</f>
        <v>0</v>
      </c>
    </row>
    <row r="1479" spans="1:10" x14ac:dyDescent="0.35">
      <c r="A1479" t="s">
        <v>13</v>
      </c>
      <c r="B1479" t="s">
        <v>38</v>
      </c>
      <c r="C1479" s="77" t="s">
        <v>92</v>
      </c>
      <c r="D1479" t="s">
        <v>81</v>
      </c>
      <c r="E1479" s="77" t="s">
        <v>104</v>
      </c>
      <c r="F1479" s="77" t="s">
        <v>73</v>
      </c>
      <c r="G1479" s="77" t="s">
        <v>74</v>
      </c>
      <c r="H1479" s="77" t="s">
        <v>112</v>
      </c>
      <c r="I1479" s="77" t="s">
        <v>84</v>
      </c>
      <c r="J1479" s="76">
        <v>0</v>
      </c>
    </row>
    <row r="1480" spans="1:10" x14ac:dyDescent="0.35">
      <c r="A1480" t="s">
        <v>13</v>
      </c>
      <c r="B1480" t="s">
        <v>38</v>
      </c>
      <c r="C1480" s="77" t="s">
        <v>92</v>
      </c>
      <c r="D1480" t="s">
        <v>81</v>
      </c>
      <c r="E1480" s="77" t="s">
        <v>106</v>
      </c>
      <c r="F1480" s="77" t="s">
        <v>73</v>
      </c>
      <c r="G1480" s="77" t="s">
        <v>74</v>
      </c>
      <c r="H1480" s="77" t="s">
        <v>112</v>
      </c>
      <c r="I1480" s="77" t="s">
        <v>84</v>
      </c>
      <c r="J1480" s="76">
        <v>0</v>
      </c>
    </row>
    <row r="1481" spans="1:10" x14ac:dyDescent="0.35">
      <c r="A1481" t="s">
        <v>13</v>
      </c>
      <c r="B1481" t="s">
        <v>38</v>
      </c>
      <c r="C1481" s="77" t="s">
        <v>93</v>
      </c>
      <c r="D1481" t="s">
        <v>81</v>
      </c>
      <c r="E1481" s="77" t="s">
        <v>131</v>
      </c>
      <c r="F1481" s="77" t="s">
        <v>73</v>
      </c>
      <c r="G1481" s="77" t="s">
        <v>74</v>
      </c>
      <c r="H1481" s="77" t="s">
        <v>112</v>
      </c>
      <c r="I1481" s="77" t="s">
        <v>84</v>
      </c>
      <c r="J1481" s="76">
        <f>'SUT_EU27 total'!$R$109</f>
        <v>0</v>
      </c>
    </row>
    <row r="1482" spans="1:10" x14ac:dyDescent="0.35">
      <c r="A1482" t="s">
        <v>13</v>
      </c>
      <c r="B1482" t="s">
        <v>38</v>
      </c>
      <c r="C1482" s="77" t="s">
        <v>93</v>
      </c>
      <c r="D1482" t="s">
        <v>81</v>
      </c>
      <c r="E1482" s="77" t="s">
        <v>122</v>
      </c>
      <c r="F1482" s="77" t="s">
        <v>73</v>
      </c>
      <c r="G1482" s="77" t="s">
        <v>74</v>
      </c>
      <c r="H1482" s="77" t="s">
        <v>112</v>
      </c>
      <c r="I1482" s="77" t="s">
        <v>84</v>
      </c>
      <c r="J1482" s="76">
        <f>'SUT_EU27 total'!$R$115</f>
        <v>2.188358424259166E-3</v>
      </c>
    </row>
    <row r="1483" spans="1:10" x14ac:dyDescent="0.35">
      <c r="A1483" t="s">
        <v>13</v>
      </c>
      <c r="B1483" t="s">
        <v>38</v>
      </c>
      <c r="C1483" s="77" t="s">
        <v>93</v>
      </c>
      <c r="D1483" t="s">
        <v>81</v>
      </c>
      <c r="E1483" s="77" t="s">
        <v>101</v>
      </c>
      <c r="F1483" s="77" t="s">
        <v>73</v>
      </c>
      <c r="G1483" s="77" t="s">
        <v>74</v>
      </c>
      <c r="H1483" s="77" t="s">
        <v>112</v>
      </c>
      <c r="I1483" s="77" t="s">
        <v>84</v>
      </c>
      <c r="J1483" s="76" cm="1">
        <f t="array" ref="J1483:J1485">'SUT_EU27 total'!$R$117:$R$119</f>
        <v>0</v>
      </c>
    </row>
    <row r="1484" spans="1:10" x14ac:dyDescent="0.35">
      <c r="A1484" t="s">
        <v>13</v>
      </c>
      <c r="B1484" t="s">
        <v>38</v>
      </c>
      <c r="C1484" s="77" t="s">
        <v>93</v>
      </c>
      <c r="D1484" t="s">
        <v>81</v>
      </c>
      <c r="E1484" s="77" t="s">
        <v>104</v>
      </c>
      <c r="F1484" s="77" t="s">
        <v>73</v>
      </c>
      <c r="G1484" s="77" t="s">
        <v>74</v>
      </c>
      <c r="H1484" s="77" t="s">
        <v>112</v>
      </c>
      <c r="I1484" s="77" t="s">
        <v>84</v>
      </c>
      <c r="J1484" s="76">
        <v>0</v>
      </c>
    </row>
    <row r="1485" spans="1:10" x14ac:dyDescent="0.35">
      <c r="A1485" t="s">
        <v>13</v>
      </c>
      <c r="B1485" t="s">
        <v>38</v>
      </c>
      <c r="C1485" s="77" t="s">
        <v>93</v>
      </c>
      <c r="D1485" t="s">
        <v>81</v>
      </c>
      <c r="E1485" s="77" t="s">
        <v>106</v>
      </c>
      <c r="F1485" s="77" t="s">
        <v>73</v>
      </c>
      <c r="G1485" s="77" t="s">
        <v>74</v>
      </c>
      <c r="H1485" s="77" t="s">
        <v>112</v>
      </c>
      <c r="I1485" s="77" t="s">
        <v>84</v>
      </c>
      <c r="J1485" s="76">
        <v>0</v>
      </c>
    </row>
    <row r="1486" spans="1:10" x14ac:dyDescent="0.35">
      <c r="A1486" t="s">
        <v>13</v>
      </c>
      <c r="B1486" t="s">
        <v>38</v>
      </c>
      <c r="C1486" s="77" t="s">
        <v>73</v>
      </c>
      <c r="D1486" t="s">
        <v>81</v>
      </c>
      <c r="E1486" s="77" t="s">
        <v>131</v>
      </c>
      <c r="F1486" s="77" t="s">
        <v>73</v>
      </c>
      <c r="G1486" s="77" t="s">
        <v>74</v>
      </c>
      <c r="H1486" s="77" t="s">
        <v>113</v>
      </c>
      <c r="I1486" s="77" t="s">
        <v>84</v>
      </c>
      <c r="J1486" s="76">
        <f>'SUT_EU27 total'!$S$24</f>
        <v>5.0294789999999994E-8</v>
      </c>
    </row>
    <row r="1487" spans="1:10" x14ac:dyDescent="0.35">
      <c r="A1487" t="s">
        <v>13</v>
      </c>
      <c r="B1487" t="s">
        <v>38</v>
      </c>
      <c r="C1487" s="77" t="s">
        <v>73</v>
      </c>
      <c r="D1487" t="s">
        <v>81</v>
      </c>
      <c r="E1487" s="77" t="s">
        <v>101</v>
      </c>
      <c r="F1487" s="77" t="s">
        <v>73</v>
      </c>
      <c r="G1487" s="77" t="s">
        <v>74</v>
      </c>
      <c r="H1487" s="77" t="s">
        <v>113</v>
      </c>
      <c r="I1487" s="77" t="s">
        <v>84</v>
      </c>
      <c r="J1487" s="76" cm="1">
        <f t="array" ref="J1487:J1489">'SUT_EU27 total'!$S$32:$S$34</f>
        <v>1.7883556705882356E-5</v>
      </c>
    </row>
    <row r="1488" spans="1:10" x14ac:dyDescent="0.35">
      <c r="A1488" t="s">
        <v>13</v>
      </c>
      <c r="B1488" t="s">
        <v>38</v>
      </c>
      <c r="C1488" s="77" t="s">
        <v>73</v>
      </c>
      <c r="D1488" t="s">
        <v>81</v>
      </c>
      <c r="E1488" s="77" t="s">
        <v>104</v>
      </c>
      <c r="F1488" s="77" t="s">
        <v>73</v>
      </c>
      <c r="G1488" s="77" t="s">
        <v>74</v>
      </c>
      <c r="H1488" s="77" t="s">
        <v>113</v>
      </c>
      <c r="I1488" s="77" t="s">
        <v>84</v>
      </c>
      <c r="J1488" s="76">
        <v>3.3860913882352942E-5</v>
      </c>
    </row>
    <row r="1489" spans="1:10" x14ac:dyDescent="0.35">
      <c r="A1489" t="s">
        <v>13</v>
      </c>
      <c r="B1489" t="s">
        <v>38</v>
      </c>
      <c r="C1489" s="77" t="s">
        <v>73</v>
      </c>
      <c r="D1489" t="s">
        <v>81</v>
      </c>
      <c r="E1489" s="77" t="s">
        <v>106</v>
      </c>
      <c r="F1489" s="77" t="s">
        <v>73</v>
      </c>
      <c r="G1489" s="77" t="s">
        <v>74</v>
      </c>
      <c r="H1489" s="77" t="s">
        <v>113</v>
      </c>
      <c r="I1489" s="77" t="s">
        <v>84</v>
      </c>
      <c r="J1489" s="76">
        <v>1.1517317647058823E-4</v>
      </c>
    </row>
    <row r="1490" spans="1:10" x14ac:dyDescent="0.35">
      <c r="A1490" t="s">
        <v>13</v>
      </c>
      <c r="B1490" t="s">
        <v>38</v>
      </c>
      <c r="C1490" s="77" t="s">
        <v>88</v>
      </c>
      <c r="D1490" t="s">
        <v>81</v>
      </c>
      <c r="E1490" s="77" t="s">
        <v>131</v>
      </c>
      <c r="F1490" s="77" t="s">
        <v>73</v>
      </c>
      <c r="G1490" s="77" t="s">
        <v>74</v>
      </c>
      <c r="H1490" s="77" t="s">
        <v>113</v>
      </c>
      <c r="I1490" s="77" t="s">
        <v>84</v>
      </c>
      <c r="J1490" s="76">
        <f>'SUT_EU27 total'!$S$41</f>
        <v>0</v>
      </c>
    </row>
    <row r="1491" spans="1:10" x14ac:dyDescent="0.35">
      <c r="A1491" t="s">
        <v>13</v>
      </c>
      <c r="B1491" t="s">
        <v>38</v>
      </c>
      <c r="C1491" s="77" t="s">
        <v>88</v>
      </c>
      <c r="D1491" t="s">
        <v>81</v>
      </c>
      <c r="E1491" s="77" t="s">
        <v>101</v>
      </c>
      <c r="F1491" s="77" t="s">
        <v>73</v>
      </c>
      <c r="G1491" s="77" t="s">
        <v>74</v>
      </c>
      <c r="H1491" s="77" t="s">
        <v>113</v>
      </c>
      <c r="I1491" s="77" t="s">
        <v>84</v>
      </c>
      <c r="J1491" s="76" cm="1">
        <f t="array" ref="J1491:J1493">'SUT_EU27 total'!$S$49:$S$51</f>
        <v>0</v>
      </c>
    </row>
    <row r="1492" spans="1:10" x14ac:dyDescent="0.35">
      <c r="A1492" t="s">
        <v>13</v>
      </c>
      <c r="B1492" t="s">
        <v>38</v>
      </c>
      <c r="C1492" s="77" t="s">
        <v>88</v>
      </c>
      <c r="D1492" t="s">
        <v>81</v>
      </c>
      <c r="E1492" s="77" t="s">
        <v>104</v>
      </c>
      <c r="F1492" s="77" t="s">
        <v>73</v>
      </c>
      <c r="G1492" s="77" t="s">
        <v>74</v>
      </c>
      <c r="H1492" s="77" t="s">
        <v>113</v>
      </c>
      <c r="I1492" s="77" t="s">
        <v>84</v>
      </c>
      <c r="J1492" s="76">
        <v>0</v>
      </c>
    </row>
    <row r="1493" spans="1:10" x14ac:dyDescent="0.35">
      <c r="A1493" t="s">
        <v>13</v>
      </c>
      <c r="B1493" t="s">
        <v>38</v>
      </c>
      <c r="C1493" s="77" t="s">
        <v>88</v>
      </c>
      <c r="D1493" t="s">
        <v>81</v>
      </c>
      <c r="E1493" s="77" t="s">
        <v>106</v>
      </c>
      <c r="F1493" s="77" t="s">
        <v>73</v>
      </c>
      <c r="G1493" s="77" t="s">
        <v>74</v>
      </c>
      <c r="H1493" s="77" t="s">
        <v>113</v>
      </c>
      <c r="I1493" s="77" t="s">
        <v>84</v>
      </c>
      <c r="J1493" s="76">
        <v>0</v>
      </c>
    </row>
    <row r="1494" spans="1:10" x14ac:dyDescent="0.35">
      <c r="A1494" t="s">
        <v>13</v>
      </c>
      <c r="B1494" t="s">
        <v>38</v>
      </c>
      <c r="C1494" s="77" t="s">
        <v>90</v>
      </c>
      <c r="D1494" t="s">
        <v>81</v>
      </c>
      <c r="E1494" s="77" t="s">
        <v>131</v>
      </c>
      <c r="F1494" s="77" t="s">
        <v>73</v>
      </c>
      <c r="G1494" s="77" t="s">
        <v>74</v>
      </c>
      <c r="H1494" s="77" t="s">
        <v>113</v>
      </c>
      <c r="I1494" s="77" t="s">
        <v>84</v>
      </c>
      <c r="J1494" s="76">
        <f>'SUT_EU27 total'!$S$58</f>
        <v>0</v>
      </c>
    </row>
    <row r="1495" spans="1:10" x14ac:dyDescent="0.35">
      <c r="A1495" t="s">
        <v>13</v>
      </c>
      <c r="B1495" t="s">
        <v>38</v>
      </c>
      <c r="C1495" s="77" t="s">
        <v>90</v>
      </c>
      <c r="D1495" t="s">
        <v>81</v>
      </c>
      <c r="E1495" s="77" t="s">
        <v>101</v>
      </c>
      <c r="F1495" s="77" t="s">
        <v>73</v>
      </c>
      <c r="G1495" s="77" t="s">
        <v>74</v>
      </c>
      <c r="H1495" s="77" t="s">
        <v>113</v>
      </c>
      <c r="I1495" s="77" t="s">
        <v>84</v>
      </c>
      <c r="J1495" s="76" cm="1">
        <f t="array" ref="J1495:J1497">'SUT_EU27 total'!$S$66:$S$68</f>
        <v>0</v>
      </c>
    </row>
    <row r="1496" spans="1:10" x14ac:dyDescent="0.35">
      <c r="A1496" t="s">
        <v>13</v>
      </c>
      <c r="B1496" t="s">
        <v>38</v>
      </c>
      <c r="C1496" s="77" t="s">
        <v>90</v>
      </c>
      <c r="D1496" t="s">
        <v>81</v>
      </c>
      <c r="E1496" s="77" t="s">
        <v>104</v>
      </c>
      <c r="F1496" s="77" t="s">
        <v>73</v>
      </c>
      <c r="G1496" s="77" t="s">
        <v>74</v>
      </c>
      <c r="H1496" s="77" t="s">
        <v>113</v>
      </c>
      <c r="I1496" s="77" t="s">
        <v>84</v>
      </c>
      <c r="J1496" s="76">
        <v>0</v>
      </c>
    </row>
    <row r="1497" spans="1:10" x14ac:dyDescent="0.35">
      <c r="A1497" t="s">
        <v>13</v>
      </c>
      <c r="B1497" t="s">
        <v>38</v>
      </c>
      <c r="C1497" s="77" t="s">
        <v>90</v>
      </c>
      <c r="D1497" t="s">
        <v>81</v>
      </c>
      <c r="E1497" s="77" t="s">
        <v>106</v>
      </c>
      <c r="F1497" s="77" t="s">
        <v>73</v>
      </c>
      <c r="G1497" s="77" t="s">
        <v>74</v>
      </c>
      <c r="H1497" s="77" t="s">
        <v>113</v>
      </c>
      <c r="I1497" s="77" t="s">
        <v>84</v>
      </c>
      <c r="J1497" s="76">
        <v>0</v>
      </c>
    </row>
    <row r="1498" spans="1:10" x14ac:dyDescent="0.35">
      <c r="A1498" t="s">
        <v>13</v>
      </c>
      <c r="B1498" t="s">
        <v>38</v>
      </c>
      <c r="C1498" s="77" t="s">
        <v>91</v>
      </c>
      <c r="D1498" t="s">
        <v>81</v>
      </c>
      <c r="E1498" s="77" t="s">
        <v>131</v>
      </c>
      <c r="F1498" s="77" t="s">
        <v>73</v>
      </c>
      <c r="G1498" s="77" t="s">
        <v>74</v>
      </c>
      <c r="H1498" s="77" t="s">
        <v>113</v>
      </c>
      <c r="I1498" s="77" t="s">
        <v>84</v>
      </c>
      <c r="J1498" s="76">
        <f>'SUT_EU27 total'!$S$75</f>
        <v>0</v>
      </c>
    </row>
    <row r="1499" spans="1:10" x14ac:dyDescent="0.35">
      <c r="A1499" t="s">
        <v>13</v>
      </c>
      <c r="B1499" t="s">
        <v>38</v>
      </c>
      <c r="C1499" s="77" t="s">
        <v>91</v>
      </c>
      <c r="D1499" t="s">
        <v>81</v>
      </c>
      <c r="E1499" s="77" t="s">
        <v>101</v>
      </c>
      <c r="F1499" s="77" t="s">
        <v>73</v>
      </c>
      <c r="G1499" s="77" t="s">
        <v>74</v>
      </c>
      <c r="H1499" s="77" t="s">
        <v>113</v>
      </c>
      <c r="I1499" s="77" t="s">
        <v>84</v>
      </c>
      <c r="J1499" s="76" cm="1">
        <f t="array" ref="J1499:J1501">'SUT_EU27 total'!$S$83:$S$85</f>
        <v>0</v>
      </c>
    </row>
    <row r="1500" spans="1:10" x14ac:dyDescent="0.35">
      <c r="A1500" t="s">
        <v>13</v>
      </c>
      <c r="B1500" t="s">
        <v>38</v>
      </c>
      <c r="C1500" s="77" t="s">
        <v>91</v>
      </c>
      <c r="D1500" t="s">
        <v>81</v>
      </c>
      <c r="E1500" s="77" t="s">
        <v>104</v>
      </c>
      <c r="F1500" s="77" t="s">
        <v>73</v>
      </c>
      <c r="G1500" s="77" t="s">
        <v>74</v>
      </c>
      <c r="H1500" s="77" t="s">
        <v>113</v>
      </c>
      <c r="I1500" s="77" t="s">
        <v>84</v>
      </c>
      <c r="J1500" s="76">
        <v>0</v>
      </c>
    </row>
    <row r="1501" spans="1:10" x14ac:dyDescent="0.35">
      <c r="A1501" t="s">
        <v>13</v>
      </c>
      <c r="B1501" t="s">
        <v>38</v>
      </c>
      <c r="C1501" s="77" t="s">
        <v>91</v>
      </c>
      <c r="D1501" t="s">
        <v>81</v>
      </c>
      <c r="E1501" s="77" t="s">
        <v>106</v>
      </c>
      <c r="F1501" s="77" t="s">
        <v>73</v>
      </c>
      <c r="G1501" s="77" t="s">
        <v>74</v>
      </c>
      <c r="H1501" s="77" t="s">
        <v>113</v>
      </c>
      <c r="I1501" s="77" t="s">
        <v>84</v>
      </c>
      <c r="J1501" s="76">
        <v>0</v>
      </c>
    </row>
    <row r="1502" spans="1:10" x14ac:dyDescent="0.35">
      <c r="A1502" t="s">
        <v>13</v>
      </c>
      <c r="B1502" t="s">
        <v>38</v>
      </c>
      <c r="C1502" s="77" t="s">
        <v>92</v>
      </c>
      <c r="D1502" t="s">
        <v>81</v>
      </c>
      <c r="E1502" s="77" t="s">
        <v>131</v>
      </c>
      <c r="F1502" s="77" t="s">
        <v>73</v>
      </c>
      <c r="G1502" s="77" t="s">
        <v>74</v>
      </c>
      <c r="H1502" s="77" t="s">
        <v>113</v>
      </c>
      <c r="I1502" s="77" t="s">
        <v>84</v>
      </c>
      <c r="J1502" s="76">
        <f>'SUT_EU27 total'!$S$92</f>
        <v>0</v>
      </c>
    </row>
    <row r="1503" spans="1:10" x14ac:dyDescent="0.35">
      <c r="A1503" t="s">
        <v>13</v>
      </c>
      <c r="B1503" t="s">
        <v>38</v>
      </c>
      <c r="C1503" s="77" t="s">
        <v>92</v>
      </c>
      <c r="D1503" t="s">
        <v>81</v>
      </c>
      <c r="E1503" s="77" t="s">
        <v>101</v>
      </c>
      <c r="F1503" s="77" t="s">
        <v>73</v>
      </c>
      <c r="G1503" s="77" t="s">
        <v>74</v>
      </c>
      <c r="H1503" s="77" t="s">
        <v>113</v>
      </c>
      <c r="I1503" s="77" t="s">
        <v>84</v>
      </c>
      <c r="J1503" s="76" cm="1">
        <f t="array" ref="J1503:J1505">'SUT_EU27 total'!$S$100:$S$102</f>
        <v>0</v>
      </c>
    </row>
    <row r="1504" spans="1:10" x14ac:dyDescent="0.35">
      <c r="A1504" t="s">
        <v>13</v>
      </c>
      <c r="B1504" t="s">
        <v>38</v>
      </c>
      <c r="C1504" s="77" t="s">
        <v>92</v>
      </c>
      <c r="D1504" t="s">
        <v>81</v>
      </c>
      <c r="E1504" s="77" t="s">
        <v>104</v>
      </c>
      <c r="F1504" s="77" t="s">
        <v>73</v>
      </c>
      <c r="G1504" s="77" t="s">
        <v>74</v>
      </c>
      <c r="H1504" s="77" t="s">
        <v>113</v>
      </c>
      <c r="I1504" s="77" t="s">
        <v>84</v>
      </c>
      <c r="J1504" s="76">
        <v>0</v>
      </c>
    </row>
    <row r="1505" spans="1:10" x14ac:dyDescent="0.35">
      <c r="A1505" t="s">
        <v>13</v>
      </c>
      <c r="B1505" t="s">
        <v>38</v>
      </c>
      <c r="C1505" s="77" t="s">
        <v>92</v>
      </c>
      <c r="D1505" t="s">
        <v>81</v>
      </c>
      <c r="E1505" s="77" t="s">
        <v>106</v>
      </c>
      <c r="F1505" s="77" t="s">
        <v>73</v>
      </c>
      <c r="G1505" s="77" t="s">
        <v>74</v>
      </c>
      <c r="H1505" s="77" t="s">
        <v>113</v>
      </c>
      <c r="I1505" s="77" t="s">
        <v>84</v>
      </c>
      <c r="J1505" s="76">
        <v>0</v>
      </c>
    </row>
    <row r="1506" spans="1:10" x14ac:dyDescent="0.35">
      <c r="A1506" t="s">
        <v>13</v>
      </c>
      <c r="B1506" t="s">
        <v>38</v>
      </c>
      <c r="C1506" s="77" t="s">
        <v>93</v>
      </c>
      <c r="D1506" t="s">
        <v>81</v>
      </c>
      <c r="E1506" s="77" t="s">
        <v>131</v>
      </c>
      <c r="F1506" s="77" t="s">
        <v>73</v>
      </c>
      <c r="G1506" s="77" t="s">
        <v>74</v>
      </c>
      <c r="H1506" s="77" t="s">
        <v>113</v>
      </c>
      <c r="I1506" s="77" t="s">
        <v>84</v>
      </c>
      <c r="J1506" s="76">
        <f>'SUT_EU27 total'!$S$109</f>
        <v>0</v>
      </c>
    </row>
    <row r="1507" spans="1:10" x14ac:dyDescent="0.35">
      <c r="A1507" t="s">
        <v>13</v>
      </c>
      <c r="B1507" t="s">
        <v>38</v>
      </c>
      <c r="C1507" s="77" t="s">
        <v>93</v>
      </c>
      <c r="D1507" t="s">
        <v>81</v>
      </c>
      <c r="E1507" s="77" t="s">
        <v>101</v>
      </c>
      <c r="F1507" s="77" t="s">
        <v>73</v>
      </c>
      <c r="G1507" s="77" t="s">
        <v>74</v>
      </c>
      <c r="H1507" s="77" t="s">
        <v>113</v>
      </c>
      <c r="I1507" s="77" t="s">
        <v>84</v>
      </c>
      <c r="J1507" s="76" cm="1">
        <f t="array" ref="J1507:J1509">'SUT_EU27 total'!$S$117:$S$119</f>
        <v>0</v>
      </c>
    </row>
    <row r="1508" spans="1:10" x14ac:dyDescent="0.35">
      <c r="A1508" t="s">
        <v>13</v>
      </c>
      <c r="B1508" t="s">
        <v>38</v>
      </c>
      <c r="C1508" s="77" t="s">
        <v>93</v>
      </c>
      <c r="D1508" t="s">
        <v>81</v>
      </c>
      <c r="E1508" s="77" t="s">
        <v>104</v>
      </c>
      <c r="F1508" s="77" t="s">
        <v>73</v>
      </c>
      <c r="G1508" s="77" t="s">
        <v>74</v>
      </c>
      <c r="H1508" s="77" t="s">
        <v>113</v>
      </c>
      <c r="I1508" s="77" t="s">
        <v>84</v>
      </c>
      <c r="J1508" s="76">
        <v>0</v>
      </c>
    </row>
    <row r="1509" spans="1:10" x14ac:dyDescent="0.35">
      <c r="A1509" t="s">
        <v>13</v>
      </c>
      <c r="B1509" t="s">
        <v>38</v>
      </c>
      <c r="C1509" s="77" t="s">
        <v>93</v>
      </c>
      <c r="D1509" t="s">
        <v>81</v>
      </c>
      <c r="E1509" s="77" t="s">
        <v>106</v>
      </c>
      <c r="F1509" s="77" t="s">
        <v>73</v>
      </c>
      <c r="G1509" s="77" t="s">
        <v>74</v>
      </c>
      <c r="H1509" s="77" t="s">
        <v>113</v>
      </c>
      <c r="I1509" s="77" t="s">
        <v>84</v>
      </c>
      <c r="J1509" s="76">
        <v>0</v>
      </c>
    </row>
    <row r="1510" spans="1:10" x14ac:dyDescent="0.35">
      <c r="A1510" t="s">
        <v>13</v>
      </c>
      <c r="B1510" t="s">
        <v>38</v>
      </c>
      <c r="C1510" s="77" t="s">
        <v>73</v>
      </c>
      <c r="D1510" t="s">
        <v>74</v>
      </c>
      <c r="E1510" s="77" t="s">
        <v>123</v>
      </c>
      <c r="F1510" s="77" t="s">
        <v>73</v>
      </c>
      <c r="G1510" s="77" t="s">
        <v>81</v>
      </c>
      <c r="H1510" s="77" t="s">
        <v>115</v>
      </c>
      <c r="I1510" s="77" t="s">
        <v>84</v>
      </c>
      <c r="J1510" s="76" cm="1">
        <f t="array" ref="J1510:J1516">TRANSPOSE('2030 pathways'!$C$8:$I$8)</f>
        <v>0.11799999999999999</v>
      </c>
    </row>
    <row r="1511" spans="1:10" x14ac:dyDescent="0.35">
      <c r="A1511" t="s">
        <v>13</v>
      </c>
      <c r="B1511" t="s">
        <v>38</v>
      </c>
      <c r="C1511" s="77" t="s">
        <v>73</v>
      </c>
      <c r="D1511" t="s">
        <v>74</v>
      </c>
      <c r="E1511" s="77" t="s">
        <v>127</v>
      </c>
      <c r="F1511" s="77" t="s">
        <v>73</v>
      </c>
      <c r="G1511" s="77" t="s">
        <v>81</v>
      </c>
      <c r="H1511" s="77" t="s">
        <v>115</v>
      </c>
      <c r="I1511" s="77" t="s">
        <v>84</v>
      </c>
      <c r="J1511" s="76">
        <v>1.18E-2</v>
      </c>
    </row>
    <row r="1512" spans="1:10" x14ac:dyDescent="0.35">
      <c r="A1512" t="s">
        <v>13</v>
      </c>
      <c r="B1512" t="s">
        <v>38</v>
      </c>
      <c r="C1512" s="77" t="s">
        <v>73</v>
      </c>
      <c r="D1512" t="s">
        <v>74</v>
      </c>
      <c r="E1512" s="77" t="s">
        <v>128</v>
      </c>
      <c r="F1512" s="77" t="s">
        <v>73</v>
      </c>
      <c r="G1512" s="77" t="s">
        <v>81</v>
      </c>
      <c r="H1512" s="77" t="s">
        <v>115</v>
      </c>
      <c r="I1512" s="77" t="s">
        <v>84</v>
      </c>
      <c r="J1512" s="76">
        <v>2.3599999999999999E-2</v>
      </c>
    </row>
    <row r="1513" spans="1:10" x14ac:dyDescent="0.35">
      <c r="A1513" t="s">
        <v>13</v>
      </c>
      <c r="B1513" t="s">
        <v>38</v>
      </c>
      <c r="C1513" s="77" t="s">
        <v>73</v>
      </c>
      <c r="D1513" t="s">
        <v>74</v>
      </c>
      <c r="E1513" s="77" t="s">
        <v>129</v>
      </c>
      <c r="F1513" s="77" t="s">
        <v>73</v>
      </c>
      <c r="G1513" s="77" t="s">
        <v>81</v>
      </c>
      <c r="H1513" s="77" t="s">
        <v>115</v>
      </c>
      <c r="I1513" s="77" t="s">
        <v>84</v>
      </c>
      <c r="J1513" s="76">
        <v>6.4899999999999999E-2</v>
      </c>
    </row>
    <row r="1514" spans="1:10" x14ac:dyDescent="0.35">
      <c r="A1514" t="s">
        <v>13</v>
      </c>
      <c r="B1514" t="s">
        <v>38</v>
      </c>
      <c r="C1514" s="77" t="s">
        <v>73</v>
      </c>
      <c r="D1514" t="s">
        <v>74</v>
      </c>
      <c r="E1514" s="77" t="s">
        <v>77</v>
      </c>
      <c r="F1514" s="77" t="s">
        <v>73</v>
      </c>
      <c r="G1514" s="77" t="s">
        <v>81</v>
      </c>
      <c r="H1514" s="77" t="s">
        <v>115</v>
      </c>
      <c r="I1514" s="77" t="s">
        <v>84</v>
      </c>
      <c r="J1514" s="76">
        <v>4.1300000000000003E-2</v>
      </c>
    </row>
    <row r="1515" spans="1:10" x14ac:dyDescent="0.35">
      <c r="A1515" t="s">
        <v>13</v>
      </c>
      <c r="B1515" t="s">
        <v>38</v>
      </c>
      <c r="C1515" s="77" t="s">
        <v>73</v>
      </c>
      <c r="D1515" t="s">
        <v>74</v>
      </c>
      <c r="E1515" s="77" t="s">
        <v>130</v>
      </c>
      <c r="F1515" s="77" t="s">
        <v>73</v>
      </c>
      <c r="G1515" s="77" t="s">
        <v>81</v>
      </c>
      <c r="H1515" s="77" t="s">
        <v>115</v>
      </c>
      <c r="I1515" s="77" t="s">
        <v>84</v>
      </c>
      <c r="J1515" s="76">
        <v>0.33040000000000003</v>
      </c>
    </row>
    <row r="1516" spans="1:10" x14ac:dyDescent="0.35">
      <c r="A1516" t="s">
        <v>13</v>
      </c>
      <c r="B1516" t="s">
        <v>38</v>
      </c>
      <c r="C1516" s="77" t="s">
        <v>73</v>
      </c>
      <c r="D1516" t="s">
        <v>74</v>
      </c>
      <c r="E1516" s="77" t="s">
        <v>132</v>
      </c>
      <c r="F1516" s="77" t="s">
        <v>73</v>
      </c>
      <c r="G1516" s="77" t="s">
        <v>81</v>
      </c>
      <c r="H1516" s="77" t="s">
        <v>115</v>
      </c>
      <c r="I1516" s="77" t="s">
        <v>84</v>
      </c>
      <c r="J1516" s="76">
        <v>0.41</v>
      </c>
    </row>
    <row r="1517" spans="1:10" x14ac:dyDescent="0.35">
      <c r="A1517" t="s">
        <v>13</v>
      </c>
      <c r="B1517" t="s">
        <v>38</v>
      </c>
      <c r="C1517" s="77" t="s">
        <v>73</v>
      </c>
      <c r="D1517" t="s">
        <v>74</v>
      </c>
      <c r="E1517" s="77" t="s">
        <v>133</v>
      </c>
      <c r="F1517" s="77" t="s">
        <v>73</v>
      </c>
      <c r="G1517" s="77" t="s">
        <v>81</v>
      </c>
      <c r="H1517" s="77" t="s">
        <v>115</v>
      </c>
      <c r="I1517" s="77" t="s">
        <v>84</v>
      </c>
      <c r="J1517" s="76">
        <v>0</v>
      </c>
    </row>
    <row r="1518" spans="1:10" x14ac:dyDescent="0.35">
      <c r="A1518" s="373" t="s">
        <v>13</v>
      </c>
      <c r="B1518" s="373" t="s">
        <v>39</v>
      </c>
      <c r="C1518" s="472" t="s">
        <v>73</v>
      </c>
      <c r="D1518" s="373" t="s">
        <v>81</v>
      </c>
      <c r="E1518" s="472" t="s">
        <v>115</v>
      </c>
      <c r="F1518" s="472" t="s">
        <v>73</v>
      </c>
      <c r="G1518" s="472" t="s">
        <v>74</v>
      </c>
      <c r="H1518" s="472" t="s">
        <v>102</v>
      </c>
      <c r="I1518" s="472" t="s">
        <v>84</v>
      </c>
      <c r="J1518" s="473" cm="1">
        <f t="array" ref="J1518:J1519">'SUT_EU27 total'!$J$19:$J$20</f>
        <v>11.828571428571427</v>
      </c>
    </row>
    <row r="1519" spans="1:10" x14ac:dyDescent="0.35">
      <c r="A1519" t="s">
        <v>13</v>
      </c>
      <c r="B1519" t="s">
        <v>39</v>
      </c>
      <c r="C1519" s="77" t="s">
        <v>73</v>
      </c>
      <c r="D1519" t="s">
        <v>81</v>
      </c>
      <c r="E1519" s="77" t="s">
        <v>116</v>
      </c>
      <c r="F1519" s="77" t="s">
        <v>73</v>
      </c>
      <c r="G1519" s="77" t="s">
        <v>74</v>
      </c>
      <c r="H1519" s="77" t="s">
        <v>102</v>
      </c>
      <c r="I1519" s="77" t="s">
        <v>84</v>
      </c>
      <c r="J1519" s="76">
        <v>3.3421988920214002E-2</v>
      </c>
    </row>
    <row r="1520" spans="1:10" x14ac:dyDescent="0.35">
      <c r="A1520" t="s">
        <v>13</v>
      </c>
      <c r="B1520" t="s">
        <v>39</v>
      </c>
      <c r="C1520" s="77" t="s">
        <v>73</v>
      </c>
      <c r="D1520" t="s">
        <v>81</v>
      </c>
      <c r="E1520" s="77" t="s">
        <v>117</v>
      </c>
      <c r="F1520" s="77" t="s">
        <v>73</v>
      </c>
      <c r="G1520" s="77" t="s">
        <v>74</v>
      </c>
      <c r="H1520" s="77" t="s">
        <v>102</v>
      </c>
      <c r="I1520" s="77" t="s">
        <v>84</v>
      </c>
      <c r="J1520" s="76">
        <f>'SUT_EU27 total'!$J$27</f>
        <v>20.996100000000002</v>
      </c>
    </row>
    <row r="1521" spans="1:10" x14ac:dyDescent="0.35">
      <c r="A1521" t="s">
        <v>13</v>
      </c>
      <c r="B1521" t="s">
        <v>39</v>
      </c>
      <c r="C1521" s="77" t="s">
        <v>73</v>
      </c>
      <c r="D1521" t="s">
        <v>81</v>
      </c>
      <c r="E1521" s="77" t="s">
        <v>101</v>
      </c>
      <c r="F1521" s="77" t="s">
        <v>73</v>
      </c>
      <c r="G1521" s="77" t="s">
        <v>74</v>
      </c>
      <c r="H1521" s="77" t="s">
        <v>102</v>
      </c>
      <c r="I1521" s="77" t="s">
        <v>84</v>
      </c>
      <c r="J1521" s="471" cm="1">
        <f t="array" ref="J1521:J1523">Sensitivity!J86:J88</f>
        <v>0.51705287995693072</v>
      </c>
    </row>
    <row r="1522" spans="1:10" x14ac:dyDescent="0.35">
      <c r="A1522" t="s">
        <v>13</v>
      </c>
      <c r="B1522" t="s">
        <v>39</v>
      </c>
      <c r="C1522" s="77" t="s">
        <v>73</v>
      </c>
      <c r="D1522" t="s">
        <v>81</v>
      </c>
      <c r="E1522" s="77" t="s">
        <v>104</v>
      </c>
      <c r="F1522" s="77" t="s">
        <v>73</v>
      </c>
      <c r="G1522" s="77" t="s">
        <v>74</v>
      </c>
      <c r="H1522" s="77" t="s">
        <v>102</v>
      </c>
      <c r="I1522" s="77" t="s">
        <v>84</v>
      </c>
      <c r="J1522" s="471">
        <v>0.29649301958370766</v>
      </c>
    </row>
    <row r="1523" spans="1:10" x14ac:dyDescent="0.35">
      <c r="A1523" t="s">
        <v>13</v>
      </c>
      <c r="B1523" t="s">
        <v>39</v>
      </c>
      <c r="C1523" s="77" t="s">
        <v>73</v>
      </c>
      <c r="D1523" t="s">
        <v>81</v>
      </c>
      <c r="E1523" s="77" t="s">
        <v>106</v>
      </c>
      <c r="F1523" s="77" t="s">
        <v>73</v>
      </c>
      <c r="G1523" s="77" t="s">
        <v>74</v>
      </c>
      <c r="H1523" s="77" t="s">
        <v>102</v>
      </c>
      <c r="I1523" s="77" t="s">
        <v>84</v>
      </c>
      <c r="J1523" s="471">
        <v>0.44070073885936156</v>
      </c>
    </row>
    <row r="1524" spans="1:10" x14ac:dyDescent="0.35">
      <c r="A1524" t="s">
        <v>13</v>
      </c>
      <c r="B1524" t="s">
        <v>39</v>
      </c>
      <c r="C1524" s="77" t="s">
        <v>88</v>
      </c>
      <c r="D1524" t="s">
        <v>81</v>
      </c>
      <c r="E1524" s="77" t="s">
        <v>115</v>
      </c>
      <c r="F1524" s="77" t="s">
        <v>73</v>
      </c>
      <c r="G1524" s="77" t="s">
        <v>74</v>
      </c>
      <c r="H1524" s="77" t="s">
        <v>102</v>
      </c>
      <c r="I1524" s="77" t="s">
        <v>84</v>
      </c>
      <c r="J1524" s="76" cm="1">
        <f t="array" ref="J1524:J1525">'SUT_EU27 total'!$J$36:$J$37</f>
        <v>78.857142857142847</v>
      </c>
    </row>
    <row r="1525" spans="1:10" x14ac:dyDescent="0.35">
      <c r="A1525" t="s">
        <v>13</v>
      </c>
      <c r="B1525" t="s">
        <v>39</v>
      </c>
      <c r="C1525" s="77" t="s">
        <v>88</v>
      </c>
      <c r="D1525" t="s">
        <v>81</v>
      </c>
      <c r="E1525" s="77" t="s">
        <v>116</v>
      </c>
      <c r="F1525" s="77" t="s">
        <v>73</v>
      </c>
      <c r="G1525" s="77" t="s">
        <v>74</v>
      </c>
      <c r="H1525" s="77" t="s">
        <v>102</v>
      </c>
      <c r="I1525" s="77" t="s">
        <v>84</v>
      </c>
      <c r="J1525" s="76">
        <v>0.7862213561563367</v>
      </c>
    </row>
    <row r="1526" spans="1:10" x14ac:dyDescent="0.35">
      <c r="A1526" t="s">
        <v>13</v>
      </c>
      <c r="B1526" t="s">
        <v>39</v>
      </c>
      <c r="C1526" s="77" t="s">
        <v>88</v>
      </c>
      <c r="D1526" t="s">
        <v>81</v>
      </c>
      <c r="E1526" s="77" t="s">
        <v>117</v>
      </c>
      <c r="F1526" s="77" t="s">
        <v>73</v>
      </c>
      <c r="G1526" s="77" t="s">
        <v>74</v>
      </c>
      <c r="H1526" s="77" t="s">
        <v>102</v>
      </c>
      <c r="I1526" s="77" t="s">
        <v>84</v>
      </c>
      <c r="J1526" s="76">
        <f>'SUT_EU27 total'!$J$44</f>
        <v>286.26390000000004</v>
      </c>
    </row>
    <row r="1527" spans="1:10" x14ac:dyDescent="0.35">
      <c r="A1527" t="s">
        <v>13</v>
      </c>
      <c r="B1527" t="s">
        <v>39</v>
      </c>
      <c r="C1527" s="77" t="s">
        <v>88</v>
      </c>
      <c r="D1527" t="s">
        <v>81</v>
      </c>
      <c r="E1527" s="77" t="s">
        <v>101</v>
      </c>
      <c r="F1527" s="77" t="s">
        <v>73</v>
      </c>
      <c r="G1527" s="77" t="s">
        <v>74</v>
      </c>
      <c r="H1527" s="77" t="s">
        <v>102</v>
      </c>
      <c r="I1527" s="77" t="s">
        <v>84</v>
      </c>
      <c r="J1527" s="76" cm="1">
        <f t="array" ref="J1527:J1529">'SUT_EU27 total'!$J$49:$J$51</f>
        <v>0</v>
      </c>
    </row>
    <row r="1528" spans="1:10" x14ac:dyDescent="0.35">
      <c r="A1528" t="s">
        <v>13</v>
      </c>
      <c r="B1528" t="s">
        <v>39</v>
      </c>
      <c r="C1528" s="77" t="s">
        <v>88</v>
      </c>
      <c r="D1528" t="s">
        <v>81</v>
      </c>
      <c r="E1528" s="77" t="s">
        <v>104</v>
      </c>
      <c r="F1528" s="77" t="s">
        <v>73</v>
      </c>
      <c r="G1528" s="77" t="s">
        <v>74</v>
      </c>
      <c r="H1528" s="77" t="s">
        <v>102</v>
      </c>
      <c r="I1528" s="77" t="s">
        <v>84</v>
      </c>
      <c r="J1528" s="76">
        <v>0</v>
      </c>
    </row>
    <row r="1529" spans="1:10" x14ac:dyDescent="0.35">
      <c r="A1529" t="s">
        <v>13</v>
      </c>
      <c r="B1529" t="s">
        <v>39</v>
      </c>
      <c r="C1529" s="77" t="s">
        <v>88</v>
      </c>
      <c r="D1529" t="s">
        <v>81</v>
      </c>
      <c r="E1529" s="77" t="s">
        <v>106</v>
      </c>
      <c r="F1529" s="77" t="s">
        <v>73</v>
      </c>
      <c r="G1529" s="77" t="s">
        <v>74</v>
      </c>
      <c r="H1529" s="77" t="s">
        <v>102</v>
      </c>
      <c r="I1529" s="77" t="s">
        <v>84</v>
      </c>
      <c r="J1529" s="76">
        <v>0</v>
      </c>
    </row>
    <row r="1530" spans="1:10" x14ac:dyDescent="0.35">
      <c r="A1530" t="s">
        <v>13</v>
      </c>
      <c r="B1530" t="s">
        <v>39</v>
      </c>
      <c r="C1530" s="77" t="s">
        <v>90</v>
      </c>
      <c r="D1530" t="s">
        <v>81</v>
      </c>
      <c r="E1530" s="77" t="s">
        <v>115</v>
      </c>
      <c r="F1530" s="77" t="s">
        <v>73</v>
      </c>
      <c r="G1530" s="77" t="s">
        <v>74</v>
      </c>
      <c r="H1530" s="77" t="s">
        <v>102</v>
      </c>
      <c r="I1530" s="77" t="s">
        <v>84</v>
      </c>
      <c r="J1530" s="76" cm="1">
        <f t="array" ref="J1530:J1531">'SUT_EU27 total'!$J$53:$J$54</f>
        <v>7.7904761904761894</v>
      </c>
    </row>
    <row r="1531" spans="1:10" x14ac:dyDescent="0.35">
      <c r="A1531" t="s">
        <v>13</v>
      </c>
      <c r="B1531" t="s">
        <v>39</v>
      </c>
      <c r="C1531" s="77" t="s">
        <v>90</v>
      </c>
      <c r="D1531" t="s">
        <v>81</v>
      </c>
      <c r="E1531" s="77" t="s">
        <v>116</v>
      </c>
      <c r="F1531" s="77" t="s">
        <v>73</v>
      </c>
      <c r="G1531" s="77" t="s">
        <v>74</v>
      </c>
      <c r="H1531" s="77" t="s">
        <v>102</v>
      </c>
      <c r="I1531" s="77" t="s">
        <v>84</v>
      </c>
      <c r="J1531" s="76">
        <v>1.5473889063756709E-2</v>
      </c>
    </row>
    <row r="1532" spans="1:10" x14ac:dyDescent="0.35">
      <c r="A1532" t="s">
        <v>13</v>
      </c>
      <c r="B1532" t="s">
        <v>39</v>
      </c>
      <c r="C1532" s="77" t="s">
        <v>90</v>
      </c>
      <c r="D1532" t="s">
        <v>81</v>
      </c>
      <c r="E1532" s="77" t="s">
        <v>117</v>
      </c>
      <c r="F1532" s="77" t="s">
        <v>73</v>
      </c>
      <c r="G1532" s="77" t="s">
        <v>74</v>
      </c>
      <c r="H1532" s="77" t="s">
        <v>102</v>
      </c>
      <c r="I1532" s="77" t="s">
        <v>84</v>
      </c>
      <c r="J1532" s="76">
        <f>'SUT_EU27 total'!$J$61</f>
        <v>11.2662</v>
      </c>
    </row>
    <row r="1533" spans="1:10" x14ac:dyDescent="0.35">
      <c r="A1533" t="s">
        <v>13</v>
      </c>
      <c r="B1533" t="s">
        <v>39</v>
      </c>
      <c r="C1533" s="77" t="s">
        <v>90</v>
      </c>
      <c r="D1533" t="s">
        <v>81</v>
      </c>
      <c r="E1533" s="77" t="s">
        <v>101</v>
      </c>
      <c r="F1533" s="77" t="s">
        <v>73</v>
      </c>
      <c r="G1533" s="77" t="s">
        <v>74</v>
      </c>
      <c r="H1533" s="77" t="s">
        <v>102</v>
      </c>
      <c r="I1533" s="77" t="s">
        <v>84</v>
      </c>
      <c r="J1533" s="76" cm="1">
        <f t="array" ref="J1533:J1535">'SUT_EU27 total'!$J$66:$J$68</f>
        <v>0</v>
      </c>
    </row>
    <row r="1534" spans="1:10" x14ac:dyDescent="0.35">
      <c r="A1534" t="s">
        <v>13</v>
      </c>
      <c r="B1534" t="s">
        <v>39</v>
      </c>
      <c r="C1534" s="77" t="s">
        <v>90</v>
      </c>
      <c r="D1534" t="s">
        <v>81</v>
      </c>
      <c r="E1534" s="77" t="s">
        <v>104</v>
      </c>
      <c r="F1534" s="77" t="s">
        <v>73</v>
      </c>
      <c r="G1534" s="77" t="s">
        <v>74</v>
      </c>
      <c r="H1534" s="77" t="s">
        <v>102</v>
      </c>
      <c r="I1534" s="77" t="s">
        <v>84</v>
      </c>
      <c r="J1534" s="76">
        <v>0</v>
      </c>
    </row>
    <row r="1535" spans="1:10" x14ac:dyDescent="0.35">
      <c r="A1535" t="s">
        <v>13</v>
      </c>
      <c r="B1535" t="s">
        <v>39</v>
      </c>
      <c r="C1535" s="77" t="s">
        <v>90</v>
      </c>
      <c r="D1535" t="s">
        <v>81</v>
      </c>
      <c r="E1535" s="77" t="s">
        <v>106</v>
      </c>
      <c r="F1535" s="77" t="s">
        <v>73</v>
      </c>
      <c r="G1535" s="77" t="s">
        <v>74</v>
      </c>
      <c r="H1535" s="77" t="s">
        <v>102</v>
      </c>
      <c r="I1535" s="77" t="s">
        <v>84</v>
      </c>
      <c r="J1535" s="76">
        <v>0</v>
      </c>
    </row>
    <row r="1536" spans="1:10" x14ac:dyDescent="0.35">
      <c r="A1536" t="s">
        <v>13</v>
      </c>
      <c r="B1536" t="s">
        <v>39</v>
      </c>
      <c r="C1536" s="77" t="s">
        <v>91</v>
      </c>
      <c r="D1536" t="s">
        <v>81</v>
      </c>
      <c r="E1536" s="77" t="s">
        <v>115</v>
      </c>
      <c r="F1536" s="77" t="s">
        <v>73</v>
      </c>
      <c r="G1536" s="77" t="s">
        <v>74</v>
      </c>
      <c r="H1536" s="77" t="s">
        <v>102</v>
      </c>
      <c r="I1536" s="77" t="s">
        <v>84</v>
      </c>
      <c r="J1536" s="76" cm="1">
        <f t="array" ref="J1536:J1537">'SUT_EU27 total'!$J$70:$J$71</f>
        <v>15.771428571428569</v>
      </c>
    </row>
    <row r="1537" spans="1:10" x14ac:dyDescent="0.35">
      <c r="A1537" t="s">
        <v>13</v>
      </c>
      <c r="B1537" t="s">
        <v>39</v>
      </c>
      <c r="C1537" s="77" t="s">
        <v>91</v>
      </c>
      <c r="D1537" t="s">
        <v>81</v>
      </c>
      <c r="E1537" s="77" t="s">
        <v>116</v>
      </c>
      <c r="F1537" s="77" t="s">
        <v>73</v>
      </c>
      <c r="G1537" s="77" t="s">
        <v>74</v>
      </c>
      <c r="H1537" s="77" t="s">
        <v>102</v>
      </c>
      <c r="I1537" s="77" t="s">
        <v>84</v>
      </c>
      <c r="J1537" s="76">
        <v>8.7507175559917313E-2</v>
      </c>
    </row>
    <row r="1538" spans="1:10" x14ac:dyDescent="0.35">
      <c r="A1538" t="s">
        <v>13</v>
      </c>
      <c r="B1538" t="s">
        <v>39</v>
      </c>
      <c r="C1538" s="77" t="s">
        <v>91</v>
      </c>
      <c r="D1538" t="s">
        <v>81</v>
      </c>
      <c r="E1538" s="77" t="s">
        <v>117</v>
      </c>
      <c r="F1538" s="77" t="s">
        <v>73</v>
      </c>
      <c r="G1538" s="77" t="s">
        <v>74</v>
      </c>
      <c r="H1538" s="77" t="s">
        <v>102</v>
      </c>
      <c r="I1538" s="77" t="s">
        <v>84</v>
      </c>
      <c r="J1538" s="76">
        <f>'SUT_EU27 total'!$J$78</f>
        <v>41.4801</v>
      </c>
    </row>
    <row r="1539" spans="1:10" x14ac:dyDescent="0.35">
      <c r="A1539" t="s">
        <v>13</v>
      </c>
      <c r="B1539" t="s">
        <v>39</v>
      </c>
      <c r="C1539" s="77" t="s">
        <v>91</v>
      </c>
      <c r="D1539" t="s">
        <v>81</v>
      </c>
      <c r="E1539" s="77" t="s">
        <v>101</v>
      </c>
      <c r="F1539" s="77" t="s">
        <v>73</v>
      </c>
      <c r="G1539" s="77" t="s">
        <v>74</v>
      </c>
      <c r="H1539" s="77" t="s">
        <v>102</v>
      </c>
      <c r="I1539" s="77" t="s">
        <v>84</v>
      </c>
      <c r="J1539" s="76" cm="1">
        <f t="array" ref="J1539:J1541">'SUT_EU27 total'!$J$83:$J$85</f>
        <v>0</v>
      </c>
    </row>
    <row r="1540" spans="1:10" x14ac:dyDescent="0.35">
      <c r="A1540" t="s">
        <v>13</v>
      </c>
      <c r="B1540" t="s">
        <v>39</v>
      </c>
      <c r="C1540" s="77" t="s">
        <v>91</v>
      </c>
      <c r="D1540" t="s">
        <v>81</v>
      </c>
      <c r="E1540" s="77" t="s">
        <v>104</v>
      </c>
      <c r="F1540" s="77" t="s">
        <v>73</v>
      </c>
      <c r="G1540" s="77" t="s">
        <v>74</v>
      </c>
      <c r="H1540" s="77" t="s">
        <v>102</v>
      </c>
      <c r="I1540" s="77" t="s">
        <v>84</v>
      </c>
      <c r="J1540" s="76">
        <v>0</v>
      </c>
    </row>
    <row r="1541" spans="1:10" x14ac:dyDescent="0.35">
      <c r="A1541" t="s">
        <v>13</v>
      </c>
      <c r="B1541" t="s">
        <v>39</v>
      </c>
      <c r="C1541" s="77" t="s">
        <v>91</v>
      </c>
      <c r="D1541" t="s">
        <v>81</v>
      </c>
      <c r="E1541" s="77" t="s">
        <v>106</v>
      </c>
      <c r="F1541" s="77" t="s">
        <v>73</v>
      </c>
      <c r="G1541" s="77" t="s">
        <v>74</v>
      </c>
      <c r="H1541" s="77" t="s">
        <v>102</v>
      </c>
      <c r="I1541" s="77" t="s">
        <v>84</v>
      </c>
      <c r="J1541" s="76">
        <v>0</v>
      </c>
    </row>
    <row r="1542" spans="1:10" x14ac:dyDescent="0.35">
      <c r="A1542" t="s">
        <v>13</v>
      </c>
      <c r="B1542" t="s">
        <v>39</v>
      </c>
      <c r="C1542" s="77" t="s">
        <v>92</v>
      </c>
      <c r="D1542" t="s">
        <v>81</v>
      </c>
      <c r="E1542" s="77" t="s">
        <v>115</v>
      </c>
      <c r="F1542" s="77" t="s">
        <v>73</v>
      </c>
      <c r="G1542" s="77" t="s">
        <v>74</v>
      </c>
      <c r="H1542" s="77" t="s">
        <v>102</v>
      </c>
      <c r="I1542" s="77" t="s">
        <v>84</v>
      </c>
      <c r="J1542" s="76" cm="1">
        <f t="array" ref="J1542:J1543">'SUT_EU27 total'!$J$87:$J$88</f>
        <v>6.6239999999999997</v>
      </c>
    </row>
    <row r="1543" spans="1:10" x14ac:dyDescent="0.35">
      <c r="A1543" t="s">
        <v>13</v>
      </c>
      <c r="B1543" t="s">
        <v>39</v>
      </c>
      <c r="C1543" s="77" t="s">
        <v>92</v>
      </c>
      <c r="D1543" t="s">
        <v>81</v>
      </c>
      <c r="E1543" s="77" t="s">
        <v>116</v>
      </c>
      <c r="F1543" s="77" t="s">
        <v>73</v>
      </c>
      <c r="G1543" s="77" t="s">
        <v>74</v>
      </c>
      <c r="H1543" s="77" t="s">
        <v>102</v>
      </c>
      <c r="I1543" s="77" t="s">
        <v>84</v>
      </c>
      <c r="J1543" s="76">
        <v>6.0040746268656714E-2</v>
      </c>
    </row>
    <row r="1544" spans="1:10" x14ac:dyDescent="0.35">
      <c r="A1544" t="s">
        <v>13</v>
      </c>
      <c r="B1544" t="s">
        <v>39</v>
      </c>
      <c r="C1544" s="77" t="s">
        <v>92</v>
      </c>
      <c r="D1544" t="s">
        <v>81</v>
      </c>
      <c r="E1544" s="77" t="s">
        <v>117</v>
      </c>
      <c r="F1544" s="77" t="s">
        <v>73</v>
      </c>
      <c r="G1544" s="77" t="s">
        <v>74</v>
      </c>
      <c r="H1544" s="77" t="s">
        <v>102</v>
      </c>
      <c r="I1544" s="77" t="s">
        <v>84</v>
      </c>
      <c r="J1544" s="76">
        <f>'SUT_EU27 total'!$J$95</f>
        <v>13.3146</v>
      </c>
    </row>
    <row r="1545" spans="1:10" x14ac:dyDescent="0.35">
      <c r="A1545" t="s">
        <v>13</v>
      </c>
      <c r="B1545" t="s">
        <v>39</v>
      </c>
      <c r="C1545" s="77" t="s">
        <v>92</v>
      </c>
      <c r="D1545" t="s">
        <v>81</v>
      </c>
      <c r="E1545" s="77" t="s">
        <v>101</v>
      </c>
      <c r="F1545" s="77" t="s">
        <v>73</v>
      </c>
      <c r="G1545" s="77" t="s">
        <v>74</v>
      </c>
      <c r="H1545" s="77" t="s">
        <v>102</v>
      </c>
      <c r="I1545" s="77" t="s">
        <v>84</v>
      </c>
      <c r="J1545" s="76" cm="1">
        <f t="array" ref="J1545:J1547">'SUT_EU27 total'!$J$100:$J$102</f>
        <v>0</v>
      </c>
    </row>
    <row r="1546" spans="1:10" x14ac:dyDescent="0.35">
      <c r="A1546" t="s">
        <v>13</v>
      </c>
      <c r="B1546" t="s">
        <v>39</v>
      </c>
      <c r="C1546" s="77" t="s">
        <v>92</v>
      </c>
      <c r="D1546" t="s">
        <v>81</v>
      </c>
      <c r="E1546" s="77" t="s">
        <v>104</v>
      </c>
      <c r="F1546" s="77" t="s">
        <v>73</v>
      </c>
      <c r="G1546" s="77" t="s">
        <v>74</v>
      </c>
      <c r="H1546" s="77" t="s">
        <v>102</v>
      </c>
      <c r="I1546" s="77" t="s">
        <v>84</v>
      </c>
      <c r="J1546" s="76">
        <v>0</v>
      </c>
    </row>
    <row r="1547" spans="1:10" x14ac:dyDescent="0.35">
      <c r="A1547" t="s">
        <v>13</v>
      </c>
      <c r="B1547" t="s">
        <v>39</v>
      </c>
      <c r="C1547" s="77" t="s">
        <v>92</v>
      </c>
      <c r="D1547" t="s">
        <v>81</v>
      </c>
      <c r="E1547" s="77" t="s">
        <v>106</v>
      </c>
      <c r="F1547" s="77" t="s">
        <v>73</v>
      </c>
      <c r="G1547" s="77" t="s">
        <v>74</v>
      </c>
      <c r="H1547" s="77" t="s">
        <v>102</v>
      </c>
      <c r="I1547" s="77" t="s">
        <v>84</v>
      </c>
      <c r="J1547" s="76">
        <v>0</v>
      </c>
    </row>
    <row r="1548" spans="1:10" x14ac:dyDescent="0.35">
      <c r="A1548" t="s">
        <v>13</v>
      </c>
      <c r="B1548" t="s">
        <v>39</v>
      </c>
      <c r="C1548" s="77" t="s">
        <v>93</v>
      </c>
      <c r="D1548" t="s">
        <v>81</v>
      </c>
      <c r="E1548" s="77" t="s">
        <v>115</v>
      </c>
      <c r="F1548" s="77" t="s">
        <v>73</v>
      </c>
      <c r="G1548" s="77" t="s">
        <v>74</v>
      </c>
      <c r="H1548" s="77" t="s">
        <v>102</v>
      </c>
      <c r="I1548" s="77" t="s">
        <v>84</v>
      </c>
      <c r="J1548" s="76" cm="1">
        <f t="array" ref="J1548:J1549">'SUT_EU27 total'!$J$104:$J$105</f>
        <v>44.633142857142865</v>
      </c>
    </row>
    <row r="1549" spans="1:10" x14ac:dyDescent="0.35">
      <c r="A1549" t="s">
        <v>13</v>
      </c>
      <c r="B1549" t="s">
        <v>39</v>
      </c>
      <c r="C1549" s="77" t="s">
        <v>93</v>
      </c>
      <c r="D1549" t="s">
        <v>81</v>
      </c>
      <c r="E1549" s="77" t="s">
        <v>116</v>
      </c>
      <c r="F1549" s="77" t="s">
        <v>73</v>
      </c>
      <c r="G1549" s="77" t="s">
        <v>74</v>
      </c>
      <c r="H1549" s="77" t="s">
        <v>102</v>
      </c>
      <c r="I1549" s="77" t="s">
        <v>84</v>
      </c>
      <c r="J1549" s="76">
        <v>0.3673348440311186</v>
      </c>
    </row>
    <row r="1550" spans="1:10" x14ac:dyDescent="0.35">
      <c r="A1550" t="s">
        <v>13</v>
      </c>
      <c r="B1550" t="s">
        <v>39</v>
      </c>
      <c r="C1550" s="77" t="s">
        <v>93</v>
      </c>
      <c r="D1550" t="s">
        <v>81</v>
      </c>
      <c r="E1550" s="77" t="s">
        <v>117</v>
      </c>
      <c r="F1550" s="77" t="s">
        <v>73</v>
      </c>
      <c r="G1550" s="77" t="s">
        <v>74</v>
      </c>
      <c r="H1550" s="77" t="s">
        <v>102</v>
      </c>
      <c r="I1550" s="77" t="s">
        <v>84</v>
      </c>
      <c r="J1550" s="76">
        <f>'SUT_EU27 total'!$J$112</f>
        <v>138.77909999999997</v>
      </c>
    </row>
    <row r="1551" spans="1:10" x14ac:dyDescent="0.35">
      <c r="A1551" t="s">
        <v>13</v>
      </c>
      <c r="B1551" t="s">
        <v>39</v>
      </c>
      <c r="C1551" s="77" t="s">
        <v>93</v>
      </c>
      <c r="D1551" t="s">
        <v>81</v>
      </c>
      <c r="E1551" s="77" t="s">
        <v>101</v>
      </c>
      <c r="F1551" s="77" t="s">
        <v>73</v>
      </c>
      <c r="G1551" s="77" t="s">
        <v>74</v>
      </c>
      <c r="H1551" s="77" t="s">
        <v>102</v>
      </c>
      <c r="I1551" s="77" t="s">
        <v>84</v>
      </c>
      <c r="J1551" s="76" cm="1">
        <f t="array" ref="J1551:J1553">'SUT_EU27 total'!$J$117:$J$119</f>
        <v>0</v>
      </c>
    </row>
    <row r="1552" spans="1:10" x14ac:dyDescent="0.35">
      <c r="A1552" t="s">
        <v>13</v>
      </c>
      <c r="B1552" t="s">
        <v>39</v>
      </c>
      <c r="C1552" s="77" t="s">
        <v>93</v>
      </c>
      <c r="D1552" t="s">
        <v>81</v>
      </c>
      <c r="E1552" s="77" t="s">
        <v>104</v>
      </c>
      <c r="F1552" s="77" t="s">
        <v>73</v>
      </c>
      <c r="G1552" s="77" t="s">
        <v>74</v>
      </c>
      <c r="H1552" s="77" t="s">
        <v>102</v>
      </c>
      <c r="I1552" s="77" t="s">
        <v>84</v>
      </c>
      <c r="J1552" s="76">
        <v>0</v>
      </c>
    </row>
    <row r="1553" spans="1:10" x14ac:dyDescent="0.35">
      <c r="A1553" t="s">
        <v>13</v>
      </c>
      <c r="B1553" t="s">
        <v>39</v>
      </c>
      <c r="C1553" s="77" t="s">
        <v>93</v>
      </c>
      <c r="D1553" t="s">
        <v>81</v>
      </c>
      <c r="E1553" s="77" t="s">
        <v>106</v>
      </c>
      <c r="F1553" s="77" t="s">
        <v>73</v>
      </c>
      <c r="G1553" s="77" t="s">
        <v>74</v>
      </c>
      <c r="H1553" s="77" t="s">
        <v>102</v>
      </c>
      <c r="I1553" s="77" t="s">
        <v>84</v>
      </c>
      <c r="J1553" s="76">
        <v>0</v>
      </c>
    </row>
    <row r="1554" spans="1:10" x14ac:dyDescent="0.35">
      <c r="A1554" t="s">
        <v>13</v>
      </c>
      <c r="B1554" t="s">
        <v>39</v>
      </c>
      <c r="C1554" s="77" t="s">
        <v>73</v>
      </c>
      <c r="D1554" t="s">
        <v>81</v>
      </c>
      <c r="E1554" s="77" t="s">
        <v>118</v>
      </c>
      <c r="F1554" s="77" t="s">
        <v>73</v>
      </c>
      <c r="G1554" s="77" t="s">
        <v>74</v>
      </c>
      <c r="H1554" s="77" t="s">
        <v>108</v>
      </c>
      <c r="I1554" s="77" t="s">
        <v>84</v>
      </c>
      <c r="J1554" s="76" cm="1">
        <f t="array" ref="J1554:J1556">'SUT_EU27 total'!$K$21:$K$23</f>
        <v>1.4582562144772118E-3</v>
      </c>
    </row>
    <row r="1555" spans="1:10" x14ac:dyDescent="0.35">
      <c r="A1555" t="s">
        <v>13</v>
      </c>
      <c r="B1555" t="s">
        <v>39</v>
      </c>
      <c r="C1555" s="77" t="s">
        <v>73</v>
      </c>
      <c r="D1555" t="s">
        <v>81</v>
      </c>
      <c r="E1555" s="77" t="s">
        <v>119</v>
      </c>
      <c r="F1555" s="77" t="s">
        <v>73</v>
      </c>
      <c r="G1555" s="77" t="s">
        <v>74</v>
      </c>
      <c r="H1555" s="77" t="s">
        <v>108</v>
      </c>
      <c r="I1555" s="77" t="s">
        <v>84</v>
      </c>
      <c r="J1555" s="76">
        <v>8.4634636521458274E-4</v>
      </c>
    </row>
    <row r="1556" spans="1:10" x14ac:dyDescent="0.35">
      <c r="A1556" t="s">
        <v>13</v>
      </c>
      <c r="B1556" t="s">
        <v>39</v>
      </c>
      <c r="C1556" s="77" t="s">
        <v>73</v>
      </c>
      <c r="D1556" t="s">
        <v>81</v>
      </c>
      <c r="E1556" s="77" t="s">
        <v>120</v>
      </c>
      <c r="F1556" s="77" t="s">
        <v>73</v>
      </c>
      <c r="G1556" s="77" t="s">
        <v>74</v>
      </c>
      <c r="H1556" s="77" t="s">
        <v>108</v>
      </c>
      <c r="I1556" s="77" t="s">
        <v>84</v>
      </c>
      <c r="J1556" s="76">
        <v>1.2517329093179335E-4</v>
      </c>
    </row>
    <row r="1557" spans="1:10" x14ac:dyDescent="0.35">
      <c r="A1557" t="s">
        <v>13</v>
      </c>
      <c r="B1557" t="s">
        <v>39</v>
      </c>
      <c r="C1557" s="77" t="s">
        <v>73</v>
      </c>
      <c r="D1557" t="s">
        <v>81</v>
      </c>
      <c r="E1557" s="77" t="s">
        <v>121</v>
      </c>
      <c r="F1557" s="77" t="s">
        <v>73</v>
      </c>
      <c r="G1557" s="77" t="s">
        <v>74</v>
      </c>
      <c r="H1557" s="77" t="s">
        <v>108</v>
      </c>
      <c r="I1557" s="77" t="s">
        <v>84</v>
      </c>
      <c r="J1557" s="76">
        <f>'SUT_EU27 total'!$K$25</f>
        <v>6.9749679999999994E-2</v>
      </c>
    </row>
    <row r="1558" spans="1:10" x14ac:dyDescent="0.35">
      <c r="A1558" t="s">
        <v>13</v>
      </c>
      <c r="B1558" t="s">
        <v>39</v>
      </c>
      <c r="C1558" s="77" t="s">
        <v>73</v>
      </c>
      <c r="D1558" t="s">
        <v>81</v>
      </c>
      <c r="E1558" s="77" t="s">
        <v>117</v>
      </c>
      <c r="F1558" s="77" t="s">
        <v>73</v>
      </c>
      <c r="G1558" s="77" t="s">
        <v>74</v>
      </c>
      <c r="H1558" s="77" t="s">
        <v>108</v>
      </c>
      <c r="I1558" s="77" t="s">
        <v>84</v>
      </c>
      <c r="J1558" s="76">
        <f>'SUT_EU27 total'!$K$27</f>
        <v>1.1932942595726979E-3</v>
      </c>
    </row>
    <row r="1559" spans="1:10" x14ac:dyDescent="0.35">
      <c r="A1559" t="s">
        <v>13</v>
      </c>
      <c r="B1559" t="s">
        <v>39</v>
      </c>
      <c r="C1559" s="77" t="s">
        <v>73</v>
      </c>
      <c r="D1559" t="s">
        <v>81</v>
      </c>
      <c r="E1559" s="77" t="s">
        <v>122</v>
      </c>
      <c r="F1559" s="77" t="s">
        <v>73</v>
      </c>
      <c r="G1559" s="77" t="s">
        <v>74</v>
      </c>
      <c r="H1559" s="77" t="s">
        <v>108</v>
      </c>
      <c r="I1559" s="77" t="s">
        <v>84</v>
      </c>
      <c r="J1559" s="76">
        <f>'SUT_EU27 total'!$K$30</f>
        <v>1.5965533412604042E-3</v>
      </c>
    </row>
    <row r="1560" spans="1:10" x14ac:dyDescent="0.35">
      <c r="A1560" t="s">
        <v>13</v>
      </c>
      <c r="B1560" t="s">
        <v>39</v>
      </c>
      <c r="C1560" s="77" t="s">
        <v>73</v>
      </c>
      <c r="D1560" t="s">
        <v>81</v>
      </c>
      <c r="E1560" s="77" t="s">
        <v>101</v>
      </c>
      <c r="F1560" s="77" t="s">
        <v>73</v>
      </c>
      <c r="G1560" s="77" t="s">
        <v>74</v>
      </c>
      <c r="H1560" s="77" t="s">
        <v>108</v>
      </c>
      <c r="I1560" s="77" t="s">
        <v>84</v>
      </c>
      <c r="J1560" s="471" cm="1">
        <f t="array" ref="J1560:J1562">Sensitivity!J89:J91</f>
        <v>9.3634951329599192E-4</v>
      </c>
    </row>
    <row r="1561" spans="1:10" x14ac:dyDescent="0.35">
      <c r="A1561" t="s">
        <v>13</v>
      </c>
      <c r="B1561" t="s">
        <v>39</v>
      </c>
      <c r="C1561" s="77" t="s">
        <v>73</v>
      </c>
      <c r="D1561" t="s">
        <v>81</v>
      </c>
      <c r="E1561" s="77" t="s">
        <v>104</v>
      </c>
      <c r="F1561" s="77" t="s">
        <v>73</v>
      </c>
      <c r="G1561" s="77" t="s">
        <v>74</v>
      </c>
      <c r="H1561" s="77" t="s">
        <v>108</v>
      </c>
      <c r="I1561" s="77" t="s">
        <v>84</v>
      </c>
      <c r="J1561" s="471">
        <v>5.3692979063570611E-4</v>
      </c>
    </row>
    <row r="1562" spans="1:10" x14ac:dyDescent="0.35">
      <c r="A1562" t="s">
        <v>13</v>
      </c>
      <c r="B1562" t="s">
        <v>39</v>
      </c>
      <c r="C1562" s="77" t="s">
        <v>73</v>
      </c>
      <c r="D1562" t="s">
        <v>81</v>
      </c>
      <c r="E1562" s="77" t="s">
        <v>106</v>
      </c>
      <c r="F1562" s="77" t="s">
        <v>73</v>
      </c>
      <c r="G1562" s="77" t="s">
        <v>74</v>
      </c>
      <c r="H1562" s="77" t="s">
        <v>108</v>
      </c>
      <c r="I1562" s="77" t="s">
        <v>84</v>
      </c>
      <c r="J1562" s="471">
        <v>7.9808069606830158E-4</v>
      </c>
    </row>
    <row r="1563" spans="1:10" x14ac:dyDescent="0.35">
      <c r="A1563" t="s">
        <v>13</v>
      </c>
      <c r="B1563" t="s">
        <v>39</v>
      </c>
      <c r="C1563" s="77" t="s">
        <v>88</v>
      </c>
      <c r="D1563" t="s">
        <v>81</v>
      </c>
      <c r="E1563" s="77" t="s">
        <v>118</v>
      </c>
      <c r="F1563" s="77" t="s">
        <v>73</v>
      </c>
      <c r="G1563" s="77" t="s">
        <v>74</v>
      </c>
      <c r="H1563" s="77" t="s">
        <v>108</v>
      </c>
      <c r="I1563" s="77" t="s">
        <v>84</v>
      </c>
      <c r="J1563" s="76" cm="1">
        <f t="array" ref="J1563:J1565">'SUT_EU27 total'!$K$38:$K$40</f>
        <v>3.3029309855227888E-2</v>
      </c>
    </row>
    <row r="1564" spans="1:10" x14ac:dyDescent="0.35">
      <c r="A1564" t="s">
        <v>13</v>
      </c>
      <c r="B1564" t="s">
        <v>39</v>
      </c>
      <c r="C1564" s="77" t="s">
        <v>88</v>
      </c>
      <c r="D1564" t="s">
        <v>81</v>
      </c>
      <c r="E1564" s="77" t="s">
        <v>119</v>
      </c>
      <c r="F1564" s="77" t="s">
        <v>73</v>
      </c>
      <c r="G1564" s="77" t="s">
        <v>74</v>
      </c>
      <c r="H1564" s="77" t="s">
        <v>108</v>
      </c>
      <c r="I1564" s="77" t="s">
        <v>84</v>
      </c>
      <c r="J1564" s="76">
        <v>6.9915569300335089E-3</v>
      </c>
    </row>
    <row r="1565" spans="1:10" x14ac:dyDescent="0.35">
      <c r="A1565" t="s">
        <v>13</v>
      </c>
      <c r="B1565" t="s">
        <v>39</v>
      </c>
      <c r="C1565" s="77" t="s">
        <v>88</v>
      </c>
      <c r="D1565" t="s">
        <v>81</v>
      </c>
      <c r="E1565" s="77" t="s">
        <v>120</v>
      </c>
      <c r="F1565" s="77" t="s">
        <v>73</v>
      </c>
      <c r="G1565" s="77" t="s">
        <v>74</v>
      </c>
      <c r="H1565" s="77" t="s">
        <v>108</v>
      </c>
      <c r="I1565" s="77" t="s">
        <v>84</v>
      </c>
      <c r="J1565" s="76">
        <v>1.5283979779928203E-3</v>
      </c>
    </row>
    <row r="1566" spans="1:10" x14ac:dyDescent="0.35">
      <c r="A1566" t="s">
        <v>13</v>
      </c>
      <c r="B1566" t="s">
        <v>39</v>
      </c>
      <c r="C1566" s="77" t="s">
        <v>88</v>
      </c>
      <c r="D1566" t="s">
        <v>81</v>
      </c>
      <c r="E1566" s="77" t="s">
        <v>121</v>
      </c>
      <c r="F1566" s="77" t="s">
        <v>73</v>
      </c>
      <c r="G1566" s="77" t="s">
        <v>74</v>
      </c>
      <c r="H1566" s="77" t="s">
        <v>108</v>
      </c>
      <c r="I1566" s="77" t="s">
        <v>84</v>
      </c>
      <c r="J1566" s="76">
        <f>'SUT_EU27 total'!$K$42</f>
        <v>0</v>
      </c>
    </row>
    <row r="1567" spans="1:10" x14ac:dyDescent="0.35">
      <c r="A1567" t="s">
        <v>13</v>
      </c>
      <c r="B1567" t="s">
        <v>39</v>
      </c>
      <c r="C1567" s="77" t="s">
        <v>88</v>
      </c>
      <c r="D1567" t="s">
        <v>81</v>
      </c>
      <c r="E1567" s="77" t="s">
        <v>117</v>
      </c>
      <c r="F1567" s="77" t="s">
        <v>73</v>
      </c>
      <c r="G1567" s="77" t="s">
        <v>74</v>
      </c>
      <c r="H1567" s="77" t="s">
        <v>108</v>
      </c>
      <c r="I1567" s="77" t="s">
        <v>84</v>
      </c>
      <c r="J1567" s="76">
        <f>'SUT_EU27 total'!$K$44</f>
        <v>9.9090099874062521E-4</v>
      </c>
    </row>
    <row r="1568" spans="1:10" x14ac:dyDescent="0.35">
      <c r="A1568" t="s">
        <v>13</v>
      </c>
      <c r="B1568" t="s">
        <v>39</v>
      </c>
      <c r="C1568" s="77" t="s">
        <v>88</v>
      </c>
      <c r="D1568" t="s">
        <v>81</v>
      </c>
      <c r="E1568" s="77" t="s">
        <v>122</v>
      </c>
      <c r="F1568" s="77" t="s">
        <v>73</v>
      </c>
      <c r="G1568" s="77" t="s">
        <v>74</v>
      </c>
      <c r="H1568" s="77" t="s">
        <v>108</v>
      </c>
      <c r="I1568" s="77" t="s">
        <v>84</v>
      </c>
      <c r="J1568" s="76">
        <f>'SUT_EU27 total'!$K$47</f>
        <v>0</v>
      </c>
    </row>
    <row r="1569" spans="1:10" x14ac:dyDescent="0.35">
      <c r="A1569" t="s">
        <v>13</v>
      </c>
      <c r="B1569" t="s">
        <v>39</v>
      </c>
      <c r="C1569" s="77" t="s">
        <v>88</v>
      </c>
      <c r="D1569" t="s">
        <v>81</v>
      </c>
      <c r="E1569" s="77" t="s">
        <v>101</v>
      </c>
      <c r="F1569" s="77" t="s">
        <v>73</v>
      </c>
      <c r="G1569" s="77" t="s">
        <v>74</v>
      </c>
      <c r="H1569" s="77" t="s">
        <v>108</v>
      </c>
      <c r="I1569" s="77" t="s">
        <v>84</v>
      </c>
      <c r="J1569" s="76" cm="1">
        <f t="array" ref="J1569:J1571">'SUT_EU27 total'!$K$49:$K$51</f>
        <v>0</v>
      </c>
    </row>
    <row r="1570" spans="1:10" x14ac:dyDescent="0.35">
      <c r="A1570" t="s">
        <v>13</v>
      </c>
      <c r="B1570" t="s">
        <v>39</v>
      </c>
      <c r="C1570" s="77" t="s">
        <v>88</v>
      </c>
      <c r="D1570" t="s">
        <v>81</v>
      </c>
      <c r="E1570" s="77" t="s">
        <v>104</v>
      </c>
      <c r="F1570" s="77" t="s">
        <v>73</v>
      </c>
      <c r="G1570" s="77" t="s">
        <v>74</v>
      </c>
      <c r="H1570" s="77" t="s">
        <v>108</v>
      </c>
      <c r="I1570" s="77" t="s">
        <v>84</v>
      </c>
      <c r="J1570" s="76">
        <v>0</v>
      </c>
    </row>
    <row r="1571" spans="1:10" x14ac:dyDescent="0.35">
      <c r="A1571" t="s">
        <v>13</v>
      </c>
      <c r="B1571" t="s">
        <v>39</v>
      </c>
      <c r="C1571" s="77" t="s">
        <v>88</v>
      </c>
      <c r="D1571" t="s">
        <v>81</v>
      </c>
      <c r="E1571" s="77" t="s">
        <v>106</v>
      </c>
      <c r="F1571" s="77" t="s">
        <v>73</v>
      </c>
      <c r="G1571" s="77" t="s">
        <v>74</v>
      </c>
      <c r="H1571" s="77" t="s">
        <v>108</v>
      </c>
      <c r="I1571" s="77" t="s">
        <v>84</v>
      </c>
      <c r="J1571" s="76">
        <v>0</v>
      </c>
    </row>
    <row r="1572" spans="1:10" x14ac:dyDescent="0.35">
      <c r="A1572" t="s">
        <v>13</v>
      </c>
      <c r="B1572" t="s">
        <v>39</v>
      </c>
      <c r="C1572" s="77" t="s">
        <v>90</v>
      </c>
      <c r="D1572" t="s">
        <v>81</v>
      </c>
      <c r="E1572" s="77" t="s">
        <v>118</v>
      </c>
      <c r="F1572" s="77" t="s">
        <v>73</v>
      </c>
      <c r="G1572" s="77" t="s">
        <v>74</v>
      </c>
      <c r="H1572" s="77" t="s">
        <v>108</v>
      </c>
      <c r="I1572" s="77" t="s">
        <v>84</v>
      </c>
      <c r="J1572" s="76" cm="1">
        <f t="array" ref="J1572:J1574">'SUT_EU27 total'!$K$55:$K$57</f>
        <v>4.323194595174263E-3</v>
      </c>
    </row>
    <row r="1573" spans="1:10" x14ac:dyDescent="0.35">
      <c r="A1573" t="s">
        <v>13</v>
      </c>
      <c r="B1573" t="s">
        <v>39</v>
      </c>
      <c r="C1573" s="77" t="s">
        <v>90</v>
      </c>
      <c r="D1573" t="s">
        <v>81</v>
      </c>
      <c r="E1573" s="77" t="s">
        <v>119</v>
      </c>
      <c r="F1573" s="77" t="s">
        <v>73</v>
      </c>
      <c r="G1573" s="77" t="s">
        <v>74</v>
      </c>
      <c r="H1573" s="77" t="s">
        <v>108</v>
      </c>
      <c r="I1573" s="77" t="s">
        <v>84</v>
      </c>
      <c r="J1573" s="76">
        <v>1.2800331672655335E-3</v>
      </c>
    </row>
    <row r="1574" spans="1:10" x14ac:dyDescent="0.35">
      <c r="A1574" t="s">
        <v>13</v>
      </c>
      <c r="B1574" t="s">
        <v>39</v>
      </c>
      <c r="C1574" s="77" t="s">
        <v>90</v>
      </c>
      <c r="D1574" t="s">
        <v>81</v>
      </c>
      <c r="E1574" s="77" t="s">
        <v>120</v>
      </c>
      <c r="F1574" s="77" t="s">
        <v>73</v>
      </c>
      <c r="G1574" s="77" t="s">
        <v>74</v>
      </c>
      <c r="H1574" s="77" t="s">
        <v>108</v>
      </c>
      <c r="I1574" s="77" t="s">
        <v>84</v>
      </c>
      <c r="J1574" s="76">
        <v>5.6700291220540041E-3</v>
      </c>
    </row>
    <row r="1575" spans="1:10" x14ac:dyDescent="0.35">
      <c r="A1575" t="s">
        <v>13</v>
      </c>
      <c r="B1575" t="s">
        <v>39</v>
      </c>
      <c r="C1575" s="77" t="s">
        <v>90</v>
      </c>
      <c r="D1575" t="s">
        <v>81</v>
      </c>
      <c r="E1575" s="77" t="s">
        <v>121</v>
      </c>
      <c r="F1575" s="77" t="s">
        <v>73</v>
      </c>
      <c r="G1575" s="77" t="s">
        <v>74</v>
      </c>
      <c r="H1575" s="77" t="s">
        <v>108</v>
      </c>
      <c r="I1575" s="77" t="s">
        <v>84</v>
      </c>
      <c r="J1575" s="76">
        <f>'SUT_EU27 total'!$K$59</f>
        <v>0</v>
      </c>
    </row>
    <row r="1576" spans="1:10" x14ac:dyDescent="0.35">
      <c r="A1576" t="s">
        <v>13</v>
      </c>
      <c r="B1576" t="s">
        <v>39</v>
      </c>
      <c r="C1576" s="77" t="s">
        <v>90</v>
      </c>
      <c r="D1576" t="s">
        <v>81</v>
      </c>
      <c r="E1576" s="77" t="s">
        <v>117</v>
      </c>
      <c r="F1576" s="77" t="s">
        <v>73</v>
      </c>
      <c r="G1576" s="77" t="s">
        <v>74</v>
      </c>
      <c r="H1576" s="77" t="s">
        <v>108</v>
      </c>
      <c r="I1576" s="77" t="s">
        <v>84</v>
      </c>
      <c r="J1576" s="76">
        <f>'SUT_EU27 total'!$K$61</f>
        <v>1.1930979242119881E-3</v>
      </c>
    </row>
    <row r="1577" spans="1:10" x14ac:dyDescent="0.35">
      <c r="A1577" t="s">
        <v>13</v>
      </c>
      <c r="B1577" t="s">
        <v>39</v>
      </c>
      <c r="C1577" s="77" t="s">
        <v>90</v>
      </c>
      <c r="D1577" t="s">
        <v>81</v>
      </c>
      <c r="E1577" s="77" t="s">
        <v>122</v>
      </c>
      <c r="F1577" s="77" t="s">
        <v>73</v>
      </c>
      <c r="G1577" s="77" t="s">
        <v>74</v>
      </c>
      <c r="H1577" s="77" t="s">
        <v>108</v>
      </c>
      <c r="I1577" s="77" t="s">
        <v>84</v>
      </c>
      <c r="J1577" s="76">
        <f>'SUT_EU27 total'!$K$64</f>
        <v>2.5776238002378116E-3</v>
      </c>
    </row>
    <row r="1578" spans="1:10" x14ac:dyDescent="0.35">
      <c r="A1578" t="s">
        <v>13</v>
      </c>
      <c r="B1578" t="s">
        <v>39</v>
      </c>
      <c r="C1578" s="77" t="s">
        <v>90</v>
      </c>
      <c r="D1578" t="s">
        <v>81</v>
      </c>
      <c r="E1578" s="77" t="s">
        <v>101</v>
      </c>
      <c r="F1578" s="77" t="s">
        <v>73</v>
      </c>
      <c r="G1578" s="77" t="s">
        <v>74</v>
      </c>
      <c r="H1578" s="77" t="s">
        <v>108</v>
      </c>
      <c r="I1578" s="77" t="s">
        <v>84</v>
      </c>
      <c r="J1578" s="76" cm="1">
        <f t="array" ref="J1578:J1580">'SUT_EU27 total'!$K$66:$K$68</f>
        <v>0</v>
      </c>
    </row>
    <row r="1579" spans="1:10" x14ac:dyDescent="0.35">
      <c r="A1579" t="s">
        <v>13</v>
      </c>
      <c r="B1579" t="s">
        <v>39</v>
      </c>
      <c r="C1579" s="77" t="s">
        <v>90</v>
      </c>
      <c r="D1579" t="s">
        <v>81</v>
      </c>
      <c r="E1579" s="77" t="s">
        <v>104</v>
      </c>
      <c r="F1579" s="77" t="s">
        <v>73</v>
      </c>
      <c r="G1579" s="77" t="s">
        <v>74</v>
      </c>
      <c r="H1579" s="77" t="s">
        <v>108</v>
      </c>
      <c r="I1579" s="77" t="s">
        <v>84</v>
      </c>
      <c r="J1579" s="76">
        <v>0</v>
      </c>
    </row>
    <row r="1580" spans="1:10" x14ac:dyDescent="0.35">
      <c r="A1580" t="s">
        <v>13</v>
      </c>
      <c r="B1580" t="s">
        <v>39</v>
      </c>
      <c r="C1580" s="77" t="s">
        <v>90</v>
      </c>
      <c r="D1580" t="s">
        <v>81</v>
      </c>
      <c r="E1580" s="77" t="s">
        <v>106</v>
      </c>
      <c r="F1580" s="77" t="s">
        <v>73</v>
      </c>
      <c r="G1580" s="77" t="s">
        <v>74</v>
      </c>
      <c r="H1580" s="77" t="s">
        <v>108</v>
      </c>
      <c r="I1580" s="77" t="s">
        <v>84</v>
      </c>
      <c r="J1580" s="76">
        <v>0</v>
      </c>
    </row>
    <row r="1581" spans="1:10" x14ac:dyDescent="0.35">
      <c r="A1581" t="s">
        <v>13</v>
      </c>
      <c r="B1581" t="s">
        <v>39</v>
      </c>
      <c r="C1581" s="77" t="s">
        <v>91</v>
      </c>
      <c r="D1581" t="s">
        <v>81</v>
      </c>
      <c r="E1581" s="77" t="s">
        <v>118</v>
      </c>
      <c r="F1581" s="77" t="s">
        <v>73</v>
      </c>
      <c r="G1581" s="77" t="s">
        <v>74</v>
      </c>
      <c r="H1581" s="77" t="s">
        <v>108</v>
      </c>
      <c r="I1581" s="77" t="s">
        <v>84</v>
      </c>
      <c r="J1581" s="76" cm="1">
        <f t="array" ref="J1581:J1583">'SUT_EU27 total'!$K$72:$K$74</f>
        <v>5.3791732332439677E-3</v>
      </c>
    </row>
    <row r="1582" spans="1:10" x14ac:dyDescent="0.35">
      <c r="A1582" t="s">
        <v>13</v>
      </c>
      <c r="B1582" t="s">
        <v>39</v>
      </c>
      <c r="C1582" s="77" t="s">
        <v>91</v>
      </c>
      <c r="D1582" t="s">
        <v>81</v>
      </c>
      <c r="E1582" s="77" t="s">
        <v>119</v>
      </c>
      <c r="F1582" s="77" t="s">
        <v>73</v>
      </c>
      <c r="G1582" s="77" t="s">
        <v>74</v>
      </c>
      <c r="H1582" s="77" t="s">
        <v>108</v>
      </c>
      <c r="I1582" s="77" t="s">
        <v>84</v>
      </c>
      <c r="J1582" s="76">
        <v>6.5526133182607291E-3</v>
      </c>
    </row>
    <row r="1583" spans="1:10" x14ac:dyDescent="0.35">
      <c r="A1583" t="s">
        <v>13</v>
      </c>
      <c r="B1583" t="s">
        <v>39</v>
      </c>
      <c r="C1583" s="77" t="s">
        <v>91</v>
      </c>
      <c r="D1583" t="s">
        <v>81</v>
      </c>
      <c r="E1583" s="77" t="s">
        <v>120</v>
      </c>
      <c r="F1583" s="77" t="s">
        <v>73</v>
      </c>
      <c r="G1583" s="77" t="s">
        <v>74</v>
      </c>
      <c r="H1583" s="77" t="s">
        <v>108</v>
      </c>
      <c r="I1583" s="77" t="s">
        <v>84</v>
      </c>
      <c r="J1583" s="76">
        <v>2.464950959887623E-4</v>
      </c>
    </row>
    <row r="1584" spans="1:10" x14ac:dyDescent="0.35">
      <c r="A1584" t="s">
        <v>13</v>
      </c>
      <c r="B1584" t="s">
        <v>39</v>
      </c>
      <c r="C1584" s="77" t="s">
        <v>91</v>
      </c>
      <c r="D1584" t="s">
        <v>81</v>
      </c>
      <c r="E1584" s="77" t="s">
        <v>121</v>
      </c>
      <c r="F1584" s="77" t="s">
        <v>73</v>
      </c>
      <c r="G1584" s="77" t="s">
        <v>74</v>
      </c>
      <c r="H1584" s="77" t="s">
        <v>108</v>
      </c>
      <c r="I1584" s="77" t="s">
        <v>84</v>
      </c>
      <c r="J1584" s="76">
        <f>'SUT_EU27 total'!$K$76</f>
        <v>0</v>
      </c>
    </row>
    <row r="1585" spans="1:10" x14ac:dyDescent="0.35">
      <c r="A1585" t="s">
        <v>13</v>
      </c>
      <c r="B1585" t="s">
        <v>39</v>
      </c>
      <c r="C1585" s="77" t="s">
        <v>91</v>
      </c>
      <c r="D1585" t="s">
        <v>81</v>
      </c>
      <c r="E1585" s="77" t="s">
        <v>117</v>
      </c>
      <c r="F1585" s="77" t="s">
        <v>73</v>
      </c>
      <c r="G1585" s="77" t="s">
        <v>74</v>
      </c>
      <c r="H1585" s="77" t="s">
        <v>108</v>
      </c>
      <c r="I1585" s="77" t="s">
        <v>84</v>
      </c>
      <c r="J1585" s="76">
        <f>'SUT_EU27 total'!$K$78</f>
        <v>1.1485683451306521E-3</v>
      </c>
    </row>
    <row r="1586" spans="1:10" x14ac:dyDescent="0.35">
      <c r="A1586" t="s">
        <v>13</v>
      </c>
      <c r="B1586" t="s">
        <v>39</v>
      </c>
      <c r="C1586" s="77" t="s">
        <v>91</v>
      </c>
      <c r="D1586" t="s">
        <v>81</v>
      </c>
      <c r="E1586" s="77" t="s">
        <v>122</v>
      </c>
      <c r="F1586" s="77" t="s">
        <v>73</v>
      </c>
      <c r="G1586" s="77" t="s">
        <v>74</v>
      </c>
      <c r="H1586" s="77" t="s">
        <v>108</v>
      </c>
      <c r="I1586" s="77" t="s">
        <v>84</v>
      </c>
      <c r="J1586" s="76">
        <f>'SUT_EU27 total'!$K$81</f>
        <v>0</v>
      </c>
    </row>
    <row r="1587" spans="1:10" x14ac:dyDescent="0.35">
      <c r="A1587" t="s">
        <v>13</v>
      </c>
      <c r="B1587" t="s">
        <v>39</v>
      </c>
      <c r="C1587" s="77" t="s">
        <v>91</v>
      </c>
      <c r="D1587" t="s">
        <v>81</v>
      </c>
      <c r="E1587" s="77" t="s">
        <v>101</v>
      </c>
      <c r="F1587" s="77" t="s">
        <v>73</v>
      </c>
      <c r="G1587" s="77" t="s">
        <v>74</v>
      </c>
      <c r="H1587" s="77" t="s">
        <v>108</v>
      </c>
      <c r="I1587" s="77" t="s">
        <v>84</v>
      </c>
      <c r="J1587" s="76" cm="1">
        <f t="array" ref="J1587:J1589">'SUT_EU27 total'!$K$83:$K$85</f>
        <v>0</v>
      </c>
    </row>
    <row r="1588" spans="1:10" x14ac:dyDescent="0.35">
      <c r="A1588" t="s">
        <v>13</v>
      </c>
      <c r="B1588" t="s">
        <v>39</v>
      </c>
      <c r="C1588" s="77" t="s">
        <v>91</v>
      </c>
      <c r="D1588" t="s">
        <v>81</v>
      </c>
      <c r="E1588" s="77" t="s">
        <v>104</v>
      </c>
      <c r="F1588" s="77" t="s">
        <v>73</v>
      </c>
      <c r="G1588" s="77" t="s">
        <v>74</v>
      </c>
      <c r="H1588" s="77" t="s">
        <v>108</v>
      </c>
      <c r="I1588" s="77" t="s">
        <v>84</v>
      </c>
      <c r="J1588" s="76">
        <v>0</v>
      </c>
    </row>
    <row r="1589" spans="1:10" x14ac:dyDescent="0.35">
      <c r="A1589" t="s">
        <v>13</v>
      </c>
      <c r="B1589" t="s">
        <v>39</v>
      </c>
      <c r="C1589" s="77" t="s">
        <v>91</v>
      </c>
      <c r="D1589" t="s">
        <v>81</v>
      </c>
      <c r="E1589" s="77" t="s">
        <v>106</v>
      </c>
      <c r="F1589" s="77" t="s">
        <v>73</v>
      </c>
      <c r="G1589" s="77" t="s">
        <v>74</v>
      </c>
      <c r="H1589" s="77" t="s">
        <v>108</v>
      </c>
      <c r="I1589" s="77" t="s">
        <v>84</v>
      </c>
      <c r="J1589" s="76">
        <v>0</v>
      </c>
    </row>
    <row r="1590" spans="1:10" x14ac:dyDescent="0.35">
      <c r="A1590" t="s">
        <v>13</v>
      </c>
      <c r="B1590" t="s">
        <v>39</v>
      </c>
      <c r="C1590" s="77" t="s">
        <v>92</v>
      </c>
      <c r="D1590" t="s">
        <v>81</v>
      </c>
      <c r="E1590" s="77" t="s">
        <v>118</v>
      </c>
      <c r="F1590" s="77" t="s">
        <v>73</v>
      </c>
      <c r="G1590" s="77" t="s">
        <v>74</v>
      </c>
      <c r="H1590" s="77" t="s">
        <v>108</v>
      </c>
      <c r="I1590" s="77" t="s">
        <v>84</v>
      </c>
      <c r="J1590" s="76" cm="1">
        <f t="array" ref="J1590:J1592">'SUT_EU27 total'!$K$89:$K$91</f>
        <v>3.3497344343163542E-3</v>
      </c>
    </row>
    <row r="1591" spans="1:10" x14ac:dyDescent="0.35">
      <c r="A1591" t="s">
        <v>13</v>
      </c>
      <c r="B1591" t="s">
        <v>39</v>
      </c>
      <c r="C1591" s="77" t="s">
        <v>92</v>
      </c>
      <c r="D1591" t="s">
        <v>81</v>
      </c>
      <c r="E1591" s="77" t="s">
        <v>119</v>
      </c>
      <c r="F1591" s="77" t="s">
        <v>73</v>
      </c>
      <c r="G1591" s="77" t="s">
        <v>74</v>
      </c>
      <c r="H1591" s="77" t="s">
        <v>108</v>
      </c>
      <c r="I1591" s="77" t="s">
        <v>84</v>
      </c>
      <c r="J1591" s="76">
        <v>6.0269323460777589E-3</v>
      </c>
    </row>
    <row r="1592" spans="1:10" x14ac:dyDescent="0.35">
      <c r="A1592" t="s">
        <v>13</v>
      </c>
      <c r="B1592" t="s">
        <v>39</v>
      </c>
      <c r="C1592" s="77" t="s">
        <v>92</v>
      </c>
      <c r="D1592" t="s">
        <v>81</v>
      </c>
      <c r="E1592" s="77" t="s">
        <v>120</v>
      </c>
      <c r="F1592" s="77" t="s">
        <v>73</v>
      </c>
      <c r="G1592" s="77" t="s">
        <v>74</v>
      </c>
      <c r="H1592" s="77" t="s">
        <v>108</v>
      </c>
      <c r="I1592" s="77" t="s">
        <v>84</v>
      </c>
      <c r="J1592" s="76">
        <v>4.0947713992508196E-3</v>
      </c>
    </row>
    <row r="1593" spans="1:10" x14ac:dyDescent="0.35">
      <c r="A1593" t="s">
        <v>13</v>
      </c>
      <c r="B1593" t="s">
        <v>39</v>
      </c>
      <c r="C1593" s="77" t="s">
        <v>92</v>
      </c>
      <c r="D1593" t="s">
        <v>81</v>
      </c>
      <c r="E1593" s="77" t="s">
        <v>121</v>
      </c>
      <c r="F1593" s="77" t="s">
        <v>73</v>
      </c>
      <c r="G1593" s="77" t="s">
        <v>74</v>
      </c>
      <c r="H1593" s="77" t="s">
        <v>108</v>
      </c>
      <c r="I1593" s="77" t="s">
        <v>84</v>
      </c>
      <c r="J1593" s="76">
        <f>'SUT_EU27 total'!$K$93</f>
        <v>0</v>
      </c>
    </row>
    <row r="1594" spans="1:10" x14ac:dyDescent="0.35">
      <c r="A1594" t="s">
        <v>13</v>
      </c>
      <c r="B1594" t="s">
        <v>39</v>
      </c>
      <c r="C1594" s="77" t="s">
        <v>92</v>
      </c>
      <c r="D1594" t="s">
        <v>81</v>
      </c>
      <c r="E1594" s="77" t="s">
        <v>117</v>
      </c>
      <c r="F1594" s="77" t="s">
        <v>73</v>
      </c>
      <c r="G1594" s="77" t="s">
        <v>74</v>
      </c>
      <c r="H1594" s="77" t="s">
        <v>108</v>
      </c>
      <c r="I1594" s="77" t="s">
        <v>84</v>
      </c>
      <c r="J1594" s="76">
        <f>'SUT_EU27 total'!$K$95</f>
        <v>0</v>
      </c>
    </row>
    <row r="1595" spans="1:10" x14ac:dyDescent="0.35">
      <c r="A1595" t="s">
        <v>13</v>
      </c>
      <c r="B1595" t="s">
        <v>39</v>
      </c>
      <c r="C1595" s="77" t="s">
        <v>92</v>
      </c>
      <c r="D1595" t="s">
        <v>81</v>
      </c>
      <c r="E1595" s="77" t="s">
        <v>122</v>
      </c>
      <c r="F1595" s="77" t="s">
        <v>73</v>
      </c>
      <c r="G1595" s="77" t="s">
        <v>74</v>
      </c>
      <c r="H1595" s="77" t="s">
        <v>108</v>
      </c>
      <c r="I1595" s="77" t="s">
        <v>84</v>
      </c>
      <c r="J1595" s="76">
        <f>'SUT_EU27 total'!$K$98</f>
        <v>0</v>
      </c>
    </row>
    <row r="1596" spans="1:10" x14ac:dyDescent="0.35">
      <c r="A1596" t="s">
        <v>13</v>
      </c>
      <c r="B1596" t="s">
        <v>39</v>
      </c>
      <c r="C1596" s="77" t="s">
        <v>92</v>
      </c>
      <c r="D1596" t="s">
        <v>81</v>
      </c>
      <c r="E1596" s="77" t="s">
        <v>101</v>
      </c>
      <c r="F1596" s="77" t="s">
        <v>73</v>
      </c>
      <c r="G1596" s="77" t="s">
        <v>74</v>
      </c>
      <c r="H1596" s="77" t="s">
        <v>108</v>
      </c>
      <c r="I1596" s="77" t="s">
        <v>84</v>
      </c>
      <c r="J1596" s="76" cm="1">
        <f t="array" ref="J1596:J1598">'SUT_EU27 total'!$K$100:$K$102</f>
        <v>0</v>
      </c>
    </row>
    <row r="1597" spans="1:10" x14ac:dyDescent="0.35">
      <c r="A1597" t="s">
        <v>13</v>
      </c>
      <c r="B1597" t="s">
        <v>39</v>
      </c>
      <c r="C1597" s="77" t="s">
        <v>92</v>
      </c>
      <c r="D1597" t="s">
        <v>81</v>
      </c>
      <c r="E1597" s="77" t="s">
        <v>104</v>
      </c>
      <c r="F1597" s="77" t="s">
        <v>73</v>
      </c>
      <c r="G1597" s="77" t="s">
        <v>74</v>
      </c>
      <c r="H1597" s="77" t="s">
        <v>108</v>
      </c>
      <c r="I1597" s="77" t="s">
        <v>84</v>
      </c>
      <c r="J1597" s="76">
        <v>0</v>
      </c>
    </row>
    <row r="1598" spans="1:10" x14ac:dyDescent="0.35">
      <c r="A1598" t="s">
        <v>13</v>
      </c>
      <c r="B1598" t="s">
        <v>39</v>
      </c>
      <c r="C1598" s="77" t="s">
        <v>92</v>
      </c>
      <c r="D1598" t="s">
        <v>81</v>
      </c>
      <c r="E1598" s="77" t="s">
        <v>106</v>
      </c>
      <c r="F1598" s="77" t="s">
        <v>73</v>
      </c>
      <c r="G1598" s="77" t="s">
        <v>74</v>
      </c>
      <c r="H1598" s="77" t="s">
        <v>108</v>
      </c>
      <c r="I1598" s="77" t="s">
        <v>84</v>
      </c>
      <c r="J1598" s="76">
        <v>0</v>
      </c>
    </row>
    <row r="1599" spans="1:10" x14ac:dyDescent="0.35">
      <c r="A1599" t="s">
        <v>13</v>
      </c>
      <c r="B1599" t="s">
        <v>39</v>
      </c>
      <c r="C1599" s="77" t="s">
        <v>93</v>
      </c>
      <c r="D1599" t="s">
        <v>81</v>
      </c>
      <c r="E1599" s="77" t="s">
        <v>118</v>
      </c>
      <c r="F1599" s="77" t="s">
        <v>73</v>
      </c>
      <c r="G1599" s="77" t="s">
        <v>74</v>
      </c>
      <c r="H1599" s="77" t="s">
        <v>108</v>
      </c>
      <c r="I1599" s="77" t="s">
        <v>84</v>
      </c>
      <c r="J1599" s="76" cm="1">
        <f t="array" ref="J1599:J1601">'SUT_EU27 total'!$K$106:$K$108</f>
        <v>1.4980971667560324E-2</v>
      </c>
    </row>
    <row r="1600" spans="1:10" x14ac:dyDescent="0.35">
      <c r="A1600" t="s">
        <v>13</v>
      </c>
      <c r="B1600" t="s">
        <v>39</v>
      </c>
      <c r="C1600" s="77" t="s">
        <v>93</v>
      </c>
      <c r="D1600" t="s">
        <v>81</v>
      </c>
      <c r="E1600" s="77" t="s">
        <v>119</v>
      </c>
      <c r="F1600" s="77" t="s">
        <v>73</v>
      </c>
      <c r="G1600" s="77" t="s">
        <v>74</v>
      </c>
      <c r="H1600" s="77" t="s">
        <v>108</v>
      </c>
      <c r="I1600" s="77" t="s">
        <v>84</v>
      </c>
      <c r="J1600" s="76">
        <v>4.3405477873147885E-2</v>
      </c>
    </row>
    <row r="1601" spans="1:10" x14ac:dyDescent="0.35">
      <c r="A1601" t="s">
        <v>13</v>
      </c>
      <c r="B1601" t="s">
        <v>39</v>
      </c>
      <c r="C1601" s="77" t="s">
        <v>93</v>
      </c>
      <c r="D1601" t="s">
        <v>81</v>
      </c>
      <c r="E1601" s="77" t="s">
        <v>120</v>
      </c>
      <c r="F1601" s="77" t="s">
        <v>73</v>
      </c>
      <c r="G1601" s="77" t="s">
        <v>74</v>
      </c>
      <c r="H1601" s="77" t="s">
        <v>108</v>
      </c>
      <c r="I1601" s="77" t="s">
        <v>84</v>
      </c>
      <c r="J1601" s="76">
        <v>2.1237093113781802E-2</v>
      </c>
    </row>
    <row r="1602" spans="1:10" x14ac:dyDescent="0.35">
      <c r="A1602" t="s">
        <v>13</v>
      </c>
      <c r="B1602" t="s">
        <v>39</v>
      </c>
      <c r="C1602" s="77" t="s">
        <v>93</v>
      </c>
      <c r="D1602" t="s">
        <v>81</v>
      </c>
      <c r="E1602" s="77" t="s">
        <v>121</v>
      </c>
      <c r="F1602" s="77" t="s">
        <v>73</v>
      </c>
      <c r="G1602" s="77" t="s">
        <v>74</v>
      </c>
      <c r="H1602" s="77" t="s">
        <v>108</v>
      </c>
      <c r="I1602" s="77" t="s">
        <v>84</v>
      </c>
      <c r="J1602" s="76">
        <f>'SUT_EU27 total'!$K$110</f>
        <v>0</v>
      </c>
    </row>
    <row r="1603" spans="1:10" x14ac:dyDescent="0.35">
      <c r="A1603" t="s">
        <v>13</v>
      </c>
      <c r="B1603" t="s">
        <v>39</v>
      </c>
      <c r="C1603" s="77" t="s">
        <v>93</v>
      </c>
      <c r="D1603" t="s">
        <v>81</v>
      </c>
      <c r="E1603" s="77" t="s">
        <v>117</v>
      </c>
      <c r="F1603" s="77" t="s">
        <v>73</v>
      </c>
      <c r="G1603" s="77" t="s">
        <v>74</v>
      </c>
      <c r="H1603" s="77" t="s">
        <v>108</v>
      </c>
      <c r="I1603" s="77" t="s">
        <v>84</v>
      </c>
      <c r="J1603" s="76">
        <f>'SUT_EU27 total'!$K$112</f>
        <v>1.1930984723440377E-3</v>
      </c>
    </row>
    <row r="1604" spans="1:10" x14ac:dyDescent="0.35">
      <c r="A1604" t="s">
        <v>13</v>
      </c>
      <c r="B1604" t="s">
        <v>39</v>
      </c>
      <c r="C1604" s="77" t="s">
        <v>93</v>
      </c>
      <c r="D1604" t="s">
        <v>81</v>
      </c>
      <c r="E1604" s="77" t="s">
        <v>122</v>
      </c>
      <c r="F1604" s="77" t="s">
        <v>73</v>
      </c>
      <c r="G1604" s="77" t="s">
        <v>74</v>
      </c>
      <c r="H1604" s="77" t="s">
        <v>108</v>
      </c>
      <c r="I1604" s="77" t="s">
        <v>84</v>
      </c>
      <c r="J1604" s="76">
        <f>'SUT_EU27 total'!$K$115</f>
        <v>8.7987828585017833E-3</v>
      </c>
    </row>
    <row r="1605" spans="1:10" x14ac:dyDescent="0.35">
      <c r="A1605" t="s">
        <v>13</v>
      </c>
      <c r="B1605" t="s">
        <v>39</v>
      </c>
      <c r="C1605" s="77" t="s">
        <v>93</v>
      </c>
      <c r="D1605" t="s">
        <v>81</v>
      </c>
      <c r="E1605" s="77" t="s">
        <v>101</v>
      </c>
      <c r="F1605" s="77" t="s">
        <v>73</v>
      </c>
      <c r="G1605" s="77" t="s">
        <v>74</v>
      </c>
      <c r="H1605" s="77" t="s">
        <v>108</v>
      </c>
      <c r="I1605" s="77" t="s">
        <v>84</v>
      </c>
      <c r="J1605" s="76" cm="1">
        <f t="array" ref="J1605:J1607">'SUT_EU27 total'!$K$117:$K$119</f>
        <v>0</v>
      </c>
    </row>
    <row r="1606" spans="1:10" x14ac:dyDescent="0.35">
      <c r="A1606" t="s">
        <v>13</v>
      </c>
      <c r="B1606" t="s">
        <v>39</v>
      </c>
      <c r="C1606" s="77" t="s">
        <v>93</v>
      </c>
      <c r="D1606" t="s">
        <v>81</v>
      </c>
      <c r="E1606" s="77" t="s">
        <v>104</v>
      </c>
      <c r="F1606" s="77" t="s">
        <v>73</v>
      </c>
      <c r="G1606" s="77" t="s">
        <v>74</v>
      </c>
      <c r="H1606" s="77" t="s">
        <v>108</v>
      </c>
      <c r="I1606" s="77" t="s">
        <v>84</v>
      </c>
      <c r="J1606" s="76">
        <v>0</v>
      </c>
    </row>
    <row r="1607" spans="1:10" x14ac:dyDescent="0.35">
      <c r="A1607" t="s">
        <v>13</v>
      </c>
      <c r="B1607" t="s">
        <v>39</v>
      </c>
      <c r="C1607" s="77" t="s">
        <v>93</v>
      </c>
      <c r="D1607" t="s">
        <v>81</v>
      </c>
      <c r="E1607" s="77" t="s">
        <v>106</v>
      </c>
      <c r="F1607" s="77" t="s">
        <v>73</v>
      </c>
      <c r="G1607" s="77" t="s">
        <v>74</v>
      </c>
      <c r="H1607" s="77" t="s">
        <v>108</v>
      </c>
      <c r="I1607" s="77" t="s">
        <v>84</v>
      </c>
      <c r="J1607" s="76">
        <v>0</v>
      </c>
    </row>
    <row r="1608" spans="1:10" x14ac:dyDescent="0.35">
      <c r="A1608" t="s">
        <v>13</v>
      </c>
      <c r="B1608" t="s">
        <v>39</v>
      </c>
      <c r="C1608" s="77" t="s">
        <v>73</v>
      </c>
      <c r="D1608" t="s">
        <v>81</v>
      </c>
      <c r="E1608" s="77" t="s">
        <v>119</v>
      </c>
      <c r="F1608" s="77" t="s">
        <v>73</v>
      </c>
      <c r="G1608" s="77" t="s">
        <v>74</v>
      </c>
      <c r="H1608" s="77" t="s">
        <v>123</v>
      </c>
      <c r="I1608" s="77" t="s">
        <v>84</v>
      </c>
      <c r="J1608" s="76">
        <f>'SUT_EU27 total'!$L$22</f>
        <v>1.9500181678711294E-2</v>
      </c>
    </row>
    <row r="1609" spans="1:10" x14ac:dyDescent="0.35">
      <c r="A1609" t="s">
        <v>13</v>
      </c>
      <c r="B1609" t="s">
        <v>39</v>
      </c>
      <c r="C1609" s="77" t="s">
        <v>73</v>
      </c>
      <c r="D1609" t="s">
        <v>81</v>
      </c>
      <c r="E1609" s="77" t="s">
        <v>124</v>
      </c>
      <c r="F1609" s="77" t="s">
        <v>73</v>
      </c>
      <c r="G1609" s="77" t="s">
        <v>74</v>
      </c>
      <c r="H1609" s="77" t="s">
        <v>123</v>
      </c>
      <c r="I1609" s="77" t="s">
        <v>84</v>
      </c>
      <c r="J1609" s="76" cm="1">
        <f t="array" ref="J1609:J1614">'SUT_EU27 total'!$L$26:$L$31</f>
        <v>1.9404661061278542E-3</v>
      </c>
    </row>
    <row r="1610" spans="1:10" x14ac:dyDescent="0.35">
      <c r="A1610" t="s">
        <v>13</v>
      </c>
      <c r="B1610" t="s">
        <v>39</v>
      </c>
      <c r="C1610" s="77" t="s">
        <v>73</v>
      </c>
      <c r="D1610" t="s">
        <v>81</v>
      </c>
      <c r="E1610" s="77" t="s">
        <v>117</v>
      </c>
      <c r="F1610" s="77" t="s">
        <v>73</v>
      </c>
      <c r="G1610" s="77" t="s">
        <v>74</v>
      </c>
      <c r="H1610" s="77" t="s">
        <v>123</v>
      </c>
      <c r="I1610" s="77" t="s">
        <v>84</v>
      </c>
      <c r="J1610" s="76">
        <v>5.8423628191201782E-3</v>
      </c>
    </row>
    <row r="1611" spans="1:10" x14ac:dyDescent="0.35">
      <c r="A1611" t="s">
        <v>13</v>
      </c>
      <c r="B1611" t="s">
        <v>39</v>
      </c>
      <c r="C1611" s="77" t="s">
        <v>73</v>
      </c>
      <c r="D1611" t="s">
        <v>81</v>
      </c>
      <c r="E1611" s="77" t="s">
        <v>82</v>
      </c>
      <c r="F1611" s="77" t="s">
        <v>73</v>
      </c>
      <c r="G1611" s="77" t="s">
        <v>74</v>
      </c>
      <c r="H1611" s="77" t="s">
        <v>123</v>
      </c>
      <c r="I1611" s="77" t="s">
        <v>84</v>
      </c>
      <c r="J1611" s="76">
        <v>4.8981233243967828E-4</v>
      </c>
    </row>
    <row r="1612" spans="1:10" x14ac:dyDescent="0.35">
      <c r="A1612" t="s">
        <v>13</v>
      </c>
      <c r="B1612" t="s">
        <v>39</v>
      </c>
      <c r="C1612" s="77" t="s">
        <v>73</v>
      </c>
      <c r="D1612" t="s">
        <v>81</v>
      </c>
      <c r="E1612" s="77" t="s">
        <v>125</v>
      </c>
      <c r="F1612" s="77" t="s">
        <v>73</v>
      </c>
      <c r="G1612" s="77" t="s">
        <v>74</v>
      </c>
      <c r="H1612" s="77" t="s">
        <v>123</v>
      </c>
      <c r="I1612" s="77" t="s">
        <v>84</v>
      </c>
      <c r="J1612" s="76">
        <v>2.4658201215687387E-3</v>
      </c>
    </row>
    <row r="1613" spans="1:10" x14ac:dyDescent="0.35">
      <c r="A1613" t="s">
        <v>13</v>
      </c>
      <c r="B1613" t="s">
        <v>39</v>
      </c>
      <c r="C1613" s="77" t="s">
        <v>73</v>
      </c>
      <c r="D1613" t="s">
        <v>81</v>
      </c>
      <c r="E1613" s="77" t="s">
        <v>122</v>
      </c>
      <c r="F1613" s="77" t="s">
        <v>73</v>
      </c>
      <c r="G1613" s="77" t="s">
        <v>74</v>
      </c>
      <c r="H1613" s="77" t="s">
        <v>123</v>
      </c>
      <c r="I1613" s="77" t="s">
        <v>84</v>
      </c>
      <c r="J1613" s="76">
        <v>4.922711058263972E-4</v>
      </c>
    </row>
    <row r="1614" spans="1:10" x14ac:dyDescent="0.35">
      <c r="A1614" t="s">
        <v>13</v>
      </c>
      <c r="B1614" t="s">
        <v>39</v>
      </c>
      <c r="C1614" s="77" t="s">
        <v>73</v>
      </c>
      <c r="D1614" t="s">
        <v>81</v>
      </c>
      <c r="E1614" s="77" t="s">
        <v>126</v>
      </c>
      <c r="F1614" s="77" t="s">
        <v>73</v>
      </c>
      <c r="G1614" s="77" t="s">
        <v>74</v>
      </c>
      <c r="H1614" s="77" t="s">
        <v>123</v>
      </c>
      <c r="I1614" s="77" t="s">
        <v>84</v>
      </c>
      <c r="J1614" s="76">
        <v>0</v>
      </c>
    </row>
    <row r="1615" spans="1:10" x14ac:dyDescent="0.35">
      <c r="A1615" t="s">
        <v>13</v>
      </c>
      <c r="B1615" t="s">
        <v>39</v>
      </c>
      <c r="C1615" s="77" t="s">
        <v>73</v>
      </c>
      <c r="D1615" t="s">
        <v>81</v>
      </c>
      <c r="E1615" s="77" t="s">
        <v>101</v>
      </c>
      <c r="F1615" s="77" t="s">
        <v>73</v>
      </c>
      <c r="G1615" s="77" t="s">
        <v>74</v>
      </c>
      <c r="H1615" s="77" t="s">
        <v>123</v>
      </c>
      <c r="I1615" s="77" t="s">
        <v>84</v>
      </c>
      <c r="J1615" s="471" cm="1">
        <f t="array" ref="J1615:J1617">Sensitivity!J92:J94</f>
        <v>1.4567715973119188E-3</v>
      </c>
    </row>
    <row r="1616" spans="1:10" x14ac:dyDescent="0.35">
      <c r="A1616" t="s">
        <v>13</v>
      </c>
      <c r="B1616" t="s">
        <v>39</v>
      </c>
      <c r="C1616" s="77" t="s">
        <v>73</v>
      </c>
      <c r="D1616" t="s">
        <v>81</v>
      </c>
      <c r="E1616" s="77" t="s">
        <v>104</v>
      </c>
      <c r="F1616" s="77" t="s">
        <v>73</v>
      </c>
      <c r="G1616" s="77" t="s">
        <v>74</v>
      </c>
      <c r="H1616" s="77" t="s">
        <v>123</v>
      </c>
      <c r="I1616" s="77" t="s">
        <v>84</v>
      </c>
      <c r="J1616" s="471">
        <v>8.3535480890614125E-4</v>
      </c>
    </row>
    <row r="1617" spans="1:10" x14ac:dyDescent="0.35">
      <c r="A1617" t="s">
        <v>13</v>
      </c>
      <c r="B1617" t="s">
        <v>39</v>
      </c>
      <c r="C1617" s="77" t="s">
        <v>73</v>
      </c>
      <c r="D1617" t="s">
        <v>81</v>
      </c>
      <c r="E1617" s="77" t="s">
        <v>106</v>
      </c>
      <c r="F1617" s="77" t="s">
        <v>73</v>
      </c>
      <c r="G1617" s="77" t="s">
        <v>74</v>
      </c>
      <c r="H1617" s="77" t="s">
        <v>123</v>
      </c>
      <c r="I1617" s="77" t="s">
        <v>84</v>
      </c>
      <c r="J1617" s="471">
        <v>1.2416531155153262E-3</v>
      </c>
    </row>
    <row r="1618" spans="1:10" x14ac:dyDescent="0.35">
      <c r="A1618" t="s">
        <v>13</v>
      </c>
      <c r="B1618" t="s">
        <v>39</v>
      </c>
      <c r="C1618" s="77" t="s">
        <v>88</v>
      </c>
      <c r="D1618" t="s">
        <v>81</v>
      </c>
      <c r="E1618" s="77" t="s">
        <v>119</v>
      </c>
      <c r="F1618" s="77" t="s">
        <v>73</v>
      </c>
      <c r="G1618" s="77" t="s">
        <v>74</v>
      </c>
      <c r="H1618" s="77" t="s">
        <v>123</v>
      </c>
      <c r="I1618" s="77" t="s">
        <v>84</v>
      </c>
      <c r="J1618" s="76">
        <f>'SUT_EU27 total'!$L$39</f>
        <v>0.16108845734587587</v>
      </c>
    </row>
    <row r="1619" spans="1:10" x14ac:dyDescent="0.35">
      <c r="A1619" t="s">
        <v>13</v>
      </c>
      <c r="B1619" t="s">
        <v>39</v>
      </c>
      <c r="C1619" s="77" t="s">
        <v>88</v>
      </c>
      <c r="D1619" t="s">
        <v>81</v>
      </c>
      <c r="E1619" s="77" t="s">
        <v>124</v>
      </c>
      <c r="F1619" s="77" t="s">
        <v>73</v>
      </c>
      <c r="G1619" s="77" t="s">
        <v>74</v>
      </c>
      <c r="H1619" s="77" t="s">
        <v>123</v>
      </c>
      <c r="I1619" s="77" t="s">
        <v>84</v>
      </c>
      <c r="J1619" s="76" cm="1">
        <f t="array" ref="J1619:J1627">'SUT_EU27 total'!$M$43:$M$51</f>
        <v>5.0558836222750793E-4</v>
      </c>
    </row>
    <row r="1620" spans="1:10" x14ac:dyDescent="0.35">
      <c r="A1620" t="s">
        <v>13</v>
      </c>
      <c r="B1620" t="s">
        <v>39</v>
      </c>
      <c r="C1620" s="77" t="s">
        <v>88</v>
      </c>
      <c r="D1620" t="s">
        <v>81</v>
      </c>
      <c r="E1620" s="77" t="s">
        <v>117</v>
      </c>
      <c r="F1620" s="77" t="s">
        <v>73</v>
      </c>
      <c r="G1620" s="77" t="s">
        <v>74</v>
      </c>
      <c r="H1620" s="77" t="s">
        <v>123</v>
      </c>
      <c r="I1620" s="77" t="s">
        <v>84</v>
      </c>
      <c r="J1620" s="76">
        <v>4.8514464106651379E-3</v>
      </c>
    </row>
    <row r="1621" spans="1:10" x14ac:dyDescent="0.35">
      <c r="A1621" t="s">
        <v>13</v>
      </c>
      <c r="B1621" t="s">
        <v>39</v>
      </c>
      <c r="C1621" s="77" t="s">
        <v>88</v>
      </c>
      <c r="D1621" t="s">
        <v>81</v>
      </c>
      <c r="E1621" s="77" t="s">
        <v>82</v>
      </c>
      <c r="F1621" s="77" t="s">
        <v>73</v>
      </c>
      <c r="G1621" s="77" t="s">
        <v>74</v>
      </c>
      <c r="H1621" s="77" t="s">
        <v>123</v>
      </c>
      <c r="I1621" s="77" t="s">
        <v>84</v>
      </c>
      <c r="J1621" s="76">
        <v>1.109418436791091E-2</v>
      </c>
    </row>
    <row r="1622" spans="1:10" x14ac:dyDescent="0.35">
      <c r="A1622" t="s">
        <v>13</v>
      </c>
      <c r="B1622" t="s">
        <v>39</v>
      </c>
      <c r="C1622" s="77" t="s">
        <v>88</v>
      </c>
      <c r="D1622" t="s">
        <v>81</v>
      </c>
      <c r="E1622" s="77" t="s">
        <v>125</v>
      </c>
      <c r="F1622" s="77" t="s">
        <v>73</v>
      </c>
      <c r="G1622" s="77" t="s">
        <v>74</v>
      </c>
      <c r="H1622" s="77" t="s">
        <v>123</v>
      </c>
      <c r="I1622" s="77" t="s">
        <v>84</v>
      </c>
      <c r="J1622" s="76">
        <v>2.890870278990243E-5</v>
      </c>
    </row>
    <row r="1623" spans="1:10" x14ac:dyDescent="0.35">
      <c r="A1623" t="s">
        <v>13</v>
      </c>
      <c r="B1623" t="s">
        <v>39</v>
      </c>
      <c r="C1623" s="77" t="s">
        <v>88</v>
      </c>
      <c r="D1623" t="s">
        <v>81</v>
      </c>
      <c r="E1623" s="77" t="s">
        <v>122</v>
      </c>
      <c r="F1623" s="77" t="s">
        <v>73</v>
      </c>
      <c r="G1623" s="77" t="s">
        <v>74</v>
      </c>
      <c r="H1623" s="77" t="s">
        <v>123</v>
      </c>
      <c r="I1623" s="77" t="s">
        <v>84</v>
      </c>
      <c r="J1623" s="76">
        <v>0</v>
      </c>
    </row>
    <row r="1624" spans="1:10" x14ac:dyDescent="0.35">
      <c r="A1624" t="s">
        <v>13</v>
      </c>
      <c r="B1624" t="s">
        <v>39</v>
      </c>
      <c r="C1624" s="77" t="s">
        <v>88</v>
      </c>
      <c r="D1624" t="s">
        <v>81</v>
      </c>
      <c r="E1624" s="77" t="s">
        <v>126</v>
      </c>
      <c r="F1624" s="77" t="s">
        <v>73</v>
      </c>
      <c r="G1624" s="77" t="s">
        <v>74</v>
      </c>
      <c r="H1624" s="77" t="s">
        <v>123</v>
      </c>
      <c r="I1624" s="77" t="s">
        <v>84</v>
      </c>
      <c r="J1624" s="76">
        <v>2.8514320987501449E-3</v>
      </c>
    </row>
    <row r="1625" spans="1:10" x14ac:dyDescent="0.35">
      <c r="A1625" t="s">
        <v>13</v>
      </c>
      <c r="B1625" t="s">
        <v>39</v>
      </c>
      <c r="C1625" s="77" t="s">
        <v>88</v>
      </c>
      <c r="D1625" t="s">
        <v>81</v>
      </c>
      <c r="E1625" s="77" t="s">
        <v>101</v>
      </c>
      <c r="F1625" s="77" t="s">
        <v>73</v>
      </c>
      <c r="G1625" s="77" t="s">
        <v>74</v>
      </c>
      <c r="H1625" s="77" t="s">
        <v>123</v>
      </c>
      <c r="I1625" s="77" t="s">
        <v>84</v>
      </c>
      <c r="J1625" s="76">
        <v>0</v>
      </c>
    </row>
    <row r="1626" spans="1:10" x14ac:dyDescent="0.35">
      <c r="A1626" t="s">
        <v>13</v>
      </c>
      <c r="B1626" t="s">
        <v>39</v>
      </c>
      <c r="C1626" s="77" t="s">
        <v>88</v>
      </c>
      <c r="D1626" t="s">
        <v>81</v>
      </c>
      <c r="E1626" s="77" t="s">
        <v>104</v>
      </c>
      <c r="F1626" s="77" t="s">
        <v>73</v>
      </c>
      <c r="G1626" s="77" t="s">
        <v>74</v>
      </c>
      <c r="H1626" s="77" t="s">
        <v>123</v>
      </c>
      <c r="I1626" s="77" t="s">
        <v>84</v>
      </c>
      <c r="J1626" s="76">
        <v>0</v>
      </c>
    </row>
    <row r="1627" spans="1:10" x14ac:dyDescent="0.35">
      <c r="A1627" t="s">
        <v>13</v>
      </c>
      <c r="B1627" t="s">
        <v>39</v>
      </c>
      <c r="C1627" s="77" t="s">
        <v>88</v>
      </c>
      <c r="D1627" t="s">
        <v>81</v>
      </c>
      <c r="E1627" s="77" t="s">
        <v>106</v>
      </c>
      <c r="F1627" s="77" t="s">
        <v>73</v>
      </c>
      <c r="G1627" s="77" t="s">
        <v>74</v>
      </c>
      <c r="H1627" s="77" t="s">
        <v>123</v>
      </c>
      <c r="I1627" s="77" t="s">
        <v>84</v>
      </c>
      <c r="J1627" s="76">
        <v>0</v>
      </c>
    </row>
    <row r="1628" spans="1:10" x14ac:dyDescent="0.35">
      <c r="A1628" t="s">
        <v>13</v>
      </c>
      <c r="B1628" t="s">
        <v>39</v>
      </c>
      <c r="C1628" s="77" t="s">
        <v>90</v>
      </c>
      <c r="D1628" t="s">
        <v>81</v>
      </c>
      <c r="E1628" s="77" t="s">
        <v>119</v>
      </c>
      <c r="F1628" s="77" t="s">
        <v>73</v>
      </c>
      <c r="G1628" s="77" t="s">
        <v>74</v>
      </c>
      <c r="H1628" s="77" t="s">
        <v>123</v>
      </c>
      <c r="I1628" s="77" t="s">
        <v>84</v>
      </c>
      <c r="J1628" s="76">
        <f>'SUT_EU27 total'!$M$56</f>
        <v>2.949251079979006E-2</v>
      </c>
    </row>
    <row r="1629" spans="1:10" x14ac:dyDescent="0.35">
      <c r="A1629" t="s">
        <v>13</v>
      </c>
      <c r="B1629" t="s">
        <v>39</v>
      </c>
      <c r="C1629" s="77" t="s">
        <v>90</v>
      </c>
      <c r="D1629" t="s">
        <v>81</v>
      </c>
      <c r="E1629" s="77" t="s">
        <v>124</v>
      </c>
      <c r="F1629" s="77" t="s">
        <v>73</v>
      </c>
      <c r="G1629" s="77" t="s">
        <v>74</v>
      </c>
      <c r="H1629" s="77" t="s">
        <v>123</v>
      </c>
      <c r="I1629" s="77" t="s">
        <v>84</v>
      </c>
      <c r="J1629" s="76" cm="1">
        <f t="array" ref="J1629:J1637">'SUT_EU27 total'!$L$60:$L$68</f>
        <v>2.1047443073980527E-5</v>
      </c>
    </row>
    <row r="1630" spans="1:10" x14ac:dyDescent="0.35">
      <c r="A1630" t="s">
        <v>13</v>
      </c>
      <c r="B1630" t="s">
        <v>39</v>
      </c>
      <c r="C1630" s="77" t="s">
        <v>90</v>
      </c>
      <c r="D1630" t="s">
        <v>81</v>
      </c>
      <c r="E1630" s="77" t="s">
        <v>117</v>
      </c>
      <c r="F1630" s="77" t="s">
        <v>73</v>
      </c>
      <c r="G1630" s="77" t="s">
        <v>74</v>
      </c>
      <c r="H1630" s="77" t="s">
        <v>123</v>
      </c>
      <c r="I1630" s="77" t="s">
        <v>84</v>
      </c>
      <c r="J1630" s="76">
        <v>5.8414015621608938E-3</v>
      </c>
    </row>
    <row r="1631" spans="1:10" x14ac:dyDescent="0.35">
      <c r="A1631" t="s">
        <v>13</v>
      </c>
      <c r="B1631" t="s">
        <v>39</v>
      </c>
      <c r="C1631" s="77" t="s">
        <v>90</v>
      </c>
      <c r="D1631" t="s">
        <v>81</v>
      </c>
      <c r="E1631" s="77" t="s">
        <v>82</v>
      </c>
      <c r="F1631" s="77" t="s">
        <v>73</v>
      </c>
      <c r="G1631" s="77" t="s">
        <v>74</v>
      </c>
      <c r="H1631" s="77" t="s">
        <v>123</v>
      </c>
      <c r="I1631" s="77" t="s">
        <v>84</v>
      </c>
      <c r="J1631" s="76">
        <v>1.4521138379047227E-3</v>
      </c>
    </row>
    <row r="1632" spans="1:10" x14ac:dyDescent="0.35">
      <c r="A1632" t="s">
        <v>13</v>
      </c>
      <c r="B1632" t="s">
        <v>39</v>
      </c>
      <c r="C1632" s="77" t="s">
        <v>90</v>
      </c>
      <c r="D1632" t="s">
        <v>81</v>
      </c>
      <c r="E1632" s="77" t="s">
        <v>125</v>
      </c>
      <c r="F1632" s="77" t="s">
        <v>73</v>
      </c>
      <c r="G1632" s="77" t="s">
        <v>74</v>
      </c>
      <c r="H1632" s="77" t="s">
        <v>123</v>
      </c>
      <c r="I1632" s="77" t="s">
        <v>84</v>
      </c>
      <c r="J1632" s="76">
        <v>6.5130870114372285E-5</v>
      </c>
    </row>
    <row r="1633" spans="1:10" x14ac:dyDescent="0.35">
      <c r="A1633" t="s">
        <v>13</v>
      </c>
      <c r="B1633" t="s">
        <v>39</v>
      </c>
      <c r="C1633" s="77" t="s">
        <v>90</v>
      </c>
      <c r="D1633" t="s">
        <v>81</v>
      </c>
      <c r="E1633" s="77" t="s">
        <v>122</v>
      </c>
      <c r="F1633" s="77" t="s">
        <v>73</v>
      </c>
      <c r="G1633" s="77" t="s">
        <v>74</v>
      </c>
      <c r="H1633" s="77" t="s">
        <v>123</v>
      </c>
      <c r="I1633" s="77" t="s">
        <v>84</v>
      </c>
      <c r="J1633" s="76">
        <v>7.9476813317479189E-4</v>
      </c>
    </row>
    <row r="1634" spans="1:10" x14ac:dyDescent="0.35">
      <c r="A1634" t="s">
        <v>13</v>
      </c>
      <c r="B1634" t="s">
        <v>39</v>
      </c>
      <c r="C1634" s="77" t="s">
        <v>90</v>
      </c>
      <c r="D1634" t="s">
        <v>81</v>
      </c>
      <c r="E1634" s="77" t="s">
        <v>126</v>
      </c>
      <c r="F1634" s="77" t="s">
        <v>73</v>
      </c>
      <c r="G1634" s="77" t="s">
        <v>74</v>
      </c>
      <c r="H1634" s="77" t="s">
        <v>123</v>
      </c>
      <c r="I1634" s="77" t="s">
        <v>84</v>
      </c>
      <c r="J1634" s="76">
        <v>8.4821183458843076E-3</v>
      </c>
    </row>
    <row r="1635" spans="1:10" x14ac:dyDescent="0.35">
      <c r="A1635" t="s">
        <v>13</v>
      </c>
      <c r="B1635" t="s">
        <v>39</v>
      </c>
      <c r="C1635" s="77" t="s">
        <v>90</v>
      </c>
      <c r="D1635" t="s">
        <v>81</v>
      </c>
      <c r="E1635" s="77" t="s">
        <v>101</v>
      </c>
      <c r="F1635" s="77" t="s">
        <v>73</v>
      </c>
      <c r="G1635" s="77" t="s">
        <v>74</v>
      </c>
      <c r="H1635" s="77" t="s">
        <v>123</v>
      </c>
      <c r="I1635" s="77" t="s">
        <v>84</v>
      </c>
      <c r="J1635" s="76">
        <v>0</v>
      </c>
    </row>
    <row r="1636" spans="1:10" x14ac:dyDescent="0.35">
      <c r="A1636" t="s">
        <v>13</v>
      </c>
      <c r="B1636" t="s">
        <v>39</v>
      </c>
      <c r="C1636" s="77" t="s">
        <v>90</v>
      </c>
      <c r="D1636" t="s">
        <v>81</v>
      </c>
      <c r="E1636" s="77" t="s">
        <v>104</v>
      </c>
      <c r="F1636" s="77" t="s">
        <v>73</v>
      </c>
      <c r="G1636" s="77" t="s">
        <v>74</v>
      </c>
      <c r="H1636" s="77" t="s">
        <v>123</v>
      </c>
      <c r="I1636" s="77" t="s">
        <v>84</v>
      </c>
      <c r="J1636" s="76">
        <v>0</v>
      </c>
    </row>
    <row r="1637" spans="1:10" x14ac:dyDescent="0.35">
      <c r="A1637" t="s">
        <v>13</v>
      </c>
      <c r="B1637" t="s">
        <v>39</v>
      </c>
      <c r="C1637" s="77" t="s">
        <v>90</v>
      </c>
      <c r="D1637" t="s">
        <v>81</v>
      </c>
      <c r="E1637" s="77" t="s">
        <v>106</v>
      </c>
      <c r="F1637" s="77" t="s">
        <v>73</v>
      </c>
      <c r="G1637" s="77" t="s">
        <v>74</v>
      </c>
      <c r="H1637" s="77" t="s">
        <v>123</v>
      </c>
      <c r="I1637" s="77" t="s">
        <v>84</v>
      </c>
      <c r="J1637" s="76">
        <v>0</v>
      </c>
    </row>
    <row r="1638" spans="1:10" x14ac:dyDescent="0.35">
      <c r="A1638" t="s">
        <v>13</v>
      </c>
      <c r="B1638" t="s">
        <v>39</v>
      </c>
      <c r="C1638" s="77" t="s">
        <v>91</v>
      </c>
      <c r="D1638" t="s">
        <v>81</v>
      </c>
      <c r="E1638" s="77" t="s">
        <v>119</v>
      </c>
      <c r="F1638" s="77" t="s">
        <v>73</v>
      </c>
      <c r="G1638" s="77" t="s">
        <v>74</v>
      </c>
      <c r="H1638" s="77" t="s">
        <v>123</v>
      </c>
      <c r="I1638" s="77" t="s">
        <v>84</v>
      </c>
      <c r="J1638" s="76">
        <f>'SUT_EU27 total'!$L$73</f>
        <v>0.15097500908393557</v>
      </c>
    </row>
    <row r="1639" spans="1:10" x14ac:dyDescent="0.35">
      <c r="A1639" t="s">
        <v>13</v>
      </c>
      <c r="B1639" t="s">
        <v>39</v>
      </c>
      <c r="C1639" s="77" t="s">
        <v>91</v>
      </c>
      <c r="D1639" t="s">
        <v>81</v>
      </c>
      <c r="E1639" s="77" t="s">
        <v>124</v>
      </c>
      <c r="F1639" s="77" t="s">
        <v>73</v>
      </c>
      <c r="G1639" s="77" t="s">
        <v>74</v>
      </c>
      <c r="H1639" s="77" t="s">
        <v>123</v>
      </c>
      <c r="I1639" s="77" t="s">
        <v>84</v>
      </c>
      <c r="J1639" s="76" cm="1">
        <f t="array" ref="J1639:J1647">'SUT_EU27 total'!$L$77:$L$85</f>
        <v>6.7728942399646885E-5</v>
      </c>
    </row>
    <row r="1640" spans="1:10" x14ac:dyDescent="0.35">
      <c r="A1640" t="s">
        <v>13</v>
      </c>
      <c r="B1640" t="s">
        <v>39</v>
      </c>
      <c r="C1640" s="77" t="s">
        <v>91</v>
      </c>
      <c r="D1640" t="s">
        <v>81</v>
      </c>
      <c r="E1640" s="77" t="s">
        <v>117</v>
      </c>
      <c r="F1640" s="77" t="s">
        <v>73</v>
      </c>
      <c r="G1640" s="77" t="s">
        <v>74</v>
      </c>
      <c r="H1640" s="77" t="s">
        <v>123</v>
      </c>
      <c r="I1640" s="77" t="s">
        <v>84</v>
      </c>
      <c r="J1640" s="76">
        <v>5.6233849622410815E-3</v>
      </c>
    </row>
    <row r="1641" spans="1:10" x14ac:dyDescent="0.35">
      <c r="A1641" t="s">
        <v>13</v>
      </c>
      <c r="B1641" t="s">
        <v>39</v>
      </c>
      <c r="C1641" s="77" t="s">
        <v>91</v>
      </c>
      <c r="D1641" t="s">
        <v>81</v>
      </c>
      <c r="E1641" s="77" t="s">
        <v>82</v>
      </c>
      <c r="F1641" s="77" t="s">
        <v>73</v>
      </c>
      <c r="G1641" s="77" t="s">
        <v>74</v>
      </c>
      <c r="H1641" s="77" t="s">
        <v>123</v>
      </c>
      <c r="I1641" s="77" t="s">
        <v>84</v>
      </c>
      <c r="J1641" s="76">
        <v>1.8068055269127655E-3</v>
      </c>
    </row>
    <row r="1642" spans="1:10" x14ac:dyDescent="0.35">
      <c r="A1642" t="s">
        <v>13</v>
      </c>
      <c r="B1642" t="s">
        <v>39</v>
      </c>
      <c r="C1642" s="77" t="s">
        <v>91</v>
      </c>
      <c r="D1642" t="s">
        <v>81</v>
      </c>
      <c r="E1642" s="77" t="s">
        <v>125</v>
      </c>
      <c r="F1642" s="77" t="s">
        <v>73</v>
      </c>
      <c r="G1642" s="77" t="s">
        <v>74</v>
      </c>
      <c r="H1642" s="77" t="s">
        <v>123</v>
      </c>
      <c r="I1642" s="77" t="s">
        <v>84</v>
      </c>
      <c r="J1642" s="76">
        <v>5.6492118062760293E-6</v>
      </c>
    </row>
    <row r="1643" spans="1:10" x14ac:dyDescent="0.35">
      <c r="A1643" t="s">
        <v>13</v>
      </c>
      <c r="B1643" t="s">
        <v>39</v>
      </c>
      <c r="C1643" s="77" t="s">
        <v>91</v>
      </c>
      <c r="D1643" t="s">
        <v>81</v>
      </c>
      <c r="E1643" s="77" t="s">
        <v>122</v>
      </c>
      <c r="F1643" s="77" t="s">
        <v>73</v>
      </c>
      <c r="G1643" s="77" t="s">
        <v>74</v>
      </c>
      <c r="H1643" s="77" t="s">
        <v>123</v>
      </c>
      <c r="I1643" s="77" t="s">
        <v>84</v>
      </c>
      <c r="J1643" s="76">
        <v>0</v>
      </c>
    </row>
    <row r="1644" spans="1:10" x14ac:dyDescent="0.35">
      <c r="A1644" t="s">
        <v>13</v>
      </c>
      <c r="B1644" t="s">
        <v>39</v>
      </c>
      <c r="C1644" s="77" t="s">
        <v>91</v>
      </c>
      <c r="D1644" t="s">
        <v>81</v>
      </c>
      <c r="E1644" s="77" t="s">
        <v>126</v>
      </c>
      <c r="F1644" s="77" t="s">
        <v>73</v>
      </c>
      <c r="G1644" s="77" t="s">
        <v>74</v>
      </c>
      <c r="H1644" s="77" t="s">
        <v>123</v>
      </c>
      <c r="I1644" s="77" t="s">
        <v>84</v>
      </c>
      <c r="J1644" s="76">
        <v>8.1093795177776388E-4</v>
      </c>
    </row>
    <row r="1645" spans="1:10" x14ac:dyDescent="0.35">
      <c r="A1645" t="s">
        <v>13</v>
      </c>
      <c r="B1645" t="s">
        <v>39</v>
      </c>
      <c r="C1645" s="77" t="s">
        <v>91</v>
      </c>
      <c r="D1645" t="s">
        <v>81</v>
      </c>
      <c r="E1645" s="77" t="s">
        <v>101</v>
      </c>
      <c r="F1645" s="77" t="s">
        <v>73</v>
      </c>
      <c r="G1645" s="77" t="s">
        <v>74</v>
      </c>
      <c r="H1645" s="77" t="s">
        <v>123</v>
      </c>
      <c r="I1645" s="77" t="s">
        <v>84</v>
      </c>
      <c r="J1645" s="76">
        <v>0</v>
      </c>
    </row>
    <row r="1646" spans="1:10" x14ac:dyDescent="0.35">
      <c r="A1646" t="s">
        <v>13</v>
      </c>
      <c r="B1646" t="s">
        <v>39</v>
      </c>
      <c r="C1646" s="77" t="s">
        <v>91</v>
      </c>
      <c r="D1646" t="s">
        <v>81</v>
      </c>
      <c r="E1646" s="77" t="s">
        <v>104</v>
      </c>
      <c r="F1646" s="77" t="s">
        <v>73</v>
      </c>
      <c r="G1646" s="77" t="s">
        <v>74</v>
      </c>
      <c r="H1646" s="77" t="s">
        <v>123</v>
      </c>
      <c r="I1646" s="77" t="s">
        <v>84</v>
      </c>
      <c r="J1646" s="76">
        <v>0</v>
      </c>
    </row>
    <row r="1647" spans="1:10" x14ac:dyDescent="0.35">
      <c r="A1647" t="s">
        <v>13</v>
      </c>
      <c r="B1647" t="s">
        <v>39</v>
      </c>
      <c r="C1647" s="77" t="s">
        <v>91</v>
      </c>
      <c r="D1647" t="s">
        <v>81</v>
      </c>
      <c r="E1647" s="77" t="s">
        <v>106</v>
      </c>
      <c r="F1647" s="77" t="s">
        <v>73</v>
      </c>
      <c r="G1647" s="77" t="s">
        <v>74</v>
      </c>
      <c r="H1647" s="77" t="s">
        <v>123</v>
      </c>
      <c r="I1647" s="77" t="s">
        <v>84</v>
      </c>
      <c r="J1647" s="76">
        <v>0</v>
      </c>
    </row>
    <row r="1648" spans="1:10" x14ac:dyDescent="0.35">
      <c r="A1648" t="s">
        <v>13</v>
      </c>
      <c r="B1648" t="s">
        <v>39</v>
      </c>
      <c r="C1648" s="77" t="s">
        <v>92</v>
      </c>
      <c r="D1648" t="s">
        <v>81</v>
      </c>
      <c r="E1648" s="77" t="s">
        <v>119</v>
      </c>
      <c r="F1648" s="77" t="s">
        <v>73</v>
      </c>
      <c r="G1648" s="77" t="s">
        <v>74</v>
      </c>
      <c r="H1648" s="77" t="s">
        <v>123</v>
      </c>
      <c r="I1648" s="77" t="s">
        <v>84</v>
      </c>
      <c r="J1648" s="76">
        <f>'SUT_EU27 total'!$L$90</f>
        <v>0.13886309499777949</v>
      </c>
    </row>
    <row r="1649" spans="1:10" x14ac:dyDescent="0.35">
      <c r="A1649" t="s">
        <v>13</v>
      </c>
      <c r="B1649" t="s">
        <v>39</v>
      </c>
      <c r="C1649" s="77" t="s">
        <v>92</v>
      </c>
      <c r="D1649" t="s">
        <v>81</v>
      </c>
      <c r="E1649" s="77" t="s">
        <v>124</v>
      </c>
      <c r="F1649" s="77" t="s">
        <v>73</v>
      </c>
      <c r="G1649" s="77" t="s">
        <v>74</v>
      </c>
      <c r="H1649" s="77" t="s">
        <v>123</v>
      </c>
      <c r="I1649" s="77" t="s">
        <v>84</v>
      </c>
      <c r="J1649" s="76" cm="1">
        <f t="array" ref="J1649:J1657">'SUT_EU27 total'!$L$94:$L$102</f>
        <v>9.2968907089085616E-5</v>
      </c>
    </row>
    <row r="1650" spans="1:10" x14ac:dyDescent="0.35">
      <c r="A1650" t="s">
        <v>13</v>
      </c>
      <c r="B1650" t="s">
        <v>39</v>
      </c>
      <c r="C1650" s="77" t="s">
        <v>92</v>
      </c>
      <c r="D1650" t="s">
        <v>81</v>
      </c>
      <c r="E1650" s="77" t="s">
        <v>117</v>
      </c>
      <c r="F1650" s="77" t="s">
        <v>73</v>
      </c>
      <c r="G1650" s="77" t="s">
        <v>74</v>
      </c>
      <c r="H1650" s="77" t="s">
        <v>123</v>
      </c>
      <c r="I1650" s="77" t="s">
        <v>84</v>
      </c>
      <c r="J1650" s="76">
        <v>0</v>
      </c>
    </row>
    <row r="1651" spans="1:10" x14ac:dyDescent="0.35">
      <c r="A1651" t="s">
        <v>13</v>
      </c>
      <c r="B1651" t="s">
        <v>39</v>
      </c>
      <c r="C1651" s="77" t="s">
        <v>92</v>
      </c>
      <c r="D1651" t="s">
        <v>81</v>
      </c>
      <c r="E1651" s="77" t="s">
        <v>82</v>
      </c>
      <c r="F1651" s="77" t="s">
        <v>73</v>
      </c>
      <c r="G1651" s="77" t="s">
        <v>74</v>
      </c>
      <c r="H1651" s="77" t="s">
        <v>123</v>
      </c>
      <c r="I1651" s="77" t="s">
        <v>84</v>
      </c>
      <c r="J1651" s="76">
        <v>1.1251392039595793E-3</v>
      </c>
    </row>
    <row r="1652" spans="1:10" x14ac:dyDescent="0.35">
      <c r="A1652" t="s">
        <v>13</v>
      </c>
      <c r="B1652" t="s">
        <v>39</v>
      </c>
      <c r="C1652" s="77" t="s">
        <v>92</v>
      </c>
      <c r="D1652" t="s">
        <v>81</v>
      </c>
      <c r="E1652" s="77" t="s">
        <v>125</v>
      </c>
      <c r="F1652" s="77" t="s">
        <v>73</v>
      </c>
      <c r="G1652" s="77" t="s">
        <v>74</v>
      </c>
      <c r="H1652" s="77" t="s">
        <v>123</v>
      </c>
      <c r="I1652" s="77" t="s">
        <v>84</v>
      </c>
      <c r="J1652" s="76">
        <v>5.0048817841215026E-7</v>
      </c>
    </row>
    <row r="1653" spans="1:10" x14ac:dyDescent="0.35">
      <c r="A1653" t="s">
        <v>13</v>
      </c>
      <c r="B1653" t="s">
        <v>39</v>
      </c>
      <c r="C1653" s="77" t="s">
        <v>92</v>
      </c>
      <c r="D1653" t="s">
        <v>81</v>
      </c>
      <c r="E1653" s="77" t="s">
        <v>122</v>
      </c>
      <c r="F1653" s="77" t="s">
        <v>73</v>
      </c>
      <c r="G1653" s="77" t="s">
        <v>74</v>
      </c>
      <c r="H1653" s="77" t="s">
        <v>123</v>
      </c>
      <c r="I1653" s="77" t="s">
        <v>84</v>
      </c>
      <c r="J1653" s="76">
        <v>0</v>
      </c>
    </row>
    <row r="1654" spans="1:10" x14ac:dyDescent="0.35">
      <c r="A1654" t="s">
        <v>13</v>
      </c>
      <c r="B1654" t="s">
        <v>39</v>
      </c>
      <c r="C1654" s="77" t="s">
        <v>92</v>
      </c>
      <c r="D1654" t="s">
        <v>81</v>
      </c>
      <c r="E1654" s="77" t="s">
        <v>126</v>
      </c>
      <c r="F1654" s="77" t="s">
        <v>73</v>
      </c>
      <c r="G1654" s="77" t="s">
        <v>74</v>
      </c>
      <c r="H1654" s="77" t="s">
        <v>123</v>
      </c>
      <c r="I1654" s="77" t="s">
        <v>84</v>
      </c>
      <c r="J1654" s="76">
        <v>0</v>
      </c>
    </row>
    <row r="1655" spans="1:10" x14ac:dyDescent="0.35">
      <c r="A1655" t="s">
        <v>13</v>
      </c>
      <c r="B1655" t="s">
        <v>39</v>
      </c>
      <c r="C1655" s="77" t="s">
        <v>92</v>
      </c>
      <c r="D1655" t="s">
        <v>81</v>
      </c>
      <c r="E1655" s="77" t="s">
        <v>101</v>
      </c>
      <c r="F1655" s="77" t="s">
        <v>73</v>
      </c>
      <c r="G1655" s="77" t="s">
        <v>74</v>
      </c>
      <c r="H1655" s="77" t="s">
        <v>123</v>
      </c>
      <c r="I1655" s="77" t="s">
        <v>84</v>
      </c>
      <c r="J1655" s="76">
        <v>0</v>
      </c>
    </row>
    <row r="1656" spans="1:10" x14ac:dyDescent="0.35">
      <c r="A1656" t="s">
        <v>13</v>
      </c>
      <c r="B1656" t="s">
        <v>39</v>
      </c>
      <c r="C1656" s="77" t="s">
        <v>92</v>
      </c>
      <c r="D1656" t="s">
        <v>81</v>
      </c>
      <c r="E1656" s="77" t="s">
        <v>104</v>
      </c>
      <c r="F1656" s="77" t="s">
        <v>73</v>
      </c>
      <c r="G1656" s="77" t="s">
        <v>74</v>
      </c>
      <c r="H1656" s="77" t="s">
        <v>123</v>
      </c>
      <c r="I1656" s="77" t="s">
        <v>84</v>
      </c>
      <c r="J1656" s="76">
        <v>0</v>
      </c>
    </row>
    <row r="1657" spans="1:10" x14ac:dyDescent="0.35">
      <c r="A1657" t="s">
        <v>13</v>
      </c>
      <c r="B1657" t="s">
        <v>39</v>
      </c>
      <c r="C1657" s="77" t="s">
        <v>92</v>
      </c>
      <c r="D1657" t="s">
        <v>81</v>
      </c>
      <c r="E1657" s="77" t="s">
        <v>106</v>
      </c>
      <c r="F1657" s="77" t="s">
        <v>73</v>
      </c>
      <c r="G1657" s="77" t="s">
        <v>74</v>
      </c>
      <c r="H1657" s="77" t="s">
        <v>123</v>
      </c>
      <c r="I1657" s="77" t="s">
        <v>84</v>
      </c>
      <c r="J1657" s="76">
        <v>0</v>
      </c>
    </row>
    <row r="1658" spans="1:10" x14ac:dyDescent="0.35">
      <c r="A1658" t="s">
        <v>13</v>
      </c>
      <c r="B1658" t="s">
        <v>39</v>
      </c>
      <c r="C1658" s="77" t="s">
        <v>93</v>
      </c>
      <c r="D1658" t="s">
        <v>81</v>
      </c>
      <c r="E1658" s="77" t="s">
        <v>119</v>
      </c>
      <c r="F1658" s="77" t="s">
        <v>73</v>
      </c>
      <c r="G1658" s="77" t="s">
        <v>74</v>
      </c>
      <c r="H1658" s="77" t="s">
        <v>123</v>
      </c>
      <c r="I1658" s="77" t="s">
        <v>84</v>
      </c>
      <c r="J1658" s="76">
        <f>'SUT_EU27 total'!$L$107</f>
        <v>1.0000807460939076</v>
      </c>
    </row>
    <row r="1659" spans="1:10" x14ac:dyDescent="0.35">
      <c r="A1659" t="s">
        <v>13</v>
      </c>
      <c r="B1659" t="s">
        <v>39</v>
      </c>
      <c r="C1659" s="77" t="s">
        <v>93</v>
      </c>
      <c r="D1659" t="s">
        <v>81</v>
      </c>
      <c r="E1659" s="77" t="s">
        <v>124</v>
      </c>
      <c r="F1659" s="77" t="s">
        <v>73</v>
      </c>
      <c r="G1659" s="77" t="s">
        <v>74</v>
      </c>
      <c r="H1659" s="77" t="s">
        <v>123</v>
      </c>
      <c r="I1659" s="77" t="s">
        <v>84</v>
      </c>
      <c r="J1659" s="76" cm="1">
        <f t="array" ref="J1659:J1667">'SUT_EU27 total'!$L$111:$L$119</f>
        <v>3.7052409430862396E-4</v>
      </c>
    </row>
    <row r="1660" spans="1:10" x14ac:dyDescent="0.35">
      <c r="A1660" t="s">
        <v>13</v>
      </c>
      <c r="B1660" t="s">
        <v>39</v>
      </c>
      <c r="C1660" s="77" t="s">
        <v>93</v>
      </c>
      <c r="D1660" t="s">
        <v>81</v>
      </c>
      <c r="E1660" s="77" t="s">
        <v>117</v>
      </c>
      <c r="F1660" s="77" t="s">
        <v>73</v>
      </c>
      <c r="G1660" s="77" t="s">
        <v>74</v>
      </c>
      <c r="H1660" s="77" t="s">
        <v>123</v>
      </c>
      <c r="I1660" s="77" t="s">
        <v>84</v>
      </c>
      <c r="J1660" s="76">
        <v>5.8414042458127093E-3</v>
      </c>
    </row>
    <row r="1661" spans="1:10" x14ac:dyDescent="0.35">
      <c r="A1661" t="s">
        <v>13</v>
      </c>
      <c r="B1661" t="s">
        <v>39</v>
      </c>
      <c r="C1661" s="77" t="s">
        <v>93</v>
      </c>
      <c r="D1661" t="s">
        <v>81</v>
      </c>
      <c r="E1661" s="77" t="s">
        <v>82</v>
      </c>
      <c r="F1661" s="77" t="s">
        <v>73</v>
      </c>
      <c r="G1661" s="77" t="s">
        <v>74</v>
      </c>
      <c r="H1661" s="77" t="s">
        <v>123</v>
      </c>
      <c r="I1661" s="77" t="s">
        <v>84</v>
      </c>
      <c r="J1661" s="76">
        <v>5.0319447308723453E-3</v>
      </c>
    </row>
    <row r="1662" spans="1:10" x14ac:dyDescent="0.35">
      <c r="A1662" t="s">
        <v>13</v>
      </c>
      <c r="B1662" t="s">
        <v>39</v>
      </c>
      <c r="C1662" s="77" t="s">
        <v>93</v>
      </c>
      <c r="D1662" t="s">
        <v>81</v>
      </c>
      <c r="E1662" s="77" t="s">
        <v>125</v>
      </c>
      <c r="F1662" s="77" t="s">
        <v>73</v>
      </c>
      <c r="G1662" s="77" t="s">
        <v>74</v>
      </c>
      <c r="H1662" s="77" t="s">
        <v>123</v>
      </c>
      <c r="I1662" s="77" t="s">
        <v>84</v>
      </c>
      <c r="J1662" s="76">
        <v>4.336096678710085E-4</v>
      </c>
    </row>
    <row r="1663" spans="1:10" x14ac:dyDescent="0.35">
      <c r="A1663" t="s">
        <v>13</v>
      </c>
      <c r="B1663" t="s">
        <v>39</v>
      </c>
      <c r="C1663" s="77" t="s">
        <v>93</v>
      </c>
      <c r="D1663" t="s">
        <v>81</v>
      </c>
      <c r="E1663" s="77" t="s">
        <v>122</v>
      </c>
      <c r="F1663" s="77" t="s">
        <v>73</v>
      </c>
      <c r="G1663" s="77" t="s">
        <v>74</v>
      </c>
      <c r="H1663" s="77" t="s">
        <v>123</v>
      </c>
      <c r="I1663" s="77" t="s">
        <v>84</v>
      </c>
      <c r="J1663" s="76">
        <v>2.7129607609988112E-3</v>
      </c>
    </row>
    <row r="1664" spans="1:10" x14ac:dyDescent="0.35">
      <c r="A1664" t="s">
        <v>13</v>
      </c>
      <c r="B1664" t="s">
        <v>39</v>
      </c>
      <c r="C1664" s="77" t="s">
        <v>93</v>
      </c>
      <c r="D1664" t="s">
        <v>81</v>
      </c>
      <c r="E1664" s="77" t="s">
        <v>126</v>
      </c>
      <c r="F1664" s="77" t="s">
        <v>73</v>
      </c>
      <c r="G1664" s="77" t="s">
        <v>74</v>
      </c>
      <c r="H1664" s="77" t="s">
        <v>123</v>
      </c>
      <c r="I1664" s="77" t="s">
        <v>84</v>
      </c>
      <c r="J1664" s="76">
        <v>4.3855511603587784E-2</v>
      </c>
    </row>
    <row r="1665" spans="1:10" x14ac:dyDescent="0.35">
      <c r="A1665" t="s">
        <v>13</v>
      </c>
      <c r="B1665" t="s">
        <v>39</v>
      </c>
      <c r="C1665" s="77" t="s">
        <v>93</v>
      </c>
      <c r="D1665" t="s">
        <v>81</v>
      </c>
      <c r="E1665" s="77" t="s">
        <v>101</v>
      </c>
      <c r="F1665" s="77" t="s">
        <v>73</v>
      </c>
      <c r="G1665" s="77" t="s">
        <v>74</v>
      </c>
      <c r="H1665" s="77" t="s">
        <v>123</v>
      </c>
      <c r="I1665" s="77" t="s">
        <v>84</v>
      </c>
      <c r="J1665" s="76">
        <v>0</v>
      </c>
    </row>
    <row r="1666" spans="1:10" x14ac:dyDescent="0.35">
      <c r="A1666" t="s">
        <v>13</v>
      </c>
      <c r="B1666" t="s">
        <v>39</v>
      </c>
      <c r="C1666" s="77" t="s">
        <v>93</v>
      </c>
      <c r="D1666" t="s">
        <v>81</v>
      </c>
      <c r="E1666" s="77" t="s">
        <v>104</v>
      </c>
      <c r="F1666" s="77" t="s">
        <v>73</v>
      </c>
      <c r="G1666" s="77" t="s">
        <v>74</v>
      </c>
      <c r="H1666" s="77" t="s">
        <v>123</v>
      </c>
      <c r="I1666" s="77" t="s">
        <v>84</v>
      </c>
      <c r="J1666" s="76">
        <v>0</v>
      </c>
    </row>
    <row r="1667" spans="1:10" x14ac:dyDescent="0.35">
      <c r="A1667" t="s">
        <v>13</v>
      </c>
      <c r="B1667" t="s">
        <v>39</v>
      </c>
      <c r="C1667" s="77" t="s">
        <v>93</v>
      </c>
      <c r="D1667" t="s">
        <v>81</v>
      </c>
      <c r="E1667" s="77" t="s">
        <v>106</v>
      </c>
      <c r="F1667" s="77" t="s">
        <v>73</v>
      </c>
      <c r="G1667" s="77" t="s">
        <v>74</v>
      </c>
      <c r="H1667" s="77" t="s">
        <v>123</v>
      </c>
      <c r="I1667" s="77" t="s">
        <v>84</v>
      </c>
      <c r="J1667" s="76">
        <v>0</v>
      </c>
    </row>
    <row r="1668" spans="1:10" x14ac:dyDescent="0.35">
      <c r="A1668" t="s">
        <v>13</v>
      </c>
      <c r="B1668" t="s">
        <v>39</v>
      </c>
      <c r="C1668" s="77" t="s">
        <v>73</v>
      </c>
      <c r="D1668" t="s">
        <v>81</v>
      </c>
      <c r="E1668" s="77" t="s">
        <v>119</v>
      </c>
      <c r="F1668" s="77" t="s">
        <v>73</v>
      </c>
      <c r="G1668" s="77" t="s">
        <v>74</v>
      </c>
      <c r="H1668" s="77" t="s">
        <v>127</v>
      </c>
      <c r="I1668" s="77" t="s">
        <v>84</v>
      </c>
      <c r="J1668" s="76">
        <f>'SUT_EU27 total'!$M$22</f>
        <v>1.9500181678711294E-2</v>
      </c>
    </row>
    <row r="1669" spans="1:10" x14ac:dyDescent="0.35">
      <c r="A1669" t="s">
        <v>13</v>
      </c>
      <c r="B1669" t="s">
        <v>39</v>
      </c>
      <c r="C1669" s="77" t="s">
        <v>73</v>
      </c>
      <c r="D1669" t="s">
        <v>81</v>
      </c>
      <c r="E1669" s="77" t="s">
        <v>124</v>
      </c>
      <c r="F1669" s="77" t="s">
        <v>73</v>
      </c>
      <c r="G1669" s="77" t="s">
        <v>74</v>
      </c>
      <c r="H1669" s="77" t="s">
        <v>127</v>
      </c>
      <c r="I1669" s="77" t="s">
        <v>84</v>
      </c>
      <c r="J1669" s="76" cm="1">
        <f t="array" ref="J1669:J1674">'SUT_EU27 total'!$M$26:$M$31</f>
        <v>1.9404661061278542E-3</v>
      </c>
    </row>
    <row r="1670" spans="1:10" x14ac:dyDescent="0.35">
      <c r="A1670" t="s">
        <v>13</v>
      </c>
      <c r="B1670" t="s">
        <v>39</v>
      </c>
      <c r="C1670" s="77" t="s">
        <v>73</v>
      </c>
      <c r="D1670" t="s">
        <v>81</v>
      </c>
      <c r="E1670" s="77" t="s">
        <v>117</v>
      </c>
      <c r="F1670" s="77" t="s">
        <v>73</v>
      </c>
      <c r="G1670" s="77" t="s">
        <v>74</v>
      </c>
      <c r="H1670" s="77" t="s">
        <v>127</v>
      </c>
      <c r="I1670" s="77" t="s">
        <v>84</v>
      </c>
      <c r="J1670" s="76">
        <v>5.8423628191201782E-3</v>
      </c>
    </row>
    <row r="1671" spans="1:10" x14ac:dyDescent="0.35">
      <c r="A1671" t="s">
        <v>13</v>
      </c>
      <c r="B1671" t="s">
        <v>39</v>
      </c>
      <c r="C1671" s="77" t="s">
        <v>73</v>
      </c>
      <c r="D1671" t="s">
        <v>81</v>
      </c>
      <c r="E1671" s="77" t="s">
        <v>82</v>
      </c>
      <c r="F1671" s="77" t="s">
        <v>73</v>
      </c>
      <c r="G1671" s="77" t="s">
        <v>74</v>
      </c>
      <c r="H1671" s="77" t="s">
        <v>127</v>
      </c>
      <c r="I1671" s="77" t="s">
        <v>84</v>
      </c>
      <c r="J1671" s="76">
        <v>4.8981233243967828E-4</v>
      </c>
    </row>
    <row r="1672" spans="1:10" x14ac:dyDescent="0.35">
      <c r="A1672" t="s">
        <v>13</v>
      </c>
      <c r="B1672" t="s">
        <v>39</v>
      </c>
      <c r="C1672" s="77" t="s">
        <v>73</v>
      </c>
      <c r="D1672" t="s">
        <v>81</v>
      </c>
      <c r="E1672" s="77" t="s">
        <v>125</v>
      </c>
      <c r="F1672" s="77" t="s">
        <v>73</v>
      </c>
      <c r="G1672" s="77" t="s">
        <v>74</v>
      </c>
      <c r="H1672" s="77" t="s">
        <v>127</v>
      </c>
      <c r="I1672" s="77" t="s">
        <v>84</v>
      </c>
      <c r="J1672" s="76">
        <v>2.4658201215687387E-3</v>
      </c>
    </row>
    <row r="1673" spans="1:10" x14ac:dyDescent="0.35">
      <c r="A1673" t="s">
        <v>13</v>
      </c>
      <c r="B1673" t="s">
        <v>39</v>
      </c>
      <c r="C1673" s="77" t="s">
        <v>73</v>
      </c>
      <c r="D1673" t="s">
        <v>81</v>
      </c>
      <c r="E1673" s="77" t="s">
        <v>122</v>
      </c>
      <c r="F1673" s="77" t="s">
        <v>73</v>
      </c>
      <c r="G1673" s="77" t="s">
        <v>74</v>
      </c>
      <c r="H1673" s="77" t="s">
        <v>127</v>
      </c>
      <c r="I1673" s="77" t="s">
        <v>84</v>
      </c>
      <c r="J1673" s="76">
        <v>4.922711058263972E-4</v>
      </c>
    </row>
    <row r="1674" spans="1:10" x14ac:dyDescent="0.35">
      <c r="A1674" t="s">
        <v>13</v>
      </c>
      <c r="B1674" t="s">
        <v>39</v>
      </c>
      <c r="C1674" s="77" t="s">
        <v>73</v>
      </c>
      <c r="D1674" t="s">
        <v>81</v>
      </c>
      <c r="E1674" s="77" t="s">
        <v>126</v>
      </c>
      <c r="F1674" s="77" t="s">
        <v>73</v>
      </c>
      <c r="G1674" s="77" t="s">
        <v>74</v>
      </c>
      <c r="H1674" s="77" t="s">
        <v>127</v>
      </c>
      <c r="I1674" s="77" t="s">
        <v>84</v>
      </c>
      <c r="J1674" s="76">
        <v>0</v>
      </c>
    </row>
    <row r="1675" spans="1:10" x14ac:dyDescent="0.35">
      <c r="A1675" t="s">
        <v>13</v>
      </c>
      <c r="B1675" t="s">
        <v>39</v>
      </c>
      <c r="C1675" s="77" t="s">
        <v>73</v>
      </c>
      <c r="D1675" t="s">
        <v>81</v>
      </c>
      <c r="E1675" s="77" t="s">
        <v>101</v>
      </c>
      <c r="F1675" s="77" t="s">
        <v>73</v>
      </c>
      <c r="G1675" s="77" t="s">
        <v>74</v>
      </c>
      <c r="H1675" s="77" t="s">
        <v>127</v>
      </c>
      <c r="I1675" s="77" t="s">
        <v>84</v>
      </c>
      <c r="J1675" s="471" cm="1">
        <f t="array" ref="J1675:J1677">Sensitivity!J95:J97</f>
        <v>1.4077232662383567E-3</v>
      </c>
    </row>
    <row r="1676" spans="1:10" x14ac:dyDescent="0.35">
      <c r="A1676" t="s">
        <v>13</v>
      </c>
      <c r="B1676" t="s">
        <v>39</v>
      </c>
      <c r="C1676" s="77" t="s">
        <v>73</v>
      </c>
      <c r="D1676" t="s">
        <v>81</v>
      </c>
      <c r="E1676" s="77" t="s">
        <v>104</v>
      </c>
      <c r="F1676" s="77" t="s">
        <v>73</v>
      </c>
      <c r="G1676" s="77" t="s">
        <v>74</v>
      </c>
      <c r="H1676" s="77" t="s">
        <v>127</v>
      </c>
      <c r="I1676" s="77" t="s">
        <v>84</v>
      </c>
      <c r="J1676" s="471">
        <v>8.0722908260373052E-4</v>
      </c>
    </row>
    <row r="1677" spans="1:10" x14ac:dyDescent="0.35">
      <c r="A1677" t="s">
        <v>13</v>
      </c>
      <c r="B1677" t="s">
        <v>39</v>
      </c>
      <c r="C1677" s="77" t="s">
        <v>73</v>
      </c>
      <c r="D1677" t="s">
        <v>81</v>
      </c>
      <c r="E1677" s="77" t="s">
        <v>106</v>
      </c>
      <c r="F1677" s="77" t="s">
        <v>73</v>
      </c>
      <c r="G1677" s="77" t="s">
        <v>74</v>
      </c>
      <c r="H1677" s="77" t="s">
        <v>127</v>
      </c>
      <c r="I1677" s="77" t="s">
        <v>84</v>
      </c>
      <c r="J1677" s="471">
        <v>1.1998476511579127E-3</v>
      </c>
    </row>
    <row r="1678" spans="1:10" x14ac:dyDescent="0.35">
      <c r="A1678" t="s">
        <v>13</v>
      </c>
      <c r="B1678" t="s">
        <v>39</v>
      </c>
      <c r="C1678" s="77" t="s">
        <v>88</v>
      </c>
      <c r="D1678" t="s">
        <v>81</v>
      </c>
      <c r="E1678" s="77" t="s">
        <v>119</v>
      </c>
      <c r="F1678" s="77" t="s">
        <v>73</v>
      </c>
      <c r="G1678" s="77" t="s">
        <v>74</v>
      </c>
      <c r="H1678" s="77" t="s">
        <v>127</v>
      </c>
      <c r="I1678" s="77" t="s">
        <v>84</v>
      </c>
      <c r="J1678" s="76">
        <f>'SUT_EU27 total'!$M$39</f>
        <v>0.16108845734587587</v>
      </c>
    </row>
    <row r="1679" spans="1:10" x14ac:dyDescent="0.35">
      <c r="A1679" t="s">
        <v>13</v>
      </c>
      <c r="B1679" t="s">
        <v>39</v>
      </c>
      <c r="C1679" s="77" t="s">
        <v>88</v>
      </c>
      <c r="D1679" t="s">
        <v>81</v>
      </c>
      <c r="E1679" s="77" t="s">
        <v>124</v>
      </c>
      <c r="F1679" s="77" t="s">
        <v>73</v>
      </c>
      <c r="G1679" s="77" t="s">
        <v>74</v>
      </c>
      <c r="H1679" s="77" t="s">
        <v>127</v>
      </c>
      <c r="I1679" s="77" t="s">
        <v>84</v>
      </c>
      <c r="J1679" s="76" cm="1">
        <f t="array" ref="J1679:J1687">'SUT_EU27 total'!$L$43:$L$51</f>
        <v>5.0558836222750793E-4</v>
      </c>
    </row>
    <row r="1680" spans="1:10" x14ac:dyDescent="0.35">
      <c r="A1680" t="s">
        <v>13</v>
      </c>
      <c r="B1680" t="s">
        <v>39</v>
      </c>
      <c r="C1680" s="77" t="s">
        <v>88</v>
      </c>
      <c r="D1680" t="s">
        <v>81</v>
      </c>
      <c r="E1680" s="77" t="s">
        <v>117</v>
      </c>
      <c r="F1680" s="77" t="s">
        <v>73</v>
      </c>
      <c r="G1680" s="77" t="s">
        <v>74</v>
      </c>
      <c r="H1680" s="77" t="s">
        <v>127</v>
      </c>
      <c r="I1680" s="77" t="s">
        <v>84</v>
      </c>
      <c r="J1680" s="76">
        <v>4.8514464106651379E-3</v>
      </c>
    </row>
    <row r="1681" spans="1:10" x14ac:dyDescent="0.35">
      <c r="A1681" t="s">
        <v>13</v>
      </c>
      <c r="B1681" t="s">
        <v>39</v>
      </c>
      <c r="C1681" s="77" t="s">
        <v>88</v>
      </c>
      <c r="D1681" t="s">
        <v>81</v>
      </c>
      <c r="E1681" s="77" t="s">
        <v>82</v>
      </c>
      <c r="F1681" s="77" t="s">
        <v>73</v>
      </c>
      <c r="G1681" s="77" t="s">
        <v>74</v>
      </c>
      <c r="H1681" s="77" t="s">
        <v>127</v>
      </c>
      <c r="I1681" s="77" t="s">
        <v>84</v>
      </c>
      <c r="J1681" s="76">
        <v>1.109418436791091E-2</v>
      </c>
    </row>
    <row r="1682" spans="1:10" x14ac:dyDescent="0.35">
      <c r="A1682" t="s">
        <v>13</v>
      </c>
      <c r="B1682" t="s">
        <v>39</v>
      </c>
      <c r="C1682" s="77" t="s">
        <v>88</v>
      </c>
      <c r="D1682" t="s">
        <v>81</v>
      </c>
      <c r="E1682" s="77" t="s">
        <v>125</v>
      </c>
      <c r="F1682" s="77" t="s">
        <v>73</v>
      </c>
      <c r="G1682" s="77" t="s">
        <v>74</v>
      </c>
      <c r="H1682" s="77" t="s">
        <v>127</v>
      </c>
      <c r="I1682" s="77" t="s">
        <v>84</v>
      </c>
      <c r="J1682" s="76">
        <v>2.890870278990243E-5</v>
      </c>
    </row>
    <row r="1683" spans="1:10" x14ac:dyDescent="0.35">
      <c r="A1683" t="s">
        <v>13</v>
      </c>
      <c r="B1683" t="s">
        <v>39</v>
      </c>
      <c r="C1683" s="77" t="s">
        <v>88</v>
      </c>
      <c r="D1683" t="s">
        <v>81</v>
      </c>
      <c r="E1683" s="77" t="s">
        <v>122</v>
      </c>
      <c r="F1683" s="77" t="s">
        <v>73</v>
      </c>
      <c r="G1683" s="77" t="s">
        <v>74</v>
      </c>
      <c r="H1683" s="77" t="s">
        <v>127</v>
      </c>
      <c r="I1683" s="77" t="s">
        <v>84</v>
      </c>
      <c r="J1683" s="76">
        <v>0</v>
      </c>
    </row>
    <row r="1684" spans="1:10" x14ac:dyDescent="0.35">
      <c r="A1684" t="s">
        <v>13</v>
      </c>
      <c r="B1684" t="s">
        <v>39</v>
      </c>
      <c r="C1684" s="77" t="s">
        <v>88</v>
      </c>
      <c r="D1684" t="s">
        <v>81</v>
      </c>
      <c r="E1684" s="77" t="s">
        <v>126</v>
      </c>
      <c r="F1684" s="77" t="s">
        <v>73</v>
      </c>
      <c r="G1684" s="77" t="s">
        <v>74</v>
      </c>
      <c r="H1684" s="77" t="s">
        <v>127</v>
      </c>
      <c r="I1684" s="77" t="s">
        <v>84</v>
      </c>
      <c r="J1684" s="76">
        <v>2.8514320987501449E-3</v>
      </c>
    </row>
    <row r="1685" spans="1:10" x14ac:dyDescent="0.35">
      <c r="A1685" t="s">
        <v>13</v>
      </c>
      <c r="B1685" t="s">
        <v>39</v>
      </c>
      <c r="C1685" s="77" t="s">
        <v>88</v>
      </c>
      <c r="D1685" t="s">
        <v>81</v>
      </c>
      <c r="E1685" s="77" t="s">
        <v>101</v>
      </c>
      <c r="F1685" s="77" t="s">
        <v>73</v>
      </c>
      <c r="G1685" s="77" t="s">
        <v>74</v>
      </c>
      <c r="H1685" s="77" t="s">
        <v>127</v>
      </c>
      <c r="I1685" s="77" t="s">
        <v>84</v>
      </c>
      <c r="J1685" s="76">
        <v>0</v>
      </c>
    </row>
    <row r="1686" spans="1:10" x14ac:dyDescent="0.35">
      <c r="A1686" t="s">
        <v>13</v>
      </c>
      <c r="B1686" t="s">
        <v>39</v>
      </c>
      <c r="C1686" s="77" t="s">
        <v>88</v>
      </c>
      <c r="D1686" t="s">
        <v>81</v>
      </c>
      <c r="E1686" s="77" t="s">
        <v>104</v>
      </c>
      <c r="F1686" s="77" t="s">
        <v>73</v>
      </c>
      <c r="G1686" s="77" t="s">
        <v>74</v>
      </c>
      <c r="H1686" s="77" t="s">
        <v>127</v>
      </c>
      <c r="I1686" s="77" t="s">
        <v>84</v>
      </c>
      <c r="J1686" s="76">
        <v>0</v>
      </c>
    </row>
    <row r="1687" spans="1:10" x14ac:dyDescent="0.35">
      <c r="A1687" t="s">
        <v>13</v>
      </c>
      <c r="B1687" t="s">
        <v>39</v>
      </c>
      <c r="C1687" s="77" t="s">
        <v>88</v>
      </c>
      <c r="D1687" t="s">
        <v>81</v>
      </c>
      <c r="E1687" s="77" t="s">
        <v>106</v>
      </c>
      <c r="F1687" s="77" t="s">
        <v>73</v>
      </c>
      <c r="G1687" s="77" t="s">
        <v>74</v>
      </c>
      <c r="H1687" s="77" t="s">
        <v>127</v>
      </c>
      <c r="I1687" s="77" t="s">
        <v>84</v>
      </c>
      <c r="J1687" s="76">
        <v>0</v>
      </c>
    </row>
    <row r="1688" spans="1:10" x14ac:dyDescent="0.35">
      <c r="A1688" t="s">
        <v>13</v>
      </c>
      <c r="B1688" t="s">
        <v>39</v>
      </c>
      <c r="C1688" s="77" t="s">
        <v>90</v>
      </c>
      <c r="D1688" t="s">
        <v>81</v>
      </c>
      <c r="E1688" s="77" t="s">
        <v>119</v>
      </c>
      <c r="F1688" s="77" t="s">
        <v>73</v>
      </c>
      <c r="G1688" s="77" t="s">
        <v>74</v>
      </c>
      <c r="H1688" s="77" t="s">
        <v>127</v>
      </c>
      <c r="I1688" s="77" t="s">
        <v>84</v>
      </c>
      <c r="J1688" s="76">
        <f>'SUT_EU27 total'!$M$56</f>
        <v>2.949251079979006E-2</v>
      </c>
    </row>
    <row r="1689" spans="1:10" x14ac:dyDescent="0.35">
      <c r="A1689" t="s">
        <v>13</v>
      </c>
      <c r="B1689" t="s">
        <v>39</v>
      </c>
      <c r="C1689" s="77" t="s">
        <v>90</v>
      </c>
      <c r="D1689" t="s">
        <v>81</v>
      </c>
      <c r="E1689" s="77" t="s">
        <v>124</v>
      </c>
      <c r="F1689" s="77" t="s">
        <v>73</v>
      </c>
      <c r="G1689" s="77" t="s">
        <v>74</v>
      </c>
      <c r="H1689" s="77" t="s">
        <v>127</v>
      </c>
      <c r="I1689" s="77" t="s">
        <v>84</v>
      </c>
      <c r="J1689" s="76" cm="1">
        <f t="array" ref="J1689:J1697">'SUT_EU27 total'!$M$60:$M$68</f>
        <v>2.1047443073980527E-5</v>
      </c>
    </row>
    <row r="1690" spans="1:10" x14ac:dyDescent="0.35">
      <c r="A1690" t="s">
        <v>13</v>
      </c>
      <c r="B1690" t="s">
        <v>39</v>
      </c>
      <c r="C1690" s="77" t="s">
        <v>90</v>
      </c>
      <c r="D1690" t="s">
        <v>81</v>
      </c>
      <c r="E1690" s="77" t="s">
        <v>117</v>
      </c>
      <c r="F1690" s="77" t="s">
        <v>73</v>
      </c>
      <c r="G1690" s="77" t="s">
        <v>74</v>
      </c>
      <c r="H1690" s="77" t="s">
        <v>127</v>
      </c>
      <c r="I1690" s="77" t="s">
        <v>84</v>
      </c>
      <c r="J1690" s="76">
        <v>5.8414015621608938E-3</v>
      </c>
    </row>
    <row r="1691" spans="1:10" x14ac:dyDescent="0.35">
      <c r="A1691" t="s">
        <v>13</v>
      </c>
      <c r="B1691" t="s">
        <v>39</v>
      </c>
      <c r="C1691" s="77" t="s">
        <v>90</v>
      </c>
      <c r="D1691" t="s">
        <v>81</v>
      </c>
      <c r="E1691" s="77" t="s">
        <v>82</v>
      </c>
      <c r="F1691" s="77" t="s">
        <v>73</v>
      </c>
      <c r="G1691" s="77" t="s">
        <v>74</v>
      </c>
      <c r="H1691" s="77" t="s">
        <v>127</v>
      </c>
      <c r="I1691" s="77" t="s">
        <v>84</v>
      </c>
      <c r="J1691" s="76">
        <v>1.4521138379047227E-3</v>
      </c>
    </row>
    <row r="1692" spans="1:10" x14ac:dyDescent="0.35">
      <c r="A1692" t="s">
        <v>13</v>
      </c>
      <c r="B1692" t="s">
        <v>39</v>
      </c>
      <c r="C1692" s="77" t="s">
        <v>90</v>
      </c>
      <c r="D1692" t="s">
        <v>81</v>
      </c>
      <c r="E1692" s="77" t="s">
        <v>125</v>
      </c>
      <c r="F1692" s="77" t="s">
        <v>73</v>
      </c>
      <c r="G1692" s="77" t="s">
        <v>74</v>
      </c>
      <c r="H1692" s="77" t="s">
        <v>127</v>
      </c>
      <c r="I1692" s="77" t="s">
        <v>84</v>
      </c>
      <c r="J1692" s="76">
        <v>6.5130870114372285E-5</v>
      </c>
    </row>
    <row r="1693" spans="1:10" x14ac:dyDescent="0.35">
      <c r="A1693" t="s">
        <v>13</v>
      </c>
      <c r="B1693" t="s">
        <v>39</v>
      </c>
      <c r="C1693" s="77" t="s">
        <v>90</v>
      </c>
      <c r="D1693" t="s">
        <v>81</v>
      </c>
      <c r="E1693" s="77" t="s">
        <v>122</v>
      </c>
      <c r="F1693" s="77" t="s">
        <v>73</v>
      </c>
      <c r="G1693" s="77" t="s">
        <v>74</v>
      </c>
      <c r="H1693" s="77" t="s">
        <v>127</v>
      </c>
      <c r="I1693" s="77" t="s">
        <v>84</v>
      </c>
      <c r="J1693" s="76">
        <v>7.9476813317479189E-4</v>
      </c>
    </row>
    <row r="1694" spans="1:10" x14ac:dyDescent="0.35">
      <c r="A1694" t="s">
        <v>13</v>
      </c>
      <c r="B1694" t="s">
        <v>39</v>
      </c>
      <c r="C1694" s="77" t="s">
        <v>90</v>
      </c>
      <c r="D1694" t="s">
        <v>81</v>
      </c>
      <c r="E1694" s="77" t="s">
        <v>126</v>
      </c>
      <c r="F1694" s="77" t="s">
        <v>73</v>
      </c>
      <c r="G1694" s="77" t="s">
        <v>74</v>
      </c>
      <c r="H1694" s="77" t="s">
        <v>127</v>
      </c>
      <c r="I1694" s="77" t="s">
        <v>84</v>
      </c>
      <c r="J1694" s="76">
        <v>8.4821183458843076E-3</v>
      </c>
    </row>
    <row r="1695" spans="1:10" x14ac:dyDescent="0.35">
      <c r="A1695" t="s">
        <v>13</v>
      </c>
      <c r="B1695" t="s">
        <v>39</v>
      </c>
      <c r="C1695" s="77" t="s">
        <v>90</v>
      </c>
      <c r="D1695" t="s">
        <v>81</v>
      </c>
      <c r="E1695" s="77" t="s">
        <v>101</v>
      </c>
      <c r="F1695" s="77" t="s">
        <v>73</v>
      </c>
      <c r="G1695" s="77" t="s">
        <v>74</v>
      </c>
      <c r="H1695" s="77" t="s">
        <v>127</v>
      </c>
      <c r="I1695" s="77" t="s">
        <v>84</v>
      </c>
      <c r="J1695" s="76">
        <v>0</v>
      </c>
    </row>
    <row r="1696" spans="1:10" x14ac:dyDescent="0.35">
      <c r="A1696" t="s">
        <v>13</v>
      </c>
      <c r="B1696" t="s">
        <v>39</v>
      </c>
      <c r="C1696" s="77" t="s">
        <v>90</v>
      </c>
      <c r="D1696" t="s">
        <v>81</v>
      </c>
      <c r="E1696" s="77" t="s">
        <v>104</v>
      </c>
      <c r="F1696" s="77" t="s">
        <v>73</v>
      </c>
      <c r="G1696" s="77" t="s">
        <v>74</v>
      </c>
      <c r="H1696" s="77" t="s">
        <v>127</v>
      </c>
      <c r="I1696" s="77" t="s">
        <v>84</v>
      </c>
      <c r="J1696" s="76">
        <v>0</v>
      </c>
    </row>
    <row r="1697" spans="1:10" x14ac:dyDescent="0.35">
      <c r="A1697" t="s">
        <v>13</v>
      </c>
      <c r="B1697" t="s">
        <v>39</v>
      </c>
      <c r="C1697" s="77" t="s">
        <v>90</v>
      </c>
      <c r="D1697" t="s">
        <v>81</v>
      </c>
      <c r="E1697" s="77" t="s">
        <v>106</v>
      </c>
      <c r="F1697" s="77" t="s">
        <v>73</v>
      </c>
      <c r="G1697" s="77" t="s">
        <v>74</v>
      </c>
      <c r="H1697" s="77" t="s">
        <v>127</v>
      </c>
      <c r="I1697" s="77" t="s">
        <v>84</v>
      </c>
      <c r="J1697" s="76">
        <v>0</v>
      </c>
    </row>
    <row r="1698" spans="1:10" x14ac:dyDescent="0.35">
      <c r="A1698" t="s">
        <v>13</v>
      </c>
      <c r="B1698" t="s">
        <v>39</v>
      </c>
      <c r="C1698" s="77" t="s">
        <v>91</v>
      </c>
      <c r="D1698" t="s">
        <v>81</v>
      </c>
      <c r="E1698" s="77" t="s">
        <v>119</v>
      </c>
      <c r="F1698" s="77" t="s">
        <v>73</v>
      </c>
      <c r="G1698" s="77" t="s">
        <v>74</v>
      </c>
      <c r="H1698" s="77" t="s">
        <v>127</v>
      </c>
      <c r="I1698" s="77" t="s">
        <v>84</v>
      </c>
      <c r="J1698" s="76">
        <f>'SUT_EU27 total'!$M$73</f>
        <v>0.15097500908393557</v>
      </c>
    </row>
    <row r="1699" spans="1:10" x14ac:dyDescent="0.35">
      <c r="A1699" t="s">
        <v>13</v>
      </c>
      <c r="B1699" t="s">
        <v>39</v>
      </c>
      <c r="C1699" s="77" t="s">
        <v>91</v>
      </c>
      <c r="D1699" t="s">
        <v>81</v>
      </c>
      <c r="E1699" s="77" t="s">
        <v>124</v>
      </c>
      <c r="F1699" s="77" t="s">
        <v>73</v>
      </c>
      <c r="G1699" s="77" t="s">
        <v>74</v>
      </c>
      <c r="H1699" s="77" t="s">
        <v>127</v>
      </c>
      <c r="I1699" s="77" t="s">
        <v>84</v>
      </c>
      <c r="J1699" s="76" cm="1">
        <f t="array" ref="J1699:J1707">'SUT_EU27 total'!$M$77:$M$85</f>
        <v>6.7728942399646885E-5</v>
      </c>
    </row>
    <row r="1700" spans="1:10" x14ac:dyDescent="0.35">
      <c r="A1700" t="s">
        <v>13</v>
      </c>
      <c r="B1700" t="s">
        <v>39</v>
      </c>
      <c r="C1700" s="77" t="s">
        <v>91</v>
      </c>
      <c r="D1700" t="s">
        <v>81</v>
      </c>
      <c r="E1700" s="77" t="s">
        <v>117</v>
      </c>
      <c r="F1700" s="77" t="s">
        <v>73</v>
      </c>
      <c r="G1700" s="77" t="s">
        <v>74</v>
      </c>
      <c r="H1700" s="77" t="s">
        <v>127</v>
      </c>
      <c r="I1700" s="77" t="s">
        <v>84</v>
      </c>
      <c r="J1700" s="76">
        <v>5.6233849622410815E-3</v>
      </c>
    </row>
    <row r="1701" spans="1:10" x14ac:dyDescent="0.35">
      <c r="A1701" t="s">
        <v>13</v>
      </c>
      <c r="B1701" t="s">
        <v>39</v>
      </c>
      <c r="C1701" s="77" t="s">
        <v>91</v>
      </c>
      <c r="D1701" t="s">
        <v>81</v>
      </c>
      <c r="E1701" s="77" t="s">
        <v>82</v>
      </c>
      <c r="F1701" s="77" t="s">
        <v>73</v>
      </c>
      <c r="G1701" s="77" t="s">
        <v>74</v>
      </c>
      <c r="H1701" s="77" t="s">
        <v>127</v>
      </c>
      <c r="I1701" s="77" t="s">
        <v>84</v>
      </c>
      <c r="J1701" s="76">
        <v>1.8068055269127655E-3</v>
      </c>
    </row>
    <row r="1702" spans="1:10" x14ac:dyDescent="0.35">
      <c r="A1702" t="s">
        <v>13</v>
      </c>
      <c r="B1702" t="s">
        <v>39</v>
      </c>
      <c r="C1702" s="77" t="s">
        <v>91</v>
      </c>
      <c r="D1702" t="s">
        <v>81</v>
      </c>
      <c r="E1702" s="77" t="s">
        <v>125</v>
      </c>
      <c r="F1702" s="77" t="s">
        <v>73</v>
      </c>
      <c r="G1702" s="77" t="s">
        <v>74</v>
      </c>
      <c r="H1702" s="77" t="s">
        <v>127</v>
      </c>
      <c r="I1702" s="77" t="s">
        <v>84</v>
      </c>
      <c r="J1702" s="76">
        <v>5.6492118062760293E-6</v>
      </c>
    </row>
    <row r="1703" spans="1:10" x14ac:dyDescent="0.35">
      <c r="A1703" t="s">
        <v>13</v>
      </c>
      <c r="B1703" t="s">
        <v>39</v>
      </c>
      <c r="C1703" s="77" t="s">
        <v>91</v>
      </c>
      <c r="D1703" t="s">
        <v>81</v>
      </c>
      <c r="E1703" s="77" t="s">
        <v>122</v>
      </c>
      <c r="F1703" s="77" t="s">
        <v>73</v>
      </c>
      <c r="G1703" s="77" t="s">
        <v>74</v>
      </c>
      <c r="H1703" s="77" t="s">
        <v>127</v>
      </c>
      <c r="I1703" s="77" t="s">
        <v>84</v>
      </c>
      <c r="J1703" s="76">
        <v>0</v>
      </c>
    </row>
    <row r="1704" spans="1:10" x14ac:dyDescent="0.35">
      <c r="A1704" t="s">
        <v>13</v>
      </c>
      <c r="B1704" t="s">
        <v>39</v>
      </c>
      <c r="C1704" s="77" t="s">
        <v>91</v>
      </c>
      <c r="D1704" t="s">
        <v>81</v>
      </c>
      <c r="E1704" s="77" t="s">
        <v>126</v>
      </c>
      <c r="F1704" s="77" t="s">
        <v>73</v>
      </c>
      <c r="G1704" s="77" t="s">
        <v>74</v>
      </c>
      <c r="H1704" s="77" t="s">
        <v>127</v>
      </c>
      <c r="I1704" s="77" t="s">
        <v>84</v>
      </c>
      <c r="J1704" s="76">
        <v>8.1093795177776388E-4</v>
      </c>
    </row>
    <row r="1705" spans="1:10" x14ac:dyDescent="0.35">
      <c r="A1705" t="s">
        <v>13</v>
      </c>
      <c r="B1705" t="s">
        <v>39</v>
      </c>
      <c r="C1705" s="77" t="s">
        <v>91</v>
      </c>
      <c r="D1705" t="s">
        <v>81</v>
      </c>
      <c r="E1705" s="77" t="s">
        <v>101</v>
      </c>
      <c r="F1705" s="77" t="s">
        <v>73</v>
      </c>
      <c r="G1705" s="77" t="s">
        <v>74</v>
      </c>
      <c r="H1705" s="77" t="s">
        <v>127</v>
      </c>
      <c r="I1705" s="77" t="s">
        <v>84</v>
      </c>
      <c r="J1705" s="76">
        <v>0</v>
      </c>
    </row>
    <row r="1706" spans="1:10" x14ac:dyDescent="0.35">
      <c r="A1706" t="s">
        <v>13</v>
      </c>
      <c r="B1706" t="s">
        <v>39</v>
      </c>
      <c r="C1706" s="77" t="s">
        <v>91</v>
      </c>
      <c r="D1706" t="s">
        <v>81</v>
      </c>
      <c r="E1706" s="77" t="s">
        <v>104</v>
      </c>
      <c r="F1706" s="77" t="s">
        <v>73</v>
      </c>
      <c r="G1706" s="77" t="s">
        <v>74</v>
      </c>
      <c r="H1706" s="77" t="s">
        <v>127</v>
      </c>
      <c r="I1706" s="77" t="s">
        <v>84</v>
      </c>
      <c r="J1706" s="76">
        <v>0</v>
      </c>
    </row>
    <row r="1707" spans="1:10" x14ac:dyDescent="0.35">
      <c r="A1707" t="s">
        <v>13</v>
      </c>
      <c r="B1707" t="s">
        <v>39</v>
      </c>
      <c r="C1707" s="77" t="s">
        <v>91</v>
      </c>
      <c r="D1707" t="s">
        <v>81</v>
      </c>
      <c r="E1707" s="77" t="s">
        <v>106</v>
      </c>
      <c r="F1707" s="77" t="s">
        <v>73</v>
      </c>
      <c r="G1707" s="77" t="s">
        <v>74</v>
      </c>
      <c r="H1707" s="77" t="s">
        <v>127</v>
      </c>
      <c r="I1707" s="77" t="s">
        <v>84</v>
      </c>
      <c r="J1707" s="76">
        <v>0</v>
      </c>
    </row>
    <row r="1708" spans="1:10" x14ac:dyDescent="0.35">
      <c r="A1708" t="s">
        <v>13</v>
      </c>
      <c r="B1708" t="s">
        <v>39</v>
      </c>
      <c r="C1708" s="77" t="s">
        <v>92</v>
      </c>
      <c r="D1708" t="s">
        <v>81</v>
      </c>
      <c r="E1708" s="77" t="s">
        <v>119</v>
      </c>
      <c r="F1708" s="77" t="s">
        <v>73</v>
      </c>
      <c r="G1708" s="77" t="s">
        <v>74</v>
      </c>
      <c r="H1708" s="77" t="s">
        <v>127</v>
      </c>
      <c r="I1708" s="77" t="s">
        <v>84</v>
      </c>
      <c r="J1708" s="76">
        <f>'SUT_EU27 total'!$M$90</f>
        <v>0.13886309499777949</v>
      </c>
    </row>
    <row r="1709" spans="1:10" x14ac:dyDescent="0.35">
      <c r="A1709" t="s">
        <v>13</v>
      </c>
      <c r="B1709" t="s">
        <v>39</v>
      </c>
      <c r="C1709" s="77" t="s">
        <v>92</v>
      </c>
      <c r="D1709" t="s">
        <v>81</v>
      </c>
      <c r="E1709" s="77" t="s">
        <v>124</v>
      </c>
      <c r="F1709" s="77" t="s">
        <v>73</v>
      </c>
      <c r="G1709" s="77" t="s">
        <v>74</v>
      </c>
      <c r="H1709" s="77" t="s">
        <v>127</v>
      </c>
      <c r="I1709" s="77" t="s">
        <v>84</v>
      </c>
      <c r="J1709" s="76" cm="1">
        <f t="array" ref="J1709:J1717">'SUT_EU27 total'!$M$94:$M$102</f>
        <v>9.2968907089085616E-5</v>
      </c>
    </row>
    <row r="1710" spans="1:10" x14ac:dyDescent="0.35">
      <c r="A1710" t="s">
        <v>13</v>
      </c>
      <c r="B1710" t="s">
        <v>39</v>
      </c>
      <c r="C1710" s="77" t="s">
        <v>92</v>
      </c>
      <c r="D1710" t="s">
        <v>81</v>
      </c>
      <c r="E1710" s="77" t="s">
        <v>117</v>
      </c>
      <c r="F1710" s="77" t="s">
        <v>73</v>
      </c>
      <c r="G1710" s="77" t="s">
        <v>74</v>
      </c>
      <c r="H1710" s="77" t="s">
        <v>127</v>
      </c>
      <c r="I1710" s="77" t="s">
        <v>84</v>
      </c>
      <c r="J1710" s="76">
        <v>0</v>
      </c>
    </row>
    <row r="1711" spans="1:10" x14ac:dyDescent="0.35">
      <c r="A1711" t="s">
        <v>13</v>
      </c>
      <c r="B1711" t="s">
        <v>39</v>
      </c>
      <c r="C1711" s="77" t="s">
        <v>92</v>
      </c>
      <c r="D1711" t="s">
        <v>81</v>
      </c>
      <c r="E1711" s="77" t="s">
        <v>82</v>
      </c>
      <c r="F1711" s="77" t="s">
        <v>73</v>
      </c>
      <c r="G1711" s="77" t="s">
        <v>74</v>
      </c>
      <c r="H1711" s="77" t="s">
        <v>127</v>
      </c>
      <c r="I1711" s="77" t="s">
        <v>84</v>
      </c>
      <c r="J1711" s="76">
        <v>1.1251392039595793E-3</v>
      </c>
    </row>
    <row r="1712" spans="1:10" x14ac:dyDescent="0.35">
      <c r="A1712" t="s">
        <v>13</v>
      </c>
      <c r="B1712" t="s">
        <v>39</v>
      </c>
      <c r="C1712" s="77" t="s">
        <v>92</v>
      </c>
      <c r="D1712" t="s">
        <v>81</v>
      </c>
      <c r="E1712" s="77" t="s">
        <v>125</v>
      </c>
      <c r="F1712" s="77" t="s">
        <v>73</v>
      </c>
      <c r="G1712" s="77" t="s">
        <v>74</v>
      </c>
      <c r="H1712" s="77" t="s">
        <v>127</v>
      </c>
      <c r="I1712" s="77" t="s">
        <v>84</v>
      </c>
      <c r="J1712" s="76">
        <v>5.0048817841215026E-7</v>
      </c>
    </row>
    <row r="1713" spans="1:10" x14ac:dyDescent="0.35">
      <c r="A1713" t="s">
        <v>13</v>
      </c>
      <c r="B1713" t="s">
        <v>39</v>
      </c>
      <c r="C1713" s="77" t="s">
        <v>92</v>
      </c>
      <c r="D1713" t="s">
        <v>81</v>
      </c>
      <c r="E1713" s="77" t="s">
        <v>122</v>
      </c>
      <c r="F1713" s="77" t="s">
        <v>73</v>
      </c>
      <c r="G1713" s="77" t="s">
        <v>74</v>
      </c>
      <c r="H1713" s="77" t="s">
        <v>127</v>
      </c>
      <c r="I1713" s="77" t="s">
        <v>84</v>
      </c>
      <c r="J1713" s="76">
        <v>0</v>
      </c>
    </row>
    <row r="1714" spans="1:10" x14ac:dyDescent="0.35">
      <c r="A1714" t="s">
        <v>13</v>
      </c>
      <c r="B1714" t="s">
        <v>39</v>
      </c>
      <c r="C1714" s="77" t="s">
        <v>92</v>
      </c>
      <c r="D1714" t="s">
        <v>81</v>
      </c>
      <c r="E1714" s="77" t="s">
        <v>126</v>
      </c>
      <c r="F1714" s="77" t="s">
        <v>73</v>
      </c>
      <c r="G1714" s="77" t="s">
        <v>74</v>
      </c>
      <c r="H1714" s="77" t="s">
        <v>127</v>
      </c>
      <c r="I1714" s="77" t="s">
        <v>84</v>
      </c>
      <c r="J1714" s="76">
        <v>0</v>
      </c>
    </row>
    <row r="1715" spans="1:10" x14ac:dyDescent="0.35">
      <c r="A1715" t="s">
        <v>13</v>
      </c>
      <c r="B1715" t="s">
        <v>39</v>
      </c>
      <c r="C1715" s="77" t="s">
        <v>92</v>
      </c>
      <c r="D1715" t="s">
        <v>81</v>
      </c>
      <c r="E1715" s="77" t="s">
        <v>101</v>
      </c>
      <c r="F1715" s="77" t="s">
        <v>73</v>
      </c>
      <c r="G1715" s="77" t="s">
        <v>74</v>
      </c>
      <c r="H1715" s="77" t="s">
        <v>127</v>
      </c>
      <c r="I1715" s="77" t="s">
        <v>84</v>
      </c>
      <c r="J1715" s="76">
        <v>0</v>
      </c>
    </row>
    <row r="1716" spans="1:10" x14ac:dyDescent="0.35">
      <c r="A1716" t="s">
        <v>13</v>
      </c>
      <c r="B1716" t="s">
        <v>39</v>
      </c>
      <c r="C1716" s="77" t="s">
        <v>92</v>
      </c>
      <c r="D1716" t="s">
        <v>81</v>
      </c>
      <c r="E1716" s="77" t="s">
        <v>104</v>
      </c>
      <c r="F1716" s="77" t="s">
        <v>73</v>
      </c>
      <c r="G1716" s="77" t="s">
        <v>74</v>
      </c>
      <c r="H1716" s="77" t="s">
        <v>127</v>
      </c>
      <c r="I1716" s="77" t="s">
        <v>84</v>
      </c>
      <c r="J1716" s="76">
        <v>0</v>
      </c>
    </row>
    <row r="1717" spans="1:10" x14ac:dyDescent="0.35">
      <c r="A1717" t="s">
        <v>13</v>
      </c>
      <c r="B1717" t="s">
        <v>39</v>
      </c>
      <c r="C1717" s="77" t="s">
        <v>92</v>
      </c>
      <c r="D1717" t="s">
        <v>81</v>
      </c>
      <c r="E1717" s="77" t="s">
        <v>106</v>
      </c>
      <c r="F1717" s="77" t="s">
        <v>73</v>
      </c>
      <c r="G1717" s="77" t="s">
        <v>74</v>
      </c>
      <c r="H1717" s="77" t="s">
        <v>127</v>
      </c>
      <c r="I1717" s="77" t="s">
        <v>84</v>
      </c>
      <c r="J1717" s="76">
        <v>0</v>
      </c>
    </row>
    <row r="1718" spans="1:10" x14ac:dyDescent="0.35">
      <c r="A1718" t="s">
        <v>13</v>
      </c>
      <c r="B1718" t="s">
        <v>39</v>
      </c>
      <c r="C1718" s="77" t="s">
        <v>93</v>
      </c>
      <c r="D1718" t="s">
        <v>81</v>
      </c>
      <c r="E1718" s="77" t="s">
        <v>119</v>
      </c>
      <c r="F1718" s="77" t="s">
        <v>73</v>
      </c>
      <c r="G1718" s="77" t="s">
        <v>74</v>
      </c>
      <c r="H1718" s="77" t="s">
        <v>127</v>
      </c>
      <c r="I1718" s="77" t="s">
        <v>84</v>
      </c>
      <c r="J1718" s="76">
        <f>'SUT_EU27 total'!$M$107</f>
        <v>1.0000807460939076</v>
      </c>
    </row>
    <row r="1719" spans="1:10" x14ac:dyDescent="0.35">
      <c r="A1719" t="s">
        <v>13</v>
      </c>
      <c r="B1719" t="s">
        <v>39</v>
      </c>
      <c r="C1719" s="77" t="s">
        <v>93</v>
      </c>
      <c r="D1719" t="s">
        <v>81</v>
      </c>
      <c r="E1719" s="77" t="s">
        <v>124</v>
      </c>
      <c r="F1719" s="77" t="s">
        <v>73</v>
      </c>
      <c r="G1719" s="77" t="s">
        <v>74</v>
      </c>
      <c r="H1719" s="77" t="s">
        <v>127</v>
      </c>
      <c r="I1719" s="77" t="s">
        <v>84</v>
      </c>
      <c r="J1719" s="76" cm="1">
        <f t="array" ref="J1719:J1727">'SUT_EU27 total'!$M$111:$M$119</f>
        <v>3.7052409430862396E-4</v>
      </c>
    </row>
    <row r="1720" spans="1:10" x14ac:dyDescent="0.35">
      <c r="A1720" t="s">
        <v>13</v>
      </c>
      <c r="B1720" t="s">
        <v>39</v>
      </c>
      <c r="C1720" s="77" t="s">
        <v>93</v>
      </c>
      <c r="D1720" t="s">
        <v>81</v>
      </c>
      <c r="E1720" s="77" t="s">
        <v>117</v>
      </c>
      <c r="F1720" s="77" t="s">
        <v>73</v>
      </c>
      <c r="G1720" s="77" t="s">
        <v>74</v>
      </c>
      <c r="H1720" s="77" t="s">
        <v>127</v>
      </c>
      <c r="I1720" s="77" t="s">
        <v>84</v>
      </c>
      <c r="J1720" s="76">
        <v>5.8414042458127093E-3</v>
      </c>
    </row>
    <row r="1721" spans="1:10" x14ac:dyDescent="0.35">
      <c r="A1721" t="s">
        <v>13</v>
      </c>
      <c r="B1721" t="s">
        <v>39</v>
      </c>
      <c r="C1721" s="77" t="s">
        <v>93</v>
      </c>
      <c r="D1721" t="s">
        <v>81</v>
      </c>
      <c r="E1721" s="77" t="s">
        <v>82</v>
      </c>
      <c r="F1721" s="77" t="s">
        <v>73</v>
      </c>
      <c r="G1721" s="77" t="s">
        <v>74</v>
      </c>
      <c r="H1721" s="77" t="s">
        <v>127</v>
      </c>
      <c r="I1721" s="77" t="s">
        <v>84</v>
      </c>
      <c r="J1721" s="76">
        <v>5.0319447308723453E-3</v>
      </c>
    </row>
    <row r="1722" spans="1:10" x14ac:dyDescent="0.35">
      <c r="A1722" t="s">
        <v>13</v>
      </c>
      <c r="B1722" t="s">
        <v>39</v>
      </c>
      <c r="C1722" s="77" t="s">
        <v>93</v>
      </c>
      <c r="D1722" t="s">
        <v>81</v>
      </c>
      <c r="E1722" s="77" t="s">
        <v>125</v>
      </c>
      <c r="F1722" s="77" t="s">
        <v>73</v>
      </c>
      <c r="G1722" s="77" t="s">
        <v>74</v>
      </c>
      <c r="H1722" s="77" t="s">
        <v>127</v>
      </c>
      <c r="I1722" s="77" t="s">
        <v>84</v>
      </c>
      <c r="J1722" s="76">
        <v>4.336096678710085E-4</v>
      </c>
    </row>
    <row r="1723" spans="1:10" x14ac:dyDescent="0.35">
      <c r="A1723" t="s">
        <v>13</v>
      </c>
      <c r="B1723" t="s">
        <v>39</v>
      </c>
      <c r="C1723" s="77" t="s">
        <v>93</v>
      </c>
      <c r="D1723" t="s">
        <v>81</v>
      </c>
      <c r="E1723" s="77" t="s">
        <v>122</v>
      </c>
      <c r="F1723" s="77" t="s">
        <v>73</v>
      </c>
      <c r="G1723" s="77" t="s">
        <v>74</v>
      </c>
      <c r="H1723" s="77" t="s">
        <v>127</v>
      </c>
      <c r="I1723" s="77" t="s">
        <v>84</v>
      </c>
      <c r="J1723" s="76">
        <v>2.7129607609988112E-3</v>
      </c>
    </row>
    <row r="1724" spans="1:10" x14ac:dyDescent="0.35">
      <c r="A1724" t="s">
        <v>13</v>
      </c>
      <c r="B1724" t="s">
        <v>39</v>
      </c>
      <c r="C1724" s="77" t="s">
        <v>93</v>
      </c>
      <c r="D1724" t="s">
        <v>81</v>
      </c>
      <c r="E1724" s="77" t="s">
        <v>126</v>
      </c>
      <c r="F1724" s="77" t="s">
        <v>73</v>
      </c>
      <c r="G1724" s="77" t="s">
        <v>74</v>
      </c>
      <c r="H1724" s="77" t="s">
        <v>127</v>
      </c>
      <c r="I1724" s="77" t="s">
        <v>84</v>
      </c>
      <c r="J1724" s="76">
        <v>4.3855511603587784E-2</v>
      </c>
    </row>
    <row r="1725" spans="1:10" x14ac:dyDescent="0.35">
      <c r="A1725" t="s">
        <v>13</v>
      </c>
      <c r="B1725" t="s">
        <v>39</v>
      </c>
      <c r="C1725" s="77" t="s">
        <v>93</v>
      </c>
      <c r="D1725" t="s">
        <v>81</v>
      </c>
      <c r="E1725" s="77" t="s">
        <v>101</v>
      </c>
      <c r="F1725" s="77" t="s">
        <v>73</v>
      </c>
      <c r="G1725" s="77" t="s">
        <v>74</v>
      </c>
      <c r="H1725" s="77" t="s">
        <v>127</v>
      </c>
      <c r="I1725" s="77" t="s">
        <v>84</v>
      </c>
      <c r="J1725" s="76">
        <v>0</v>
      </c>
    </row>
    <row r="1726" spans="1:10" x14ac:dyDescent="0.35">
      <c r="A1726" t="s">
        <v>13</v>
      </c>
      <c r="B1726" t="s">
        <v>39</v>
      </c>
      <c r="C1726" s="77" t="s">
        <v>93</v>
      </c>
      <c r="D1726" t="s">
        <v>81</v>
      </c>
      <c r="E1726" s="77" t="s">
        <v>104</v>
      </c>
      <c r="F1726" s="77" t="s">
        <v>73</v>
      </c>
      <c r="G1726" s="77" t="s">
        <v>74</v>
      </c>
      <c r="H1726" s="77" t="s">
        <v>127</v>
      </c>
      <c r="I1726" s="77" t="s">
        <v>84</v>
      </c>
      <c r="J1726" s="76">
        <v>0</v>
      </c>
    </row>
    <row r="1727" spans="1:10" x14ac:dyDescent="0.35">
      <c r="A1727" t="s">
        <v>13</v>
      </c>
      <c r="B1727" t="s">
        <v>39</v>
      </c>
      <c r="C1727" s="77" t="s">
        <v>93</v>
      </c>
      <c r="D1727" t="s">
        <v>81</v>
      </c>
      <c r="E1727" s="77" t="s">
        <v>106</v>
      </c>
      <c r="F1727" s="77" t="s">
        <v>73</v>
      </c>
      <c r="G1727" s="77" t="s">
        <v>74</v>
      </c>
      <c r="H1727" s="77" t="s">
        <v>127</v>
      </c>
      <c r="I1727" s="77" t="s">
        <v>84</v>
      </c>
      <c r="J1727" s="76">
        <v>0</v>
      </c>
    </row>
    <row r="1728" spans="1:10" x14ac:dyDescent="0.35">
      <c r="A1728" t="s">
        <v>13</v>
      </c>
      <c r="B1728" t="s">
        <v>39</v>
      </c>
      <c r="C1728" s="77" t="s">
        <v>73</v>
      </c>
      <c r="D1728" t="s">
        <v>81</v>
      </c>
      <c r="E1728" s="77" t="s">
        <v>82</v>
      </c>
      <c r="F1728" s="77" t="s">
        <v>73</v>
      </c>
      <c r="G1728" s="77" t="s">
        <v>74</v>
      </c>
      <c r="H1728" s="77" t="s">
        <v>128</v>
      </c>
      <c r="I1728" s="77" t="s">
        <v>84</v>
      </c>
      <c r="J1728" s="76">
        <f>'SUT_EU27 total'!$N$28</f>
        <v>1.4658301341380521E-2</v>
      </c>
    </row>
    <row r="1729" spans="1:10" x14ac:dyDescent="0.35">
      <c r="A1729" t="s">
        <v>13</v>
      </c>
      <c r="B1729" t="s">
        <v>39</v>
      </c>
      <c r="C1729" s="77" t="s">
        <v>73</v>
      </c>
      <c r="D1729" t="s">
        <v>81</v>
      </c>
      <c r="E1729" s="77" t="s">
        <v>86</v>
      </c>
      <c r="F1729" s="77" t="s">
        <v>73</v>
      </c>
      <c r="G1729" s="77" t="s">
        <v>74</v>
      </c>
      <c r="H1729" s="77" t="s">
        <v>128</v>
      </c>
      <c r="I1729" s="77" t="s">
        <v>84</v>
      </c>
      <c r="J1729" s="76">
        <f>'SUT_EU27 total'!$N$35</f>
        <v>3.0740776778828832E-3</v>
      </c>
    </row>
    <row r="1730" spans="1:10" x14ac:dyDescent="0.35">
      <c r="A1730" t="s">
        <v>13</v>
      </c>
      <c r="B1730" t="s">
        <v>39</v>
      </c>
      <c r="C1730" s="77" t="s">
        <v>88</v>
      </c>
      <c r="D1730" t="s">
        <v>81</v>
      </c>
      <c r="E1730" s="77" t="s">
        <v>82</v>
      </c>
      <c r="F1730" s="77" t="s">
        <v>73</v>
      </c>
      <c r="G1730" s="77" t="s">
        <v>74</v>
      </c>
      <c r="H1730" s="77" t="s">
        <v>128</v>
      </c>
      <c r="I1730" s="77" t="s">
        <v>84</v>
      </c>
      <c r="J1730" s="76">
        <f>'SUT_EU27 total'!$N$45</f>
        <v>9.2276548594747033E-3</v>
      </c>
    </row>
    <row r="1731" spans="1:10" x14ac:dyDescent="0.35">
      <c r="A1731" t="s">
        <v>13</v>
      </c>
      <c r="B1731" t="s">
        <v>39</v>
      </c>
      <c r="C1731" s="77" t="s">
        <v>88</v>
      </c>
      <c r="D1731" t="s">
        <v>81</v>
      </c>
      <c r="E1731" s="77" t="s">
        <v>86</v>
      </c>
      <c r="F1731" s="77" t="s">
        <v>73</v>
      </c>
      <c r="G1731" s="77" t="s">
        <v>74</v>
      </c>
      <c r="H1731" s="77" t="s">
        <v>128</v>
      </c>
      <c r="I1731" s="77" t="s">
        <v>84</v>
      </c>
      <c r="J1731" s="76">
        <f>'SUT_EU27 total'!$N$52</f>
        <v>6.9627451701437512E-2</v>
      </c>
    </row>
    <row r="1732" spans="1:10" x14ac:dyDescent="0.35">
      <c r="A1732" t="s">
        <v>13</v>
      </c>
      <c r="B1732" t="s">
        <v>39</v>
      </c>
      <c r="C1732" s="77" t="s">
        <v>90</v>
      </c>
      <c r="D1732" t="s">
        <v>81</v>
      </c>
      <c r="E1732" s="77" t="s">
        <v>82</v>
      </c>
      <c r="F1732" s="77" t="s">
        <v>73</v>
      </c>
      <c r="G1732" s="77" t="s">
        <v>74</v>
      </c>
      <c r="H1732" s="77" t="s">
        <v>128</v>
      </c>
      <c r="I1732" s="77" t="s">
        <v>84</v>
      </c>
      <c r="J1732" s="76">
        <f>'SUT_EU27 total'!$N$62</f>
        <v>2.2200107734217647E-6</v>
      </c>
    </row>
    <row r="1733" spans="1:10" x14ac:dyDescent="0.35">
      <c r="A1733" t="s">
        <v>13</v>
      </c>
      <c r="B1733" t="s">
        <v>39</v>
      </c>
      <c r="C1733" s="77" t="s">
        <v>90</v>
      </c>
      <c r="D1733" t="s">
        <v>81</v>
      </c>
      <c r="E1733" s="77" t="s">
        <v>86</v>
      </c>
      <c r="F1733" s="77" t="s">
        <v>73</v>
      </c>
      <c r="G1733" s="77" t="s">
        <v>74</v>
      </c>
      <c r="H1733" s="77" t="s">
        <v>128</v>
      </c>
      <c r="I1733" s="77" t="s">
        <v>84</v>
      </c>
      <c r="J1733" s="76">
        <f>'SUT_EU27 total'!$N$69</f>
        <v>9.1135123377023061E-3</v>
      </c>
    </row>
    <row r="1734" spans="1:10" x14ac:dyDescent="0.35">
      <c r="A1734" t="s">
        <v>13</v>
      </c>
      <c r="B1734" t="s">
        <v>39</v>
      </c>
      <c r="C1734" s="77" t="s">
        <v>91</v>
      </c>
      <c r="D1734" t="s">
        <v>81</v>
      </c>
      <c r="E1734" s="77" t="s">
        <v>82</v>
      </c>
      <c r="F1734" s="77" t="s">
        <v>73</v>
      </c>
      <c r="G1734" s="77" t="s">
        <v>74</v>
      </c>
      <c r="H1734" s="77" t="s">
        <v>128</v>
      </c>
      <c r="I1734" s="77" t="s">
        <v>84</v>
      </c>
      <c r="J1734" s="76">
        <f>'SUT_EU27 total'!$N$79</f>
        <v>4.3195382907628159E-4</v>
      </c>
    </row>
    <row r="1735" spans="1:10" x14ac:dyDescent="0.35">
      <c r="A1735" t="s">
        <v>13</v>
      </c>
      <c r="B1735" t="s">
        <v>39</v>
      </c>
      <c r="C1735" s="77" t="s">
        <v>91</v>
      </c>
      <c r="D1735" t="s">
        <v>81</v>
      </c>
      <c r="E1735" s="77" t="s">
        <v>86</v>
      </c>
      <c r="F1735" s="77" t="s">
        <v>73</v>
      </c>
      <c r="G1735" s="77" t="s">
        <v>74</v>
      </c>
      <c r="H1735" s="77" t="s">
        <v>128</v>
      </c>
      <c r="I1735" s="77" t="s">
        <v>84</v>
      </c>
      <c r="J1735" s="76">
        <f>'SUT_EU27 total'!$N$86</f>
        <v>1.1339568587203704E-2</v>
      </c>
    </row>
    <row r="1736" spans="1:10" x14ac:dyDescent="0.35">
      <c r="A1736" t="s">
        <v>13</v>
      </c>
      <c r="B1736" t="s">
        <v>39</v>
      </c>
      <c r="C1736" s="77" t="s">
        <v>92</v>
      </c>
      <c r="D1736" t="s">
        <v>81</v>
      </c>
      <c r="E1736" s="77" t="s">
        <v>82</v>
      </c>
      <c r="F1736" s="77" t="s">
        <v>73</v>
      </c>
      <c r="G1736" s="77" t="s">
        <v>74</v>
      </c>
      <c r="H1736" s="77" t="s">
        <v>128</v>
      </c>
      <c r="I1736" s="77" t="s">
        <v>84</v>
      </c>
      <c r="J1736" s="76">
        <f>'SUT_EU27 total'!$N$96</f>
        <v>5.9963902402539811E-4</v>
      </c>
    </row>
    <row r="1737" spans="1:10" x14ac:dyDescent="0.35">
      <c r="A1737" t="s">
        <v>13</v>
      </c>
      <c r="B1737" t="s">
        <v>39</v>
      </c>
      <c r="C1737" s="77" t="s">
        <v>92</v>
      </c>
      <c r="D1737" t="s">
        <v>81</v>
      </c>
      <c r="E1737" s="77" t="s">
        <v>86</v>
      </c>
      <c r="F1737" s="77" t="s">
        <v>73</v>
      </c>
      <c r="G1737" s="77" t="s">
        <v>74</v>
      </c>
      <c r="H1737" s="77" t="s">
        <v>128</v>
      </c>
      <c r="I1737" s="77" t="s">
        <v>84</v>
      </c>
      <c r="J1737" s="76">
        <f>'SUT_EU27 total'!$N$103</f>
        <v>7.0614092017150581E-3</v>
      </c>
    </row>
    <row r="1738" spans="1:10" x14ac:dyDescent="0.35">
      <c r="A1738" t="s">
        <v>13</v>
      </c>
      <c r="B1738" t="s">
        <v>39</v>
      </c>
      <c r="C1738" s="77" t="s">
        <v>93</v>
      </c>
      <c r="D1738" t="s">
        <v>81</v>
      </c>
      <c r="E1738" s="77" t="s">
        <v>82</v>
      </c>
      <c r="F1738" s="77" t="s">
        <v>73</v>
      </c>
      <c r="G1738" s="77" t="s">
        <v>74</v>
      </c>
      <c r="H1738" s="77" t="s">
        <v>128</v>
      </c>
      <c r="I1738" s="77" t="s">
        <v>84</v>
      </c>
      <c r="J1738" s="76">
        <f>'SUT_EU27 total'!$N$113</f>
        <v>2.4854239602480213E-3</v>
      </c>
    </row>
    <row r="1739" spans="1:10" x14ac:dyDescent="0.35">
      <c r="A1739" t="s">
        <v>13</v>
      </c>
      <c r="B1739" t="s">
        <v>39</v>
      </c>
      <c r="C1739" s="77" t="s">
        <v>93</v>
      </c>
      <c r="D1739" t="s">
        <v>81</v>
      </c>
      <c r="E1739" s="77" t="s">
        <v>86</v>
      </c>
      <c r="F1739" s="77" t="s">
        <v>73</v>
      </c>
      <c r="G1739" s="77" t="s">
        <v>74</v>
      </c>
      <c r="H1739" s="77" t="s">
        <v>128</v>
      </c>
      <c r="I1739" s="77" t="s">
        <v>84</v>
      </c>
      <c r="J1739" s="76">
        <f>'SUT_EU27 total'!$N$120</f>
        <v>3.1580644155014347E-2</v>
      </c>
    </row>
    <row r="1740" spans="1:10" x14ac:dyDescent="0.35">
      <c r="A1740" t="s">
        <v>13</v>
      </c>
      <c r="B1740" t="s">
        <v>39</v>
      </c>
      <c r="C1740" s="77" t="s">
        <v>73</v>
      </c>
      <c r="D1740" t="s">
        <v>81</v>
      </c>
      <c r="E1740" s="77" t="s">
        <v>82</v>
      </c>
      <c r="F1740" s="77" t="s">
        <v>73</v>
      </c>
      <c r="G1740" s="77" t="s">
        <v>74</v>
      </c>
      <c r="H1740" s="77" t="s">
        <v>129</v>
      </c>
      <c r="I1740" s="77" t="s">
        <v>84</v>
      </c>
      <c r="J1740" s="76">
        <f>'SUT_EU27 total'!$O$28</f>
        <v>1.4658301341380521E-2</v>
      </c>
    </row>
    <row r="1741" spans="1:10" x14ac:dyDescent="0.35">
      <c r="A1741" t="s">
        <v>13</v>
      </c>
      <c r="B1741" t="s">
        <v>39</v>
      </c>
      <c r="C1741" s="77" t="s">
        <v>73</v>
      </c>
      <c r="D1741" t="s">
        <v>81</v>
      </c>
      <c r="E1741" s="77" t="s">
        <v>86</v>
      </c>
      <c r="F1741" s="77" t="s">
        <v>73</v>
      </c>
      <c r="G1741" s="77" t="s">
        <v>74</v>
      </c>
      <c r="H1741" s="77" t="s">
        <v>129</v>
      </c>
      <c r="I1741" s="77" t="s">
        <v>84</v>
      </c>
      <c r="J1741" s="76">
        <f>'SUT_EU27 total'!$O$35</f>
        <v>3.0740776778828832E-3</v>
      </c>
    </row>
    <row r="1742" spans="1:10" x14ac:dyDescent="0.35">
      <c r="A1742" t="s">
        <v>13</v>
      </c>
      <c r="B1742" t="s">
        <v>39</v>
      </c>
      <c r="C1742" s="77" t="s">
        <v>88</v>
      </c>
      <c r="D1742" t="s">
        <v>81</v>
      </c>
      <c r="E1742" s="77" t="s">
        <v>82</v>
      </c>
      <c r="F1742" s="77" t="s">
        <v>73</v>
      </c>
      <c r="G1742" s="77" t="s">
        <v>74</v>
      </c>
      <c r="H1742" s="77" t="s">
        <v>129</v>
      </c>
      <c r="I1742" s="77" t="s">
        <v>84</v>
      </c>
      <c r="J1742" s="76">
        <f>'SUT_EU27 total'!$O$45</f>
        <v>9.2276548594747033E-3</v>
      </c>
    </row>
    <row r="1743" spans="1:10" x14ac:dyDescent="0.35">
      <c r="A1743" t="s">
        <v>13</v>
      </c>
      <c r="B1743" t="s">
        <v>39</v>
      </c>
      <c r="C1743" s="77" t="s">
        <v>88</v>
      </c>
      <c r="D1743" t="s">
        <v>81</v>
      </c>
      <c r="E1743" s="77" t="s">
        <v>86</v>
      </c>
      <c r="F1743" s="77" t="s">
        <v>73</v>
      </c>
      <c r="G1743" s="77" t="s">
        <v>74</v>
      </c>
      <c r="H1743" s="77" t="s">
        <v>129</v>
      </c>
      <c r="I1743" s="77" t="s">
        <v>84</v>
      </c>
      <c r="J1743" s="76">
        <f>'SUT_EU27 total'!$O$52</f>
        <v>6.9627451701437512E-2</v>
      </c>
    </row>
    <row r="1744" spans="1:10" x14ac:dyDescent="0.35">
      <c r="A1744" t="s">
        <v>13</v>
      </c>
      <c r="B1744" t="s">
        <v>39</v>
      </c>
      <c r="C1744" s="77" t="s">
        <v>90</v>
      </c>
      <c r="D1744" t="s">
        <v>81</v>
      </c>
      <c r="E1744" s="77" t="s">
        <v>82</v>
      </c>
      <c r="F1744" s="77" t="s">
        <v>73</v>
      </c>
      <c r="G1744" s="77" t="s">
        <v>74</v>
      </c>
      <c r="H1744" s="77" t="s">
        <v>129</v>
      </c>
      <c r="I1744" s="77" t="s">
        <v>84</v>
      </c>
      <c r="J1744" s="76">
        <f>'SUT_EU27 total'!$O$62</f>
        <v>2.2200107734217647E-6</v>
      </c>
    </row>
    <row r="1745" spans="1:10" x14ac:dyDescent="0.35">
      <c r="A1745" t="s">
        <v>13</v>
      </c>
      <c r="B1745" t="s">
        <v>39</v>
      </c>
      <c r="C1745" s="77" t="s">
        <v>90</v>
      </c>
      <c r="D1745" t="s">
        <v>81</v>
      </c>
      <c r="E1745" s="77" t="s">
        <v>86</v>
      </c>
      <c r="F1745" s="77" t="s">
        <v>73</v>
      </c>
      <c r="G1745" s="77" t="s">
        <v>74</v>
      </c>
      <c r="H1745" s="77" t="s">
        <v>129</v>
      </c>
      <c r="I1745" s="77" t="s">
        <v>84</v>
      </c>
      <c r="J1745" s="76">
        <f>'SUT_EU27 total'!$O$69</f>
        <v>9.1135123377023061E-3</v>
      </c>
    </row>
    <row r="1746" spans="1:10" x14ac:dyDescent="0.35">
      <c r="A1746" t="s">
        <v>13</v>
      </c>
      <c r="B1746" t="s">
        <v>39</v>
      </c>
      <c r="C1746" s="77" t="s">
        <v>91</v>
      </c>
      <c r="D1746" t="s">
        <v>81</v>
      </c>
      <c r="E1746" s="77" t="s">
        <v>82</v>
      </c>
      <c r="F1746" s="77" t="s">
        <v>73</v>
      </c>
      <c r="G1746" s="77" t="s">
        <v>74</v>
      </c>
      <c r="H1746" s="77" t="s">
        <v>129</v>
      </c>
      <c r="I1746" s="77" t="s">
        <v>84</v>
      </c>
      <c r="J1746" s="76">
        <f>'SUT_EU27 total'!$O$79</f>
        <v>4.3195382907628159E-4</v>
      </c>
    </row>
    <row r="1747" spans="1:10" x14ac:dyDescent="0.35">
      <c r="A1747" t="s">
        <v>13</v>
      </c>
      <c r="B1747" t="s">
        <v>39</v>
      </c>
      <c r="C1747" s="77" t="s">
        <v>91</v>
      </c>
      <c r="D1747" t="s">
        <v>81</v>
      </c>
      <c r="E1747" s="77" t="s">
        <v>86</v>
      </c>
      <c r="F1747" s="77" t="s">
        <v>73</v>
      </c>
      <c r="G1747" s="77" t="s">
        <v>74</v>
      </c>
      <c r="H1747" s="77" t="s">
        <v>129</v>
      </c>
      <c r="I1747" s="77" t="s">
        <v>84</v>
      </c>
      <c r="J1747" s="76">
        <f>'SUT_EU27 total'!$O$86</f>
        <v>1.1339568587203704E-2</v>
      </c>
    </row>
    <row r="1748" spans="1:10" x14ac:dyDescent="0.35">
      <c r="A1748" t="s">
        <v>13</v>
      </c>
      <c r="B1748" t="s">
        <v>39</v>
      </c>
      <c r="C1748" s="77" t="s">
        <v>92</v>
      </c>
      <c r="D1748" t="s">
        <v>81</v>
      </c>
      <c r="E1748" s="77" t="s">
        <v>82</v>
      </c>
      <c r="F1748" s="77" t="s">
        <v>73</v>
      </c>
      <c r="G1748" s="77" t="s">
        <v>74</v>
      </c>
      <c r="H1748" s="77" t="s">
        <v>129</v>
      </c>
      <c r="I1748" s="77" t="s">
        <v>84</v>
      </c>
      <c r="J1748" s="76">
        <f>'SUT_EU27 total'!$O$96</f>
        <v>5.9963902402539811E-4</v>
      </c>
    </row>
    <row r="1749" spans="1:10" x14ac:dyDescent="0.35">
      <c r="A1749" t="s">
        <v>13</v>
      </c>
      <c r="B1749" t="s">
        <v>39</v>
      </c>
      <c r="C1749" s="77" t="s">
        <v>92</v>
      </c>
      <c r="D1749" t="s">
        <v>81</v>
      </c>
      <c r="E1749" s="77" t="s">
        <v>86</v>
      </c>
      <c r="F1749" s="77" t="s">
        <v>73</v>
      </c>
      <c r="G1749" s="77" t="s">
        <v>74</v>
      </c>
      <c r="H1749" s="77" t="s">
        <v>129</v>
      </c>
      <c r="I1749" s="77" t="s">
        <v>84</v>
      </c>
      <c r="J1749" s="76">
        <f>'SUT_EU27 total'!$O$103</f>
        <v>7.0614092017150581E-3</v>
      </c>
    </row>
    <row r="1750" spans="1:10" x14ac:dyDescent="0.35">
      <c r="A1750" t="s">
        <v>13</v>
      </c>
      <c r="B1750" t="s">
        <v>39</v>
      </c>
      <c r="C1750" s="77" t="s">
        <v>93</v>
      </c>
      <c r="D1750" t="s">
        <v>81</v>
      </c>
      <c r="E1750" s="77" t="s">
        <v>82</v>
      </c>
      <c r="F1750" s="77" t="s">
        <v>73</v>
      </c>
      <c r="G1750" s="77" t="s">
        <v>74</v>
      </c>
      <c r="H1750" s="77" t="s">
        <v>129</v>
      </c>
      <c r="I1750" s="77" t="s">
        <v>84</v>
      </c>
      <c r="J1750" s="76">
        <f>'SUT_EU27 total'!$O$113</f>
        <v>2.4854239602480213E-3</v>
      </c>
    </row>
    <row r="1751" spans="1:10" x14ac:dyDescent="0.35">
      <c r="A1751" t="s">
        <v>13</v>
      </c>
      <c r="B1751" t="s">
        <v>39</v>
      </c>
      <c r="C1751" s="77" t="s">
        <v>93</v>
      </c>
      <c r="D1751" t="s">
        <v>81</v>
      </c>
      <c r="E1751" s="77" t="s">
        <v>86</v>
      </c>
      <c r="F1751" s="77" t="s">
        <v>73</v>
      </c>
      <c r="G1751" s="77" t="s">
        <v>74</v>
      </c>
      <c r="H1751" s="77" t="s">
        <v>129</v>
      </c>
      <c r="I1751" s="77" t="s">
        <v>84</v>
      </c>
      <c r="J1751" s="76">
        <f>'SUT_EU27 total'!$O$120</f>
        <v>3.1580644155014347E-2</v>
      </c>
    </row>
    <row r="1752" spans="1:10" x14ac:dyDescent="0.35">
      <c r="A1752" t="s">
        <v>13</v>
      </c>
      <c r="B1752" t="s">
        <v>39</v>
      </c>
      <c r="C1752" s="77" t="s">
        <v>73</v>
      </c>
      <c r="D1752" t="s">
        <v>81</v>
      </c>
      <c r="E1752" s="77" t="s">
        <v>82</v>
      </c>
      <c r="F1752" s="77" t="s">
        <v>73</v>
      </c>
      <c r="G1752" s="77" t="s">
        <v>74</v>
      </c>
      <c r="H1752" s="77" t="s">
        <v>130</v>
      </c>
      <c r="I1752" s="77" t="s">
        <v>84</v>
      </c>
      <c r="J1752" s="76">
        <f>'SUT_EU27 total'!$Q$28</f>
        <v>7.0611384178638645E-2</v>
      </c>
    </row>
    <row r="1753" spans="1:10" x14ac:dyDescent="0.35">
      <c r="A1753" t="s">
        <v>13</v>
      </c>
      <c r="B1753" t="s">
        <v>39</v>
      </c>
      <c r="C1753" s="77" t="s">
        <v>88</v>
      </c>
      <c r="D1753" t="s">
        <v>81</v>
      </c>
      <c r="E1753" s="77" t="s">
        <v>82</v>
      </c>
      <c r="F1753" s="77" t="s">
        <v>73</v>
      </c>
      <c r="G1753" s="77" t="s">
        <v>74</v>
      </c>
      <c r="H1753" s="77" t="s">
        <v>130</v>
      </c>
      <c r="I1753" s="77" t="s">
        <v>84</v>
      </c>
      <c r="J1753" s="76">
        <f>'SUT_EU27 total'!$Q$45</f>
        <v>4.4451090694311274E-2</v>
      </c>
    </row>
    <row r="1754" spans="1:10" x14ac:dyDescent="0.35">
      <c r="A1754" t="s">
        <v>13</v>
      </c>
      <c r="B1754" t="s">
        <v>39</v>
      </c>
      <c r="C1754" s="77" t="s">
        <v>90</v>
      </c>
      <c r="D1754" t="s">
        <v>81</v>
      </c>
      <c r="E1754" s="77" t="s">
        <v>82</v>
      </c>
      <c r="F1754" s="77" t="s">
        <v>73</v>
      </c>
      <c r="G1754" s="77" t="s">
        <v>74</v>
      </c>
      <c r="H1754" s="77" t="s">
        <v>130</v>
      </c>
      <c r="I1754" s="77" t="s">
        <v>84</v>
      </c>
      <c r="J1754" s="76">
        <f>'SUT_EU27 total'!$Q$62</f>
        <v>1.0694147292515508E-5</v>
      </c>
    </row>
    <row r="1755" spans="1:10" x14ac:dyDescent="0.35">
      <c r="A1755" t="s">
        <v>13</v>
      </c>
      <c r="B1755" t="s">
        <v>39</v>
      </c>
      <c r="C1755" s="77" t="s">
        <v>91</v>
      </c>
      <c r="D1755" t="s">
        <v>81</v>
      </c>
      <c r="E1755" s="77" t="s">
        <v>82</v>
      </c>
      <c r="F1755" s="77" t="s">
        <v>73</v>
      </c>
      <c r="G1755" s="77" t="s">
        <v>74</v>
      </c>
      <c r="H1755" s="77" t="s">
        <v>130</v>
      </c>
      <c r="I1755" s="77" t="s">
        <v>84</v>
      </c>
      <c r="J1755" s="76">
        <f>'SUT_EU27 total'!$Q$79</f>
        <v>2.0807907452574416E-3</v>
      </c>
    </row>
    <row r="1756" spans="1:10" x14ac:dyDescent="0.35">
      <c r="A1756" t="s">
        <v>13</v>
      </c>
      <c r="B1756" t="s">
        <v>39</v>
      </c>
      <c r="C1756" s="77" t="s">
        <v>92</v>
      </c>
      <c r="D1756" t="s">
        <v>81</v>
      </c>
      <c r="E1756" s="77" t="s">
        <v>82</v>
      </c>
      <c r="F1756" s="77" t="s">
        <v>73</v>
      </c>
      <c r="G1756" s="77" t="s">
        <v>74</v>
      </c>
      <c r="H1756" s="77" t="s">
        <v>130</v>
      </c>
      <c r="I1756" s="77" t="s">
        <v>84</v>
      </c>
      <c r="J1756" s="76">
        <f>'SUT_EU27 total'!$Q$96</f>
        <v>2.8885571737041122E-3</v>
      </c>
    </row>
    <row r="1757" spans="1:10" x14ac:dyDescent="0.35">
      <c r="A1757" t="s">
        <v>13</v>
      </c>
      <c r="B1757" t="s">
        <v>39</v>
      </c>
      <c r="C1757" s="77" t="s">
        <v>93</v>
      </c>
      <c r="D1757" t="s">
        <v>81</v>
      </c>
      <c r="E1757" s="77" t="s">
        <v>82</v>
      </c>
      <c r="F1757" s="77" t="s">
        <v>73</v>
      </c>
      <c r="G1757" s="77" t="s">
        <v>74</v>
      </c>
      <c r="H1757" s="77" t="s">
        <v>130</v>
      </c>
      <c r="I1757" s="77" t="s">
        <v>84</v>
      </c>
      <c r="J1757" s="76">
        <f>'SUT_EU27 total'!$Q$113</f>
        <v>1.1972685102906883E-2</v>
      </c>
    </row>
    <row r="1758" spans="1:10" x14ac:dyDescent="0.35">
      <c r="A1758" t="s">
        <v>13</v>
      </c>
      <c r="B1758" t="s">
        <v>39</v>
      </c>
      <c r="C1758" s="77" t="s">
        <v>73</v>
      </c>
      <c r="D1758" t="s">
        <v>81</v>
      </c>
      <c r="E1758" s="77" t="s">
        <v>131</v>
      </c>
      <c r="F1758" s="77" t="s">
        <v>73</v>
      </c>
      <c r="G1758" s="77" t="s">
        <v>74</v>
      </c>
      <c r="H1758" s="77" t="s">
        <v>112</v>
      </c>
      <c r="I1758" s="77" t="s">
        <v>84</v>
      </c>
      <c r="J1758" s="76">
        <f>'SUT_EU27 total'!$R$24</f>
        <v>4.0146105919003111E-8</v>
      </c>
    </row>
    <row r="1759" spans="1:10" x14ac:dyDescent="0.35">
      <c r="A1759" t="s">
        <v>13</v>
      </c>
      <c r="B1759" t="s">
        <v>39</v>
      </c>
      <c r="C1759" s="77" t="s">
        <v>73</v>
      </c>
      <c r="D1759" t="s">
        <v>81</v>
      </c>
      <c r="E1759" s="77" t="s">
        <v>122</v>
      </c>
      <c r="F1759" s="77" t="s">
        <v>73</v>
      </c>
      <c r="G1759" s="77" t="s">
        <v>74</v>
      </c>
      <c r="H1759" s="77" t="s">
        <v>112</v>
      </c>
      <c r="I1759" s="77" t="s">
        <v>84</v>
      </c>
      <c r="J1759" s="76">
        <f>'SUT_EU27 total'!$R$30</f>
        <v>3.9708116569218732E-4</v>
      </c>
    </row>
    <row r="1760" spans="1:10" x14ac:dyDescent="0.35">
      <c r="A1760" t="s">
        <v>13</v>
      </c>
      <c r="B1760" t="s">
        <v>39</v>
      </c>
      <c r="C1760" s="77" t="s">
        <v>73</v>
      </c>
      <c r="D1760" t="s">
        <v>81</v>
      </c>
      <c r="E1760" s="77" t="s">
        <v>101</v>
      </c>
      <c r="F1760" s="77" t="s">
        <v>73</v>
      </c>
      <c r="G1760" s="77" t="s">
        <v>74</v>
      </c>
      <c r="H1760" s="77" t="s">
        <v>112</v>
      </c>
      <c r="I1760" s="77" t="s">
        <v>84</v>
      </c>
      <c r="J1760" s="471" cm="1">
        <f t="array" ref="J1760:J1762">Sensitivity!J98:J100</f>
        <v>4.6878208830362335E-7</v>
      </c>
    </row>
    <row r="1761" spans="1:10" x14ac:dyDescent="0.35">
      <c r="A1761" t="s">
        <v>13</v>
      </c>
      <c r="B1761" t="s">
        <v>39</v>
      </c>
      <c r="C1761" s="77" t="s">
        <v>73</v>
      </c>
      <c r="D1761" t="s">
        <v>81</v>
      </c>
      <c r="E1761" s="77" t="s">
        <v>104</v>
      </c>
      <c r="F1761" s="77" t="s">
        <v>73</v>
      </c>
      <c r="G1761" s="77" t="s">
        <v>74</v>
      </c>
      <c r="H1761" s="77" t="s">
        <v>112</v>
      </c>
      <c r="I1761" s="77" t="s">
        <v>84</v>
      </c>
      <c r="J1761" s="471">
        <v>2.6881315678867343E-7</v>
      </c>
    </row>
    <row r="1762" spans="1:10" x14ac:dyDescent="0.35">
      <c r="A1762" t="s">
        <v>13</v>
      </c>
      <c r="B1762" t="s">
        <v>39</v>
      </c>
      <c r="C1762" s="77" t="s">
        <v>73</v>
      </c>
      <c r="D1762" t="s">
        <v>81</v>
      </c>
      <c r="E1762" s="77" t="s">
        <v>106</v>
      </c>
      <c r="F1762" s="77" t="s">
        <v>73</v>
      </c>
      <c r="G1762" s="77" t="s">
        <v>74</v>
      </c>
      <c r="H1762" s="77" t="s">
        <v>112</v>
      </c>
      <c r="I1762" s="77" t="s">
        <v>84</v>
      </c>
      <c r="J1762" s="471">
        <v>3.99557996266552E-7</v>
      </c>
    </row>
    <row r="1763" spans="1:10" x14ac:dyDescent="0.35">
      <c r="A1763" t="s">
        <v>13</v>
      </c>
      <c r="B1763" t="s">
        <v>39</v>
      </c>
      <c r="C1763" s="77" t="s">
        <v>88</v>
      </c>
      <c r="D1763" t="s">
        <v>81</v>
      </c>
      <c r="E1763" s="77" t="s">
        <v>131</v>
      </c>
      <c r="F1763" s="77" t="s">
        <v>73</v>
      </c>
      <c r="G1763" s="77" t="s">
        <v>74</v>
      </c>
      <c r="H1763" s="77" t="s">
        <v>112</v>
      </c>
      <c r="I1763" s="77" t="s">
        <v>84</v>
      </c>
      <c r="J1763" s="76">
        <f>'SUT_EU27 total'!$R$41</f>
        <v>0</v>
      </c>
    </row>
    <row r="1764" spans="1:10" x14ac:dyDescent="0.35">
      <c r="A1764" t="s">
        <v>13</v>
      </c>
      <c r="B1764" t="s">
        <v>39</v>
      </c>
      <c r="C1764" s="77" t="s">
        <v>88</v>
      </c>
      <c r="D1764" t="s">
        <v>81</v>
      </c>
      <c r="E1764" s="77" t="s">
        <v>122</v>
      </c>
      <c r="F1764" s="77" t="s">
        <v>73</v>
      </c>
      <c r="G1764" s="77" t="s">
        <v>74</v>
      </c>
      <c r="H1764" s="77" t="s">
        <v>112</v>
      </c>
      <c r="I1764" s="77" t="s">
        <v>84</v>
      </c>
      <c r="J1764" s="76">
        <f>'SUT_EU27 total'!$R$47</f>
        <v>0</v>
      </c>
    </row>
    <row r="1765" spans="1:10" x14ac:dyDescent="0.35">
      <c r="A1765" t="s">
        <v>13</v>
      </c>
      <c r="B1765" t="s">
        <v>39</v>
      </c>
      <c r="C1765" s="77" t="s">
        <v>88</v>
      </c>
      <c r="D1765" t="s">
        <v>81</v>
      </c>
      <c r="E1765" s="77" t="s">
        <v>101</v>
      </c>
      <c r="F1765" s="77" t="s">
        <v>73</v>
      </c>
      <c r="G1765" s="77" t="s">
        <v>74</v>
      </c>
      <c r="H1765" s="77" t="s">
        <v>112</v>
      </c>
      <c r="I1765" s="77" t="s">
        <v>84</v>
      </c>
      <c r="J1765" s="76" cm="1">
        <f t="array" ref="J1765:J1767">'SUT_EU27 total'!$R$49:$R$51</f>
        <v>0</v>
      </c>
    </row>
    <row r="1766" spans="1:10" x14ac:dyDescent="0.35">
      <c r="A1766" t="s">
        <v>13</v>
      </c>
      <c r="B1766" t="s">
        <v>39</v>
      </c>
      <c r="C1766" s="77" t="s">
        <v>88</v>
      </c>
      <c r="D1766" t="s">
        <v>81</v>
      </c>
      <c r="E1766" s="77" t="s">
        <v>104</v>
      </c>
      <c r="F1766" s="77" t="s">
        <v>73</v>
      </c>
      <c r="G1766" s="77" t="s">
        <v>74</v>
      </c>
      <c r="H1766" s="77" t="s">
        <v>112</v>
      </c>
      <c r="I1766" s="77" t="s">
        <v>84</v>
      </c>
      <c r="J1766" s="76">
        <v>0</v>
      </c>
    </row>
    <row r="1767" spans="1:10" x14ac:dyDescent="0.35">
      <c r="A1767" t="s">
        <v>13</v>
      </c>
      <c r="B1767" t="s">
        <v>39</v>
      </c>
      <c r="C1767" s="77" t="s">
        <v>88</v>
      </c>
      <c r="D1767" t="s">
        <v>81</v>
      </c>
      <c r="E1767" s="77" t="s">
        <v>106</v>
      </c>
      <c r="F1767" s="77" t="s">
        <v>73</v>
      </c>
      <c r="G1767" s="77" t="s">
        <v>74</v>
      </c>
      <c r="H1767" s="77" t="s">
        <v>112</v>
      </c>
      <c r="I1767" s="77" t="s">
        <v>84</v>
      </c>
      <c r="J1767" s="76">
        <v>0</v>
      </c>
    </row>
    <row r="1768" spans="1:10" x14ac:dyDescent="0.35">
      <c r="A1768" t="s">
        <v>13</v>
      </c>
      <c r="B1768" t="s">
        <v>39</v>
      </c>
      <c r="C1768" s="77" t="s">
        <v>90</v>
      </c>
      <c r="D1768" t="s">
        <v>81</v>
      </c>
      <c r="E1768" s="77" t="s">
        <v>131</v>
      </c>
      <c r="F1768" s="77" t="s">
        <v>73</v>
      </c>
      <c r="G1768" s="77" t="s">
        <v>74</v>
      </c>
      <c r="H1768" s="77" t="s">
        <v>112</v>
      </c>
      <c r="I1768" s="77" t="s">
        <v>84</v>
      </c>
      <c r="J1768" s="76">
        <f>'SUT_EU27 total'!$R$58</f>
        <v>0</v>
      </c>
    </row>
    <row r="1769" spans="1:10" x14ac:dyDescent="0.35">
      <c r="A1769" t="s">
        <v>13</v>
      </c>
      <c r="B1769" t="s">
        <v>39</v>
      </c>
      <c r="C1769" s="77" t="s">
        <v>90</v>
      </c>
      <c r="D1769" t="s">
        <v>81</v>
      </c>
      <c r="E1769" s="77" t="s">
        <v>122</v>
      </c>
      <c r="F1769" s="77" t="s">
        <v>73</v>
      </c>
      <c r="G1769" s="77" t="s">
        <v>74</v>
      </c>
      <c r="H1769" s="77" t="s">
        <v>112</v>
      </c>
      <c r="I1769" s="77" t="s">
        <v>84</v>
      </c>
      <c r="J1769" s="76">
        <f>'SUT_EU27 total'!$R$64</f>
        <v>6.4108466461028498E-4</v>
      </c>
    </row>
    <row r="1770" spans="1:10" x14ac:dyDescent="0.35">
      <c r="A1770" t="s">
        <v>13</v>
      </c>
      <c r="B1770" t="s">
        <v>39</v>
      </c>
      <c r="C1770" s="77" t="s">
        <v>90</v>
      </c>
      <c r="D1770" t="s">
        <v>81</v>
      </c>
      <c r="E1770" s="77" t="s">
        <v>101</v>
      </c>
      <c r="F1770" s="77" t="s">
        <v>73</v>
      </c>
      <c r="G1770" s="77" t="s">
        <v>74</v>
      </c>
      <c r="H1770" s="77" t="s">
        <v>112</v>
      </c>
      <c r="I1770" s="77" t="s">
        <v>84</v>
      </c>
      <c r="J1770" s="76" cm="1">
        <f t="array" ref="J1770:J1772">'SUT_EU27 total'!$R$66:$R$68</f>
        <v>0</v>
      </c>
    </row>
    <row r="1771" spans="1:10" x14ac:dyDescent="0.35">
      <c r="A1771" t="s">
        <v>13</v>
      </c>
      <c r="B1771" t="s">
        <v>39</v>
      </c>
      <c r="C1771" s="77" t="s">
        <v>90</v>
      </c>
      <c r="D1771" t="s">
        <v>81</v>
      </c>
      <c r="E1771" s="77" t="s">
        <v>104</v>
      </c>
      <c r="F1771" s="77" t="s">
        <v>73</v>
      </c>
      <c r="G1771" s="77" t="s">
        <v>74</v>
      </c>
      <c r="H1771" s="77" t="s">
        <v>112</v>
      </c>
      <c r="I1771" s="77" t="s">
        <v>84</v>
      </c>
      <c r="J1771" s="76">
        <v>0</v>
      </c>
    </row>
    <row r="1772" spans="1:10" x14ac:dyDescent="0.35">
      <c r="A1772" t="s">
        <v>13</v>
      </c>
      <c r="B1772" t="s">
        <v>39</v>
      </c>
      <c r="C1772" s="77" t="s">
        <v>90</v>
      </c>
      <c r="D1772" t="s">
        <v>81</v>
      </c>
      <c r="E1772" s="77" t="s">
        <v>106</v>
      </c>
      <c r="F1772" s="77" t="s">
        <v>73</v>
      </c>
      <c r="G1772" s="77" t="s">
        <v>74</v>
      </c>
      <c r="H1772" s="77" t="s">
        <v>112</v>
      </c>
      <c r="I1772" s="77" t="s">
        <v>84</v>
      </c>
      <c r="J1772" s="76">
        <v>0</v>
      </c>
    </row>
    <row r="1773" spans="1:10" x14ac:dyDescent="0.35">
      <c r="A1773" t="s">
        <v>13</v>
      </c>
      <c r="B1773" t="s">
        <v>39</v>
      </c>
      <c r="C1773" s="77" t="s">
        <v>91</v>
      </c>
      <c r="D1773" t="s">
        <v>81</v>
      </c>
      <c r="E1773" s="77" t="s">
        <v>131</v>
      </c>
      <c r="F1773" s="77" t="s">
        <v>73</v>
      </c>
      <c r="G1773" s="77" t="s">
        <v>74</v>
      </c>
      <c r="H1773" s="77" t="s">
        <v>112</v>
      </c>
      <c r="I1773" s="77" t="s">
        <v>84</v>
      </c>
      <c r="J1773" s="76">
        <f>'SUT_EU27 total'!$R$75</f>
        <v>0</v>
      </c>
    </row>
    <row r="1774" spans="1:10" x14ac:dyDescent="0.35">
      <c r="A1774" t="s">
        <v>13</v>
      </c>
      <c r="B1774" t="s">
        <v>39</v>
      </c>
      <c r="C1774" s="77" t="s">
        <v>91</v>
      </c>
      <c r="D1774" t="s">
        <v>81</v>
      </c>
      <c r="E1774" s="77" t="s">
        <v>122</v>
      </c>
      <c r="F1774" s="77" t="s">
        <v>73</v>
      </c>
      <c r="G1774" s="77" t="s">
        <v>74</v>
      </c>
      <c r="H1774" s="77" t="s">
        <v>112</v>
      </c>
      <c r="I1774" s="77" t="s">
        <v>84</v>
      </c>
      <c r="J1774" s="76">
        <f>'SUT_EU27 total'!$R$81</f>
        <v>0</v>
      </c>
    </row>
    <row r="1775" spans="1:10" x14ac:dyDescent="0.35">
      <c r="A1775" t="s">
        <v>13</v>
      </c>
      <c r="B1775" t="s">
        <v>39</v>
      </c>
      <c r="C1775" s="77" t="s">
        <v>91</v>
      </c>
      <c r="D1775" t="s">
        <v>81</v>
      </c>
      <c r="E1775" s="77" t="s">
        <v>101</v>
      </c>
      <c r="F1775" s="77" t="s">
        <v>73</v>
      </c>
      <c r="G1775" s="77" t="s">
        <v>74</v>
      </c>
      <c r="H1775" s="77" t="s">
        <v>112</v>
      </c>
      <c r="I1775" s="77" t="s">
        <v>84</v>
      </c>
      <c r="J1775" s="76" cm="1">
        <f t="array" ref="J1775:J1777">'SUT_EU27 total'!$R$83:$R$85</f>
        <v>0</v>
      </c>
    </row>
    <row r="1776" spans="1:10" x14ac:dyDescent="0.35">
      <c r="A1776" t="s">
        <v>13</v>
      </c>
      <c r="B1776" t="s">
        <v>39</v>
      </c>
      <c r="C1776" s="77" t="s">
        <v>91</v>
      </c>
      <c r="D1776" t="s">
        <v>81</v>
      </c>
      <c r="E1776" s="77" t="s">
        <v>104</v>
      </c>
      <c r="F1776" s="77" t="s">
        <v>73</v>
      </c>
      <c r="G1776" s="77" t="s">
        <v>74</v>
      </c>
      <c r="H1776" s="77" t="s">
        <v>112</v>
      </c>
      <c r="I1776" s="77" t="s">
        <v>84</v>
      </c>
      <c r="J1776" s="76">
        <v>0</v>
      </c>
    </row>
    <row r="1777" spans="1:10" x14ac:dyDescent="0.35">
      <c r="A1777" t="s">
        <v>13</v>
      </c>
      <c r="B1777" t="s">
        <v>39</v>
      </c>
      <c r="C1777" s="77" t="s">
        <v>91</v>
      </c>
      <c r="D1777" t="s">
        <v>81</v>
      </c>
      <c r="E1777" s="77" t="s">
        <v>106</v>
      </c>
      <c r="F1777" s="77" t="s">
        <v>73</v>
      </c>
      <c r="G1777" s="77" t="s">
        <v>74</v>
      </c>
      <c r="H1777" s="77" t="s">
        <v>112</v>
      </c>
      <c r="I1777" s="77" t="s">
        <v>84</v>
      </c>
      <c r="J1777" s="76">
        <v>0</v>
      </c>
    </row>
    <row r="1778" spans="1:10" x14ac:dyDescent="0.35">
      <c r="A1778" t="s">
        <v>13</v>
      </c>
      <c r="B1778" t="s">
        <v>39</v>
      </c>
      <c r="C1778" s="77" t="s">
        <v>92</v>
      </c>
      <c r="D1778" t="s">
        <v>81</v>
      </c>
      <c r="E1778" s="77" t="s">
        <v>131</v>
      </c>
      <c r="F1778" s="77" t="s">
        <v>73</v>
      </c>
      <c r="G1778" s="77" t="s">
        <v>74</v>
      </c>
      <c r="H1778" s="77" t="s">
        <v>112</v>
      </c>
      <c r="I1778" s="77" t="s">
        <v>84</v>
      </c>
      <c r="J1778" s="76">
        <f>'SUT_EU27 total'!$R$92</f>
        <v>0</v>
      </c>
    </row>
    <row r="1779" spans="1:10" x14ac:dyDescent="0.35">
      <c r="A1779" t="s">
        <v>13</v>
      </c>
      <c r="B1779" t="s">
        <v>39</v>
      </c>
      <c r="C1779" s="77" t="s">
        <v>92</v>
      </c>
      <c r="D1779" t="s">
        <v>81</v>
      </c>
      <c r="E1779" s="77" t="s">
        <v>122</v>
      </c>
      <c r="F1779" s="77" t="s">
        <v>73</v>
      </c>
      <c r="G1779" s="77" t="s">
        <v>74</v>
      </c>
      <c r="H1779" s="77" t="s">
        <v>112</v>
      </c>
      <c r="I1779" s="77" t="s">
        <v>84</v>
      </c>
      <c r="J1779" s="76">
        <f>'SUT_EU27 total'!$R$98</f>
        <v>0</v>
      </c>
    </row>
    <row r="1780" spans="1:10" x14ac:dyDescent="0.35">
      <c r="A1780" t="s">
        <v>13</v>
      </c>
      <c r="B1780" t="s">
        <v>39</v>
      </c>
      <c r="C1780" s="77" t="s">
        <v>92</v>
      </c>
      <c r="D1780" t="s">
        <v>81</v>
      </c>
      <c r="E1780" s="77" t="s">
        <v>101</v>
      </c>
      <c r="F1780" s="77" t="s">
        <v>73</v>
      </c>
      <c r="G1780" s="77" t="s">
        <v>74</v>
      </c>
      <c r="H1780" s="77" t="s">
        <v>112</v>
      </c>
      <c r="I1780" s="77" t="s">
        <v>84</v>
      </c>
      <c r="J1780" s="76" cm="1">
        <f t="array" ref="J1780:J1782">'SUT_EU27 total'!$R$100:$R$102</f>
        <v>0</v>
      </c>
    </row>
    <row r="1781" spans="1:10" x14ac:dyDescent="0.35">
      <c r="A1781" t="s">
        <v>13</v>
      </c>
      <c r="B1781" t="s">
        <v>39</v>
      </c>
      <c r="C1781" s="77" t="s">
        <v>92</v>
      </c>
      <c r="D1781" t="s">
        <v>81</v>
      </c>
      <c r="E1781" s="77" t="s">
        <v>104</v>
      </c>
      <c r="F1781" s="77" t="s">
        <v>73</v>
      </c>
      <c r="G1781" s="77" t="s">
        <v>74</v>
      </c>
      <c r="H1781" s="77" t="s">
        <v>112</v>
      </c>
      <c r="I1781" s="77" t="s">
        <v>84</v>
      </c>
      <c r="J1781" s="76">
        <v>0</v>
      </c>
    </row>
    <row r="1782" spans="1:10" x14ac:dyDescent="0.35">
      <c r="A1782" t="s">
        <v>13</v>
      </c>
      <c r="B1782" t="s">
        <v>39</v>
      </c>
      <c r="C1782" s="77" t="s">
        <v>92</v>
      </c>
      <c r="D1782" t="s">
        <v>81</v>
      </c>
      <c r="E1782" s="77" t="s">
        <v>106</v>
      </c>
      <c r="F1782" s="77" t="s">
        <v>73</v>
      </c>
      <c r="G1782" s="77" t="s">
        <v>74</v>
      </c>
      <c r="H1782" s="77" t="s">
        <v>112</v>
      </c>
      <c r="I1782" s="77" t="s">
        <v>84</v>
      </c>
      <c r="J1782" s="76">
        <v>0</v>
      </c>
    </row>
    <row r="1783" spans="1:10" x14ac:dyDescent="0.35">
      <c r="A1783" t="s">
        <v>13</v>
      </c>
      <c r="B1783" t="s">
        <v>39</v>
      </c>
      <c r="C1783" s="77" t="s">
        <v>93</v>
      </c>
      <c r="D1783" t="s">
        <v>81</v>
      </c>
      <c r="E1783" s="77" t="s">
        <v>131</v>
      </c>
      <c r="F1783" s="77" t="s">
        <v>73</v>
      </c>
      <c r="G1783" s="77" t="s">
        <v>74</v>
      </c>
      <c r="H1783" s="77" t="s">
        <v>112</v>
      </c>
      <c r="I1783" s="77" t="s">
        <v>84</v>
      </c>
      <c r="J1783" s="76">
        <f>'SUT_EU27 total'!$R$109</f>
        <v>0</v>
      </c>
    </row>
    <row r="1784" spans="1:10" x14ac:dyDescent="0.35">
      <c r="A1784" t="s">
        <v>13</v>
      </c>
      <c r="B1784" t="s">
        <v>39</v>
      </c>
      <c r="C1784" s="77" t="s">
        <v>93</v>
      </c>
      <c r="D1784" t="s">
        <v>81</v>
      </c>
      <c r="E1784" s="77" t="s">
        <v>122</v>
      </c>
      <c r="F1784" s="77" t="s">
        <v>73</v>
      </c>
      <c r="G1784" s="77" t="s">
        <v>74</v>
      </c>
      <c r="H1784" s="77" t="s">
        <v>112</v>
      </c>
      <c r="I1784" s="77" t="s">
        <v>84</v>
      </c>
      <c r="J1784" s="76">
        <f>'SUT_EU27 total'!$R$115</f>
        <v>2.188358424259166E-3</v>
      </c>
    </row>
    <row r="1785" spans="1:10" x14ac:dyDescent="0.35">
      <c r="A1785" t="s">
        <v>13</v>
      </c>
      <c r="B1785" t="s">
        <v>39</v>
      </c>
      <c r="C1785" s="77" t="s">
        <v>93</v>
      </c>
      <c r="D1785" t="s">
        <v>81</v>
      </c>
      <c r="E1785" s="77" t="s">
        <v>101</v>
      </c>
      <c r="F1785" s="77" t="s">
        <v>73</v>
      </c>
      <c r="G1785" s="77" t="s">
        <v>74</v>
      </c>
      <c r="H1785" s="77" t="s">
        <v>112</v>
      </c>
      <c r="I1785" s="77" t="s">
        <v>84</v>
      </c>
      <c r="J1785" s="76" cm="1">
        <f t="array" ref="J1785:J1787">'SUT_EU27 total'!$R$117:$R$119</f>
        <v>0</v>
      </c>
    </row>
    <row r="1786" spans="1:10" x14ac:dyDescent="0.35">
      <c r="A1786" t="s">
        <v>13</v>
      </c>
      <c r="B1786" t="s">
        <v>39</v>
      </c>
      <c r="C1786" s="77" t="s">
        <v>93</v>
      </c>
      <c r="D1786" t="s">
        <v>81</v>
      </c>
      <c r="E1786" s="77" t="s">
        <v>104</v>
      </c>
      <c r="F1786" s="77" t="s">
        <v>73</v>
      </c>
      <c r="G1786" s="77" t="s">
        <v>74</v>
      </c>
      <c r="H1786" s="77" t="s">
        <v>112</v>
      </c>
      <c r="I1786" s="77" t="s">
        <v>84</v>
      </c>
      <c r="J1786" s="76">
        <v>0</v>
      </c>
    </row>
    <row r="1787" spans="1:10" x14ac:dyDescent="0.35">
      <c r="A1787" t="s">
        <v>13</v>
      </c>
      <c r="B1787" t="s">
        <v>39</v>
      </c>
      <c r="C1787" s="77" t="s">
        <v>93</v>
      </c>
      <c r="D1787" t="s">
        <v>81</v>
      </c>
      <c r="E1787" s="77" t="s">
        <v>106</v>
      </c>
      <c r="F1787" s="77" t="s">
        <v>73</v>
      </c>
      <c r="G1787" s="77" t="s">
        <v>74</v>
      </c>
      <c r="H1787" s="77" t="s">
        <v>112</v>
      </c>
      <c r="I1787" s="77" t="s">
        <v>84</v>
      </c>
      <c r="J1787" s="76">
        <v>0</v>
      </c>
    </row>
    <row r="1788" spans="1:10" x14ac:dyDescent="0.35">
      <c r="A1788" t="s">
        <v>13</v>
      </c>
      <c r="B1788" t="s">
        <v>39</v>
      </c>
      <c r="C1788" s="77" t="s">
        <v>73</v>
      </c>
      <c r="D1788" t="s">
        <v>81</v>
      </c>
      <c r="E1788" s="77" t="s">
        <v>131</v>
      </c>
      <c r="F1788" s="77" t="s">
        <v>73</v>
      </c>
      <c r="G1788" s="77" t="s">
        <v>74</v>
      </c>
      <c r="H1788" s="77" t="s">
        <v>113</v>
      </c>
      <c r="I1788" s="77" t="s">
        <v>84</v>
      </c>
      <c r="J1788" s="76">
        <f>'SUT_EU27 total'!$S$24</f>
        <v>5.0294789999999994E-8</v>
      </c>
    </row>
    <row r="1789" spans="1:10" x14ac:dyDescent="0.35">
      <c r="A1789" t="s">
        <v>13</v>
      </c>
      <c r="B1789" t="s">
        <v>39</v>
      </c>
      <c r="C1789" s="77" t="s">
        <v>73</v>
      </c>
      <c r="D1789" t="s">
        <v>81</v>
      </c>
      <c r="E1789" s="77" t="s">
        <v>101</v>
      </c>
      <c r="F1789" s="77" t="s">
        <v>73</v>
      </c>
      <c r="G1789" s="77" t="s">
        <v>74</v>
      </c>
      <c r="H1789" s="77" t="s">
        <v>113</v>
      </c>
      <c r="I1789" s="77" t="s">
        <v>84</v>
      </c>
      <c r="J1789" s="471" cm="1">
        <f t="array" ref="J1789:J1791">Sensitivity!J101:J103</f>
        <v>6.8810429691480707E-5</v>
      </c>
    </row>
    <row r="1790" spans="1:10" x14ac:dyDescent="0.35">
      <c r="A1790" t="s">
        <v>13</v>
      </c>
      <c r="B1790" t="s">
        <v>39</v>
      </c>
      <c r="C1790" s="77" t="s">
        <v>73</v>
      </c>
      <c r="D1790" t="s">
        <v>81</v>
      </c>
      <c r="E1790" s="77" t="s">
        <v>104</v>
      </c>
      <c r="F1790" s="77" t="s">
        <v>73</v>
      </c>
      <c r="G1790" s="77" t="s">
        <v>74</v>
      </c>
      <c r="H1790" s="77" t="s">
        <v>113</v>
      </c>
      <c r="I1790" s="77" t="s">
        <v>84</v>
      </c>
      <c r="J1790" s="471">
        <v>3.9457883069482079E-5</v>
      </c>
    </row>
    <row r="1791" spans="1:10" x14ac:dyDescent="0.35">
      <c r="A1791" t="s">
        <v>13</v>
      </c>
      <c r="B1791" t="s">
        <v>39</v>
      </c>
      <c r="C1791" s="77" t="s">
        <v>73</v>
      </c>
      <c r="D1791" t="s">
        <v>81</v>
      </c>
      <c r="E1791" s="77" t="s">
        <v>106</v>
      </c>
      <c r="F1791" s="77" t="s">
        <v>73</v>
      </c>
      <c r="G1791" s="77" t="s">
        <v>74</v>
      </c>
      <c r="H1791" s="77" t="s">
        <v>113</v>
      </c>
      <c r="I1791" s="77" t="s">
        <v>84</v>
      </c>
      <c r="J1791" s="471">
        <v>5.8649334297860749E-5</v>
      </c>
    </row>
    <row r="1792" spans="1:10" x14ac:dyDescent="0.35">
      <c r="A1792" t="s">
        <v>13</v>
      </c>
      <c r="B1792" t="s">
        <v>39</v>
      </c>
      <c r="C1792" s="77" t="s">
        <v>88</v>
      </c>
      <c r="D1792" t="s">
        <v>81</v>
      </c>
      <c r="E1792" s="77" t="s">
        <v>131</v>
      </c>
      <c r="F1792" s="77" t="s">
        <v>73</v>
      </c>
      <c r="G1792" s="77" t="s">
        <v>74</v>
      </c>
      <c r="H1792" s="77" t="s">
        <v>113</v>
      </c>
      <c r="I1792" s="77" t="s">
        <v>84</v>
      </c>
      <c r="J1792" s="76">
        <f>'SUT_EU27 total'!$S$41</f>
        <v>0</v>
      </c>
    </row>
    <row r="1793" spans="1:10" x14ac:dyDescent="0.35">
      <c r="A1793" t="s">
        <v>13</v>
      </c>
      <c r="B1793" t="s">
        <v>39</v>
      </c>
      <c r="C1793" s="77" t="s">
        <v>88</v>
      </c>
      <c r="D1793" t="s">
        <v>81</v>
      </c>
      <c r="E1793" s="77" t="s">
        <v>101</v>
      </c>
      <c r="F1793" s="77" t="s">
        <v>73</v>
      </c>
      <c r="G1793" s="77" t="s">
        <v>74</v>
      </c>
      <c r="H1793" s="77" t="s">
        <v>113</v>
      </c>
      <c r="I1793" s="77" t="s">
        <v>84</v>
      </c>
      <c r="J1793" s="76" cm="1">
        <f t="array" ref="J1793:J1795">'SUT_EU27 total'!$S$49:$S$51</f>
        <v>0</v>
      </c>
    </row>
    <row r="1794" spans="1:10" x14ac:dyDescent="0.35">
      <c r="A1794" t="s">
        <v>13</v>
      </c>
      <c r="B1794" t="s">
        <v>39</v>
      </c>
      <c r="C1794" s="77" t="s">
        <v>88</v>
      </c>
      <c r="D1794" t="s">
        <v>81</v>
      </c>
      <c r="E1794" s="77" t="s">
        <v>104</v>
      </c>
      <c r="F1794" s="77" t="s">
        <v>73</v>
      </c>
      <c r="G1794" s="77" t="s">
        <v>74</v>
      </c>
      <c r="H1794" s="77" t="s">
        <v>113</v>
      </c>
      <c r="I1794" s="77" t="s">
        <v>84</v>
      </c>
      <c r="J1794" s="76">
        <v>0</v>
      </c>
    </row>
    <row r="1795" spans="1:10" x14ac:dyDescent="0.35">
      <c r="A1795" t="s">
        <v>13</v>
      </c>
      <c r="B1795" t="s">
        <v>39</v>
      </c>
      <c r="C1795" s="77" t="s">
        <v>88</v>
      </c>
      <c r="D1795" t="s">
        <v>81</v>
      </c>
      <c r="E1795" s="77" t="s">
        <v>106</v>
      </c>
      <c r="F1795" s="77" t="s">
        <v>73</v>
      </c>
      <c r="G1795" s="77" t="s">
        <v>74</v>
      </c>
      <c r="H1795" s="77" t="s">
        <v>113</v>
      </c>
      <c r="I1795" s="77" t="s">
        <v>84</v>
      </c>
      <c r="J1795" s="76">
        <v>0</v>
      </c>
    </row>
    <row r="1796" spans="1:10" x14ac:dyDescent="0.35">
      <c r="A1796" t="s">
        <v>13</v>
      </c>
      <c r="B1796" t="s">
        <v>39</v>
      </c>
      <c r="C1796" s="77" t="s">
        <v>90</v>
      </c>
      <c r="D1796" t="s">
        <v>81</v>
      </c>
      <c r="E1796" s="77" t="s">
        <v>131</v>
      </c>
      <c r="F1796" s="77" t="s">
        <v>73</v>
      </c>
      <c r="G1796" s="77" t="s">
        <v>74</v>
      </c>
      <c r="H1796" s="77" t="s">
        <v>113</v>
      </c>
      <c r="I1796" s="77" t="s">
        <v>84</v>
      </c>
      <c r="J1796" s="76">
        <f>'SUT_EU27 total'!$S$58</f>
        <v>0</v>
      </c>
    </row>
    <row r="1797" spans="1:10" x14ac:dyDescent="0.35">
      <c r="A1797" t="s">
        <v>13</v>
      </c>
      <c r="B1797" t="s">
        <v>39</v>
      </c>
      <c r="C1797" s="77" t="s">
        <v>90</v>
      </c>
      <c r="D1797" t="s">
        <v>81</v>
      </c>
      <c r="E1797" s="77" t="s">
        <v>101</v>
      </c>
      <c r="F1797" s="77" t="s">
        <v>73</v>
      </c>
      <c r="G1797" s="77" t="s">
        <v>74</v>
      </c>
      <c r="H1797" s="77" t="s">
        <v>113</v>
      </c>
      <c r="I1797" s="77" t="s">
        <v>84</v>
      </c>
      <c r="J1797" s="76" cm="1">
        <f t="array" ref="J1797:J1799">'SUT_EU27 total'!$S$66:$S$68</f>
        <v>0</v>
      </c>
    </row>
    <row r="1798" spans="1:10" x14ac:dyDescent="0.35">
      <c r="A1798" t="s">
        <v>13</v>
      </c>
      <c r="B1798" t="s">
        <v>39</v>
      </c>
      <c r="C1798" s="77" t="s">
        <v>90</v>
      </c>
      <c r="D1798" t="s">
        <v>81</v>
      </c>
      <c r="E1798" s="77" t="s">
        <v>104</v>
      </c>
      <c r="F1798" s="77" t="s">
        <v>73</v>
      </c>
      <c r="G1798" s="77" t="s">
        <v>74</v>
      </c>
      <c r="H1798" s="77" t="s">
        <v>113</v>
      </c>
      <c r="I1798" s="77" t="s">
        <v>84</v>
      </c>
      <c r="J1798" s="76">
        <v>0</v>
      </c>
    </row>
    <row r="1799" spans="1:10" x14ac:dyDescent="0.35">
      <c r="A1799" t="s">
        <v>13</v>
      </c>
      <c r="B1799" t="s">
        <v>39</v>
      </c>
      <c r="C1799" s="77" t="s">
        <v>90</v>
      </c>
      <c r="D1799" t="s">
        <v>81</v>
      </c>
      <c r="E1799" s="77" t="s">
        <v>106</v>
      </c>
      <c r="F1799" s="77" t="s">
        <v>73</v>
      </c>
      <c r="G1799" s="77" t="s">
        <v>74</v>
      </c>
      <c r="H1799" s="77" t="s">
        <v>113</v>
      </c>
      <c r="I1799" s="77" t="s">
        <v>84</v>
      </c>
      <c r="J1799" s="76">
        <v>0</v>
      </c>
    </row>
    <row r="1800" spans="1:10" x14ac:dyDescent="0.35">
      <c r="A1800" t="s">
        <v>13</v>
      </c>
      <c r="B1800" t="s">
        <v>39</v>
      </c>
      <c r="C1800" s="77" t="s">
        <v>91</v>
      </c>
      <c r="D1800" t="s">
        <v>81</v>
      </c>
      <c r="E1800" s="77" t="s">
        <v>131</v>
      </c>
      <c r="F1800" s="77" t="s">
        <v>73</v>
      </c>
      <c r="G1800" s="77" t="s">
        <v>74</v>
      </c>
      <c r="H1800" s="77" t="s">
        <v>113</v>
      </c>
      <c r="I1800" s="77" t="s">
        <v>84</v>
      </c>
      <c r="J1800" s="76">
        <f>'SUT_EU27 total'!$S$75</f>
        <v>0</v>
      </c>
    </row>
    <row r="1801" spans="1:10" x14ac:dyDescent="0.35">
      <c r="A1801" t="s">
        <v>13</v>
      </c>
      <c r="B1801" t="s">
        <v>39</v>
      </c>
      <c r="C1801" s="77" t="s">
        <v>91</v>
      </c>
      <c r="D1801" t="s">
        <v>81</v>
      </c>
      <c r="E1801" s="77" t="s">
        <v>101</v>
      </c>
      <c r="F1801" s="77" t="s">
        <v>73</v>
      </c>
      <c r="G1801" s="77" t="s">
        <v>74</v>
      </c>
      <c r="H1801" s="77" t="s">
        <v>113</v>
      </c>
      <c r="I1801" s="77" t="s">
        <v>84</v>
      </c>
      <c r="J1801" s="76" cm="1">
        <f t="array" ref="J1801:J1803">'SUT_EU27 total'!$S$83:$S$85</f>
        <v>0</v>
      </c>
    </row>
    <row r="1802" spans="1:10" x14ac:dyDescent="0.35">
      <c r="A1802" t="s">
        <v>13</v>
      </c>
      <c r="B1802" t="s">
        <v>39</v>
      </c>
      <c r="C1802" s="77" t="s">
        <v>91</v>
      </c>
      <c r="D1802" t="s">
        <v>81</v>
      </c>
      <c r="E1802" s="77" t="s">
        <v>104</v>
      </c>
      <c r="F1802" s="77" t="s">
        <v>73</v>
      </c>
      <c r="G1802" s="77" t="s">
        <v>74</v>
      </c>
      <c r="H1802" s="77" t="s">
        <v>113</v>
      </c>
      <c r="I1802" s="77" t="s">
        <v>84</v>
      </c>
      <c r="J1802" s="76">
        <v>0</v>
      </c>
    </row>
    <row r="1803" spans="1:10" x14ac:dyDescent="0.35">
      <c r="A1803" t="s">
        <v>13</v>
      </c>
      <c r="B1803" t="s">
        <v>39</v>
      </c>
      <c r="C1803" s="77" t="s">
        <v>91</v>
      </c>
      <c r="D1803" t="s">
        <v>81</v>
      </c>
      <c r="E1803" s="77" t="s">
        <v>106</v>
      </c>
      <c r="F1803" s="77" t="s">
        <v>73</v>
      </c>
      <c r="G1803" s="77" t="s">
        <v>74</v>
      </c>
      <c r="H1803" s="77" t="s">
        <v>113</v>
      </c>
      <c r="I1803" s="77" t="s">
        <v>84</v>
      </c>
      <c r="J1803" s="76">
        <v>0</v>
      </c>
    </row>
    <row r="1804" spans="1:10" x14ac:dyDescent="0.35">
      <c r="A1804" t="s">
        <v>13</v>
      </c>
      <c r="B1804" t="s">
        <v>39</v>
      </c>
      <c r="C1804" s="77" t="s">
        <v>92</v>
      </c>
      <c r="D1804" t="s">
        <v>81</v>
      </c>
      <c r="E1804" s="77" t="s">
        <v>131</v>
      </c>
      <c r="F1804" s="77" t="s">
        <v>73</v>
      </c>
      <c r="G1804" s="77" t="s">
        <v>74</v>
      </c>
      <c r="H1804" s="77" t="s">
        <v>113</v>
      </c>
      <c r="I1804" s="77" t="s">
        <v>84</v>
      </c>
      <c r="J1804" s="76">
        <f>'SUT_EU27 total'!$S$92</f>
        <v>0</v>
      </c>
    </row>
    <row r="1805" spans="1:10" x14ac:dyDescent="0.35">
      <c r="A1805" t="s">
        <v>13</v>
      </c>
      <c r="B1805" t="s">
        <v>39</v>
      </c>
      <c r="C1805" s="77" t="s">
        <v>92</v>
      </c>
      <c r="D1805" t="s">
        <v>81</v>
      </c>
      <c r="E1805" s="77" t="s">
        <v>101</v>
      </c>
      <c r="F1805" s="77" t="s">
        <v>73</v>
      </c>
      <c r="G1805" s="77" t="s">
        <v>74</v>
      </c>
      <c r="H1805" s="77" t="s">
        <v>113</v>
      </c>
      <c r="I1805" s="77" t="s">
        <v>84</v>
      </c>
      <c r="J1805" s="76" cm="1">
        <f t="array" ref="J1805:J1807">'SUT_EU27 total'!$S$100:$S$102</f>
        <v>0</v>
      </c>
    </row>
    <row r="1806" spans="1:10" x14ac:dyDescent="0.35">
      <c r="A1806" t="s">
        <v>13</v>
      </c>
      <c r="B1806" t="s">
        <v>39</v>
      </c>
      <c r="C1806" s="77" t="s">
        <v>92</v>
      </c>
      <c r="D1806" t="s">
        <v>81</v>
      </c>
      <c r="E1806" s="77" t="s">
        <v>104</v>
      </c>
      <c r="F1806" s="77" t="s">
        <v>73</v>
      </c>
      <c r="G1806" s="77" t="s">
        <v>74</v>
      </c>
      <c r="H1806" s="77" t="s">
        <v>113</v>
      </c>
      <c r="I1806" s="77" t="s">
        <v>84</v>
      </c>
      <c r="J1806" s="76">
        <v>0</v>
      </c>
    </row>
    <row r="1807" spans="1:10" x14ac:dyDescent="0.35">
      <c r="A1807" t="s">
        <v>13</v>
      </c>
      <c r="B1807" t="s">
        <v>39</v>
      </c>
      <c r="C1807" s="77" t="s">
        <v>92</v>
      </c>
      <c r="D1807" t="s">
        <v>81</v>
      </c>
      <c r="E1807" s="77" t="s">
        <v>106</v>
      </c>
      <c r="F1807" s="77" t="s">
        <v>73</v>
      </c>
      <c r="G1807" s="77" t="s">
        <v>74</v>
      </c>
      <c r="H1807" s="77" t="s">
        <v>113</v>
      </c>
      <c r="I1807" s="77" t="s">
        <v>84</v>
      </c>
      <c r="J1807" s="76">
        <v>0</v>
      </c>
    </row>
    <row r="1808" spans="1:10" x14ac:dyDescent="0.35">
      <c r="A1808" t="s">
        <v>13</v>
      </c>
      <c r="B1808" t="s">
        <v>39</v>
      </c>
      <c r="C1808" s="77" t="s">
        <v>93</v>
      </c>
      <c r="D1808" t="s">
        <v>81</v>
      </c>
      <c r="E1808" s="77" t="s">
        <v>131</v>
      </c>
      <c r="F1808" s="77" t="s">
        <v>73</v>
      </c>
      <c r="G1808" s="77" t="s">
        <v>74</v>
      </c>
      <c r="H1808" s="77" t="s">
        <v>113</v>
      </c>
      <c r="I1808" s="77" t="s">
        <v>84</v>
      </c>
      <c r="J1808" s="76">
        <f>'SUT_EU27 total'!$S$109</f>
        <v>0</v>
      </c>
    </row>
    <row r="1809" spans="1:10" x14ac:dyDescent="0.35">
      <c r="A1809" t="s">
        <v>13</v>
      </c>
      <c r="B1809" t="s">
        <v>39</v>
      </c>
      <c r="C1809" s="77" t="s">
        <v>93</v>
      </c>
      <c r="D1809" t="s">
        <v>81</v>
      </c>
      <c r="E1809" s="77" t="s">
        <v>101</v>
      </c>
      <c r="F1809" s="77" t="s">
        <v>73</v>
      </c>
      <c r="G1809" s="77" t="s">
        <v>74</v>
      </c>
      <c r="H1809" s="77" t="s">
        <v>113</v>
      </c>
      <c r="I1809" s="77" t="s">
        <v>84</v>
      </c>
      <c r="J1809" s="76" cm="1">
        <f t="array" ref="J1809:J1811">'SUT_EU27 total'!$S$117:$S$119</f>
        <v>0</v>
      </c>
    </row>
    <row r="1810" spans="1:10" x14ac:dyDescent="0.35">
      <c r="A1810" t="s">
        <v>13</v>
      </c>
      <c r="B1810" t="s">
        <v>39</v>
      </c>
      <c r="C1810" s="77" t="s">
        <v>93</v>
      </c>
      <c r="D1810" t="s">
        <v>81</v>
      </c>
      <c r="E1810" s="77" t="s">
        <v>104</v>
      </c>
      <c r="F1810" s="77" t="s">
        <v>73</v>
      </c>
      <c r="G1810" s="77" t="s">
        <v>74</v>
      </c>
      <c r="H1810" s="77" t="s">
        <v>113</v>
      </c>
      <c r="I1810" s="77" t="s">
        <v>84</v>
      </c>
      <c r="J1810" s="76">
        <v>0</v>
      </c>
    </row>
    <row r="1811" spans="1:10" x14ac:dyDescent="0.35">
      <c r="A1811" t="s">
        <v>13</v>
      </c>
      <c r="B1811" t="s">
        <v>39</v>
      </c>
      <c r="C1811" s="77" t="s">
        <v>93</v>
      </c>
      <c r="D1811" t="s">
        <v>81</v>
      </c>
      <c r="E1811" s="77" t="s">
        <v>106</v>
      </c>
      <c r="F1811" s="77" t="s">
        <v>73</v>
      </c>
      <c r="G1811" s="77" t="s">
        <v>74</v>
      </c>
      <c r="H1811" s="77" t="s">
        <v>113</v>
      </c>
      <c r="I1811" s="77" t="s">
        <v>84</v>
      </c>
      <c r="J1811" s="76">
        <v>0</v>
      </c>
    </row>
    <row r="1812" spans="1:10" x14ac:dyDescent="0.35">
      <c r="A1812" t="s">
        <v>13</v>
      </c>
      <c r="B1812" t="s">
        <v>39</v>
      </c>
      <c r="C1812" s="77" t="s">
        <v>73</v>
      </c>
      <c r="D1812" t="s">
        <v>74</v>
      </c>
      <c r="E1812" s="77" t="s">
        <v>123</v>
      </c>
      <c r="F1812" s="77" t="s">
        <v>73</v>
      </c>
      <c r="G1812" s="77" t="s">
        <v>81</v>
      </c>
      <c r="H1812" s="77" t="s">
        <v>115</v>
      </c>
      <c r="I1812" s="77" t="s">
        <v>84</v>
      </c>
      <c r="J1812" s="76" cm="1">
        <f t="array" ref="J1812:J1818">TRANSPOSE('2030 pathways'!$C$8:$I$8)</f>
        <v>0.11799999999999999</v>
      </c>
    </row>
    <row r="1813" spans="1:10" x14ac:dyDescent="0.35">
      <c r="A1813" t="s">
        <v>13</v>
      </c>
      <c r="B1813" t="s">
        <v>39</v>
      </c>
      <c r="C1813" s="77" t="s">
        <v>73</v>
      </c>
      <c r="D1813" t="s">
        <v>74</v>
      </c>
      <c r="E1813" s="77" t="s">
        <v>127</v>
      </c>
      <c r="F1813" s="77" t="s">
        <v>73</v>
      </c>
      <c r="G1813" s="77" t="s">
        <v>81</v>
      </c>
      <c r="H1813" s="77" t="s">
        <v>115</v>
      </c>
      <c r="I1813" s="77" t="s">
        <v>84</v>
      </c>
      <c r="J1813" s="76">
        <v>1.18E-2</v>
      </c>
    </row>
    <row r="1814" spans="1:10" x14ac:dyDescent="0.35">
      <c r="A1814" t="s">
        <v>13</v>
      </c>
      <c r="B1814" t="s">
        <v>39</v>
      </c>
      <c r="C1814" s="77" t="s">
        <v>73</v>
      </c>
      <c r="D1814" t="s">
        <v>74</v>
      </c>
      <c r="E1814" s="77" t="s">
        <v>128</v>
      </c>
      <c r="F1814" s="77" t="s">
        <v>73</v>
      </c>
      <c r="G1814" s="77" t="s">
        <v>81</v>
      </c>
      <c r="H1814" s="77" t="s">
        <v>115</v>
      </c>
      <c r="I1814" s="77" t="s">
        <v>84</v>
      </c>
      <c r="J1814" s="76">
        <v>2.3599999999999999E-2</v>
      </c>
    </row>
    <row r="1815" spans="1:10" x14ac:dyDescent="0.35">
      <c r="A1815" t="s">
        <v>13</v>
      </c>
      <c r="B1815" t="s">
        <v>39</v>
      </c>
      <c r="C1815" s="77" t="s">
        <v>73</v>
      </c>
      <c r="D1815" t="s">
        <v>74</v>
      </c>
      <c r="E1815" s="77" t="s">
        <v>129</v>
      </c>
      <c r="F1815" s="77" t="s">
        <v>73</v>
      </c>
      <c r="G1815" s="77" t="s">
        <v>81</v>
      </c>
      <c r="H1815" s="77" t="s">
        <v>115</v>
      </c>
      <c r="I1815" s="77" t="s">
        <v>84</v>
      </c>
      <c r="J1815" s="76">
        <v>6.4899999999999999E-2</v>
      </c>
    </row>
    <row r="1816" spans="1:10" x14ac:dyDescent="0.35">
      <c r="A1816" t="s">
        <v>13</v>
      </c>
      <c r="B1816" t="s">
        <v>39</v>
      </c>
      <c r="C1816" s="77" t="s">
        <v>73</v>
      </c>
      <c r="D1816" t="s">
        <v>74</v>
      </c>
      <c r="E1816" s="77" t="s">
        <v>77</v>
      </c>
      <c r="F1816" s="77" t="s">
        <v>73</v>
      </c>
      <c r="G1816" s="77" t="s">
        <v>81</v>
      </c>
      <c r="H1816" s="77" t="s">
        <v>115</v>
      </c>
      <c r="I1816" s="77" t="s">
        <v>84</v>
      </c>
      <c r="J1816" s="76">
        <v>4.1300000000000003E-2</v>
      </c>
    </row>
    <row r="1817" spans="1:10" x14ac:dyDescent="0.35">
      <c r="A1817" t="s">
        <v>13</v>
      </c>
      <c r="B1817" t="s">
        <v>39</v>
      </c>
      <c r="C1817" s="77" t="s">
        <v>73</v>
      </c>
      <c r="D1817" t="s">
        <v>74</v>
      </c>
      <c r="E1817" s="77" t="s">
        <v>130</v>
      </c>
      <c r="F1817" s="77" t="s">
        <v>73</v>
      </c>
      <c r="G1817" s="77" t="s">
        <v>81</v>
      </c>
      <c r="H1817" s="77" t="s">
        <v>115</v>
      </c>
      <c r="I1817" s="77" t="s">
        <v>84</v>
      </c>
      <c r="J1817" s="76">
        <v>0.33040000000000003</v>
      </c>
    </row>
    <row r="1818" spans="1:10" x14ac:dyDescent="0.35">
      <c r="A1818" t="s">
        <v>13</v>
      </c>
      <c r="B1818" t="s">
        <v>39</v>
      </c>
      <c r="C1818" s="77" t="s">
        <v>73</v>
      </c>
      <c r="D1818" t="s">
        <v>74</v>
      </c>
      <c r="E1818" s="77" t="s">
        <v>132</v>
      </c>
      <c r="F1818" s="77" t="s">
        <v>73</v>
      </c>
      <c r="G1818" s="77" t="s">
        <v>81</v>
      </c>
      <c r="H1818" s="77" t="s">
        <v>115</v>
      </c>
      <c r="I1818" s="77" t="s">
        <v>84</v>
      </c>
      <c r="J1818" s="76">
        <v>0.41</v>
      </c>
    </row>
    <row r="1819" spans="1:10" x14ac:dyDescent="0.35">
      <c r="A1819" t="s">
        <v>13</v>
      </c>
      <c r="B1819" t="s">
        <v>39</v>
      </c>
      <c r="C1819" s="77" t="s">
        <v>73</v>
      </c>
      <c r="D1819" t="s">
        <v>74</v>
      </c>
      <c r="E1819" s="77" t="s">
        <v>133</v>
      </c>
      <c r="F1819" s="77" t="s">
        <v>73</v>
      </c>
      <c r="G1819" s="77" t="s">
        <v>81</v>
      </c>
      <c r="H1819" s="77" t="s">
        <v>115</v>
      </c>
      <c r="I1819" s="77" t="s">
        <v>84</v>
      </c>
      <c r="J1819" s="76">
        <v>0</v>
      </c>
    </row>
    <row r="1820" spans="1:10" x14ac:dyDescent="0.35">
      <c r="A1820" s="385" t="s">
        <v>14</v>
      </c>
      <c r="B1820" s="385" t="s">
        <v>33</v>
      </c>
      <c r="C1820" s="474" t="s">
        <v>73</v>
      </c>
      <c r="D1820" s="385" t="s">
        <v>81</v>
      </c>
      <c r="E1820" s="474" t="s">
        <v>115</v>
      </c>
      <c r="F1820" s="474" t="s">
        <v>73</v>
      </c>
      <c r="G1820" s="474" t="s">
        <v>74</v>
      </c>
      <c r="H1820" s="474" t="s">
        <v>102</v>
      </c>
      <c r="I1820" s="474" t="s">
        <v>84</v>
      </c>
      <c r="J1820" s="475" cm="1">
        <f t="array" ref="J1820:J1821">'SUT_EU27 total'!$J$19:$J$20</f>
        <v>11.828571428571427</v>
      </c>
    </row>
    <row r="1821" spans="1:10" x14ac:dyDescent="0.35">
      <c r="A1821" t="s">
        <v>14</v>
      </c>
      <c r="B1821" t="s">
        <v>33</v>
      </c>
      <c r="C1821" s="77" t="s">
        <v>73</v>
      </c>
      <c r="D1821" t="s">
        <v>81</v>
      </c>
      <c r="E1821" s="77" t="s">
        <v>116</v>
      </c>
      <c r="F1821" s="77" t="s">
        <v>73</v>
      </c>
      <c r="G1821" s="77" t="s">
        <v>74</v>
      </c>
      <c r="H1821" s="77" t="s">
        <v>102</v>
      </c>
      <c r="I1821" s="77" t="s">
        <v>84</v>
      </c>
      <c r="J1821" s="76">
        <v>3.3421988920214002E-2</v>
      </c>
    </row>
    <row r="1822" spans="1:10" x14ac:dyDescent="0.35">
      <c r="A1822" t="s">
        <v>14</v>
      </c>
      <c r="B1822" t="s">
        <v>33</v>
      </c>
      <c r="C1822" s="77" t="s">
        <v>73</v>
      </c>
      <c r="D1822" t="s">
        <v>81</v>
      </c>
      <c r="E1822" s="77" t="s">
        <v>117</v>
      </c>
      <c r="F1822" s="77" t="s">
        <v>73</v>
      </c>
      <c r="G1822" s="77" t="s">
        <v>74</v>
      </c>
      <c r="H1822" s="77" t="s">
        <v>102</v>
      </c>
      <c r="I1822" s="77" t="s">
        <v>84</v>
      </c>
      <c r="J1822" s="76">
        <f>'SUT_EU27 total'!$J$27</f>
        <v>20.996100000000002</v>
      </c>
    </row>
    <row r="1823" spans="1:10" x14ac:dyDescent="0.35">
      <c r="A1823" t="s">
        <v>14</v>
      </c>
      <c r="B1823" t="s">
        <v>33</v>
      </c>
      <c r="C1823" s="77" t="s">
        <v>73</v>
      </c>
      <c r="D1823" t="s">
        <v>81</v>
      </c>
      <c r="E1823" s="77" t="s">
        <v>101</v>
      </c>
      <c r="F1823" s="77" t="s">
        <v>73</v>
      </c>
      <c r="G1823" s="77" t="s">
        <v>74</v>
      </c>
      <c r="H1823" s="77" t="s">
        <v>102</v>
      </c>
      <c r="I1823" s="77" t="s">
        <v>84</v>
      </c>
      <c r="J1823" s="76" cm="1">
        <f t="array" ref="J1823:J1825">'SUT_EU27 total'!$J$32:$J$34</f>
        <v>0.13437998483817604</v>
      </c>
    </row>
    <row r="1824" spans="1:10" x14ac:dyDescent="0.35">
      <c r="A1824" t="s">
        <v>14</v>
      </c>
      <c r="B1824" t="s">
        <v>33</v>
      </c>
      <c r="C1824" s="77" t="s">
        <v>73</v>
      </c>
      <c r="D1824" t="s">
        <v>81</v>
      </c>
      <c r="E1824" s="77" t="s">
        <v>104</v>
      </c>
      <c r="F1824" s="77" t="s">
        <v>73</v>
      </c>
      <c r="G1824" s="77" t="s">
        <v>74</v>
      </c>
      <c r="H1824" s="77" t="s">
        <v>102</v>
      </c>
      <c r="I1824" s="77" t="s">
        <v>84</v>
      </c>
      <c r="J1824" s="76">
        <v>0.25443647306582401</v>
      </c>
    </row>
    <row r="1825" spans="1:10" x14ac:dyDescent="0.35">
      <c r="A1825" t="s">
        <v>14</v>
      </c>
      <c r="B1825" t="s">
        <v>33</v>
      </c>
      <c r="C1825" s="77" t="s">
        <v>73</v>
      </c>
      <c r="D1825" t="s">
        <v>81</v>
      </c>
      <c r="E1825" s="77" t="s">
        <v>106</v>
      </c>
      <c r="F1825" s="77" t="s">
        <v>73</v>
      </c>
      <c r="G1825" s="77" t="s">
        <v>74</v>
      </c>
      <c r="H1825" s="77" t="s">
        <v>102</v>
      </c>
      <c r="I1825" s="77" t="s">
        <v>84</v>
      </c>
      <c r="J1825" s="76">
        <v>0.86543018049599985</v>
      </c>
    </row>
    <row r="1826" spans="1:10" x14ac:dyDescent="0.35">
      <c r="A1826" t="s">
        <v>14</v>
      </c>
      <c r="B1826" t="s">
        <v>33</v>
      </c>
      <c r="C1826" s="77" t="s">
        <v>88</v>
      </c>
      <c r="D1826" t="s">
        <v>81</v>
      </c>
      <c r="E1826" s="77" t="s">
        <v>115</v>
      </c>
      <c r="F1826" s="77" t="s">
        <v>73</v>
      </c>
      <c r="G1826" s="77" t="s">
        <v>74</v>
      </c>
      <c r="H1826" s="77" t="s">
        <v>102</v>
      </c>
      <c r="I1826" s="77" t="s">
        <v>84</v>
      </c>
      <c r="J1826" s="76" cm="1">
        <f t="array" ref="J1826:J1827">'SUT_EU27 total'!$J$36:$J$37</f>
        <v>78.857142857142847</v>
      </c>
    </row>
    <row r="1827" spans="1:10" x14ac:dyDescent="0.35">
      <c r="A1827" t="s">
        <v>14</v>
      </c>
      <c r="B1827" t="s">
        <v>33</v>
      </c>
      <c r="C1827" s="77" t="s">
        <v>88</v>
      </c>
      <c r="D1827" t="s">
        <v>81</v>
      </c>
      <c r="E1827" s="77" t="s">
        <v>116</v>
      </c>
      <c r="F1827" s="77" t="s">
        <v>73</v>
      </c>
      <c r="G1827" s="77" t="s">
        <v>74</v>
      </c>
      <c r="H1827" s="77" t="s">
        <v>102</v>
      </c>
      <c r="I1827" s="77" t="s">
        <v>84</v>
      </c>
      <c r="J1827" s="76">
        <v>0.7862213561563367</v>
      </c>
    </row>
    <row r="1828" spans="1:10" x14ac:dyDescent="0.35">
      <c r="A1828" t="s">
        <v>14</v>
      </c>
      <c r="B1828" t="s">
        <v>33</v>
      </c>
      <c r="C1828" s="77" t="s">
        <v>88</v>
      </c>
      <c r="D1828" t="s">
        <v>81</v>
      </c>
      <c r="E1828" s="77" t="s">
        <v>117</v>
      </c>
      <c r="F1828" s="77" t="s">
        <v>73</v>
      </c>
      <c r="G1828" s="77" t="s">
        <v>74</v>
      </c>
      <c r="H1828" s="77" t="s">
        <v>102</v>
      </c>
      <c r="I1828" s="77" t="s">
        <v>84</v>
      </c>
      <c r="J1828" s="76">
        <f>'SUT_EU27 total'!$J$44</f>
        <v>286.26390000000004</v>
      </c>
    </row>
    <row r="1829" spans="1:10" x14ac:dyDescent="0.35">
      <c r="A1829" t="s">
        <v>14</v>
      </c>
      <c r="B1829" t="s">
        <v>33</v>
      </c>
      <c r="C1829" s="77" t="s">
        <v>88</v>
      </c>
      <c r="D1829" t="s">
        <v>81</v>
      </c>
      <c r="E1829" s="77" t="s">
        <v>101</v>
      </c>
      <c r="F1829" s="77" t="s">
        <v>73</v>
      </c>
      <c r="G1829" s="77" t="s">
        <v>74</v>
      </c>
      <c r="H1829" s="77" t="s">
        <v>102</v>
      </c>
      <c r="I1829" s="77" t="s">
        <v>84</v>
      </c>
      <c r="J1829" s="76" cm="1">
        <f t="array" ref="J1829:J1831">'SUT_EU27 total'!$J$49:$J$51</f>
        <v>0</v>
      </c>
    </row>
    <row r="1830" spans="1:10" x14ac:dyDescent="0.35">
      <c r="A1830" t="s">
        <v>14</v>
      </c>
      <c r="B1830" t="s">
        <v>33</v>
      </c>
      <c r="C1830" s="77" t="s">
        <v>88</v>
      </c>
      <c r="D1830" t="s">
        <v>81</v>
      </c>
      <c r="E1830" s="77" t="s">
        <v>104</v>
      </c>
      <c r="F1830" s="77" t="s">
        <v>73</v>
      </c>
      <c r="G1830" s="77" t="s">
        <v>74</v>
      </c>
      <c r="H1830" s="77" t="s">
        <v>102</v>
      </c>
      <c r="I1830" s="77" t="s">
        <v>84</v>
      </c>
      <c r="J1830" s="76">
        <v>0</v>
      </c>
    </row>
    <row r="1831" spans="1:10" x14ac:dyDescent="0.35">
      <c r="A1831" t="s">
        <v>14</v>
      </c>
      <c r="B1831" t="s">
        <v>33</v>
      </c>
      <c r="C1831" s="77" t="s">
        <v>88</v>
      </c>
      <c r="D1831" t="s">
        <v>81</v>
      </c>
      <c r="E1831" s="77" t="s">
        <v>106</v>
      </c>
      <c r="F1831" s="77" t="s">
        <v>73</v>
      </c>
      <c r="G1831" s="77" t="s">
        <v>74</v>
      </c>
      <c r="H1831" s="77" t="s">
        <v>102</v>
      </c>
      <c r="I1831" s="77" t="s">
        <v>84</v>
      </c>
      <c r="J1831" s="76">
        <v>0</v>
      </c>
    </row>
    <row r="1832" spans="1:10" x14ac:dyDescent="0.35">
      <c r="A1832" t="s">
        <v>14</v>
      </c>
      <c r="B1832" t="s">
        <v>33</v>
      </c>
      <c r="C1832" s="77" t="s">
        <v>90</v>
      </c>
      <c r="D1832" t="s">
        <v>81</v>
      </c>
      <c r="E1832" s="77" t="s">
        <v>115</v>
      </c>
      <c r="F1832" s="77" t="s">
        <v>73</v>
      </c>
      <c r="G1832" s="77" t="s">
        <v>74</v>
      </c>
      <c r="H1832" s="77" t="s">
        <v>102</v>
      </c>
      <c r="I1832" s="77" t="s">
        <v>84</v>
      </c>
      <c r="J1832" s="76" cm="1">
        <f t="array" ref="J1832:J1833">'SUT_EU27 total'!$J$53:$J$54</f>
        <v>7.7904761904761894</v>
      </c>
    </row>
    <row r="1833" spans="1:10" x14ac:dyDescent="0.35">
      <c r="A1833" t="s">
        <v>14</v>
      </c>
      <c r="B1833" t="s">
        <v>33</v>
      </c>
      <c r="C1833" s="77" t="s">
        <v>90</v>
      </c>
      <c r="D1833" t="s">
        <v>81</v>
      </c>
      <c r="E1833" s="77" t="s">
        <v>116</v>
      </c>
      <c r="F1833" s="77" t="s">
        <v>73</v>
      </c>
      <c r="G1833" s="77" t="s">
        <v>74</v>
      </c>
      <c r="H1833" s="77" t="s">
        <v>102</v>
      </c>
      <c r="I1833" s="77" t="s">
        <v>84</v>
      </c>
      <c r="J1833" s="76">
        <v>1.5473889063756709E-2</v>
      </c>
    </row>
    <row r="1834" spans="1:10" x14ac:dyDescent="0.35">
      <c r="A1834" t="s">
        <v>14</v>
      </c>
      <c r="B1834" t="s">
        <v>33</v>
      </c>
      <c r="C1834" s="77" t="s">
        <v>90</v>
      </c>
      <c r="D1834" t="s">
        <v>81</v>
      </c>
      <c r="E1834" s="77" t="s">
        <v>117</v>
      </c>
      <c r="F1834" s="77" t="s">
        <v>73</v>
      </c>
      <c r="G1834" s="77" t="s">
        <v>74</v>
      </c>
      <c r="H1834" s="77" t="s">
        <v>102</v>
      </c>
      <c r="I1834" s="77" t="s">
        <v>84</v>
      </c>
      <c r="J1834" s="76">
        <f>'SUT_EU27 total'!$J$61</f>
        <v>11.2662</v>
      </c>
    </row>
    <row r="1835" spans="1:10" x14ac:dyDescent="0.35">
      <c r="A1835" t="s">
        <v>14</v>
      </c>
      <c r="B1835" t="s">
        <v>33</v>
      </c>
      <c r="C1835" s="77" t="s">
        <v>90</v>
      </c>
      <c r="D1835" t="s">
        <v>81</v>
      </c>
      <c r="E1835" s="77" t="s">
        <v>101</v>
      </c>
      <c r="F1835" s="77" t="s">
        <v>73</v>
      </c>
      <c r="G1835" s="77" t="s">
        <v>74</v>
      </c>
      <c r="H1835" s="77" t="s">
        <v>102</v>
      </c>
      <c r="I1835" s="77" t="s">
        <v>84</v>
      </c>
      <c r="J1835" s="76" cm="1">
        <f t="array" ref="J1835:J1837">'SUT_EU27 total'!$J$66:$J$68</f>
        <v>0</v>
      </c>
    </row>
    <row r="1836" spans="1:10" x14ac:dyDescent="0.35">
      <c r="A1836" t="s">
        <v>14</v>
      </c>
      <c r="B1836" t="s">
        <v>33</v>
      </c>
      <c r="C1836" s="77" t="s">
        <v>90</v>
      </c>
      <c r="D1836" t="s">
        <v>81</v>
      </c>
      <c r="E1836" s="77" t="s">
        <v>104</v>
      </c>
      <c r="F1836" s="77" t="s">
        <v>73</v>
      </c>
      <c r="G1836" s="77" t="s">
        <v>74</v>
      </c>
      <c r="H1836" s="77" t="s">
        <v>102</v>
      </c>
      <c r="I1836" s="77" t="s">
        <v>84</v>
      </c>
      <c r="J1836" s="76">
        <v>0</v>
      </c>
    </row>
    <row r="1837" spans="1:10" x14ac:dyDescent="0.35">
      <c r="A1837" t="s">
        <v>14</v>
      </c>
      <c r="B1837" t="s">
        <v>33</v>
      </c>
      <c r="C1837" s="77" t="s">
        <v>90</v>
      </c>
      <c r="D1837" t="s">
        <v>81</v>
      </c>
      <c r="E1837" s="77" t="s">
        <v>106</v>
      </c>
      <c r="F1837" s="77" t="s">
        <v>73</v>
      </c>
      <c r="G1837" s="77" t="s">
        <v>74</v>
      </c>
      <c r="H1837" s="77" t="s">
        <v>102</v>
      </c>
      <c r="I1837" s="77" t="s">
        <v>84</v>
      </c>
      <c r="J1837" s="76">
        <v>0</v>
      </c>
    </row>
    <row r="1838" spans="1:10" x14ac:dyDescent="0.35">
      <c r="A1838" t="s">
        <v>14</v>
      </c>
      <c r="B1838" t="s">
        <v>33</v>
      </c>
      <c r="C1838" s="77" t="s">
        <v>91</v>
      </c>
      <c r="D1838" t="s">
        <v>81</v>
      </c>
      <c r="E1838" s="77" t="s">
        <v>115</v>
      </c>
      <c r="F1838" s="77" t="s">
        <v>73</v>
      </c>
      <c r="G1838" s="77" t="s">
        <v>74</v>
      </c>
      <c r="H1838" s="77" t="s">
        <v>102</v>
      </c>
      <c r="I1838" s="77" t="s">
        <v>84</v>
      </c>
      <c r="J1838" s="76" cm="1">
        <f t="array" ref="J1838:J1839">'SUT_EU27 total'!$J$70:$J$71</f>
        <v>15.771428571428569</v>
      </c>
    </row>
    <row r="1839" spans="1:10" x14ac:dyDescent="0.35">
      <c r="A1839" t="s">
        <v>14</v>
      </c>
      <c r="B1839" t="s">
        <v>33</v>
      </c>
      <c r="C1839" s="77" t="s">
        <v>91</v>
      </c>
      <c r="D1839" t="s">
        <v>81</v>
      </c>
      <c r="E1839" s="77" t="s">
        <v>116</v>
      </c>
      <c r="F1839" s="77" t="s">
        <v>73</v>
      </c>
      <c r="G1839" s="77" t="s">
        <v>74</v>
      </c>
      <c r="H1839" s="77" t="s">
        <v>102</v>
      </c>
      <c r="I1839" s="77" t="s">
        <v>84</v>
      </c>
      <c r="J1839" s="76">
        <v>8.7507175559917313E-2</v>
      </c>
    </row>
    <row r="1840" spans="1:10" x14ac:dyDescent="0.35">
      <c r="A1840" t="s">
        <v>14</v>
      </c>
      <c r="B1840" t="s">
        <v>33</v>
      </c>
      <c r="C1840" s="77" t="s">
        <v>91</v>
      </c>
      <c r="D1840" t="s">
        <v>81</v>
      </c>
      <c r="E1840" s="77" t="s">
        <v>117</v>
      </c>
      <c r="F1840" s="77" t="s">
        <v>73</v>
      </c>
      <c r="G1840" s="77" t="s">
        <v>74</v>
      </c>
      <c r="H1840" s="77" t="s">
        <v>102</v>
      </c>
      <c r="I1840" s="77" t="s">
        <v>84</v>
      </c>
      <c r="J1840" s="76">
        <f>'SUT_EU27 total'!$J$78</f>
        <v>41.4801</v>
      </c>
    </row>
    <row r="1841" spans="1:10" x14ac:dyDescent="0.35">
      <c r="A1841" t="s">
        <v>14</v>
      </c>
      <c r="B1841" t="s">
        <v>33</v>
      </c>
      <c r="C1841" s="77" t="s">
        <v>91</v>
      </c>
      <c r="D1841" t="s">
        <v>81</v>
      </c>
      <c r="E1841" s="77" t="s">
        <v>101</v>
      </c>
      <c r="F1841" s="77" t="s">
        <v>73</v>
      </c>
      <c r="G1841" s="77" t="s">
        <v>74</v>
      </c>
      <c r="H1841" s="77" t="s">
        <v>102</v>
      </c>
      <c r="I1841" s="77" t="s">
        <v>84</v>
      </c>
      <c r="J1841" s="76" cm="1">
        <f t="array" ref="J1841:J1843">'SUT_EU27 total'!$J$83:$J$85</f>
        <v>0</v>
      </c>
    </row>
    <row r="1842" spans="1:10" x14ac:dyDescent="0.35">
      <c r="A1842" t="s">
        <v>14</v>
      </c>
      <c r="B1842" t="s">
        <v>33</v>
      </c>
      <c r="C1842" s="77" t="s">
        <v>91</v>
      </c>
      <c r="D1842" t="s">
        <v>81</v>
      </c>
      <c r="E1842" s="77" t="s">
        <v>104</v>
      </c>
      <c r="F1842" s="77" t="s">
        <v>73</v>
      </c>
      <c r="G1842" s="77" t="s">
        <v>74</v>
      </c>
      <c r="H1842" s="77" t="s">
        <v>102</v>
      </c>
      <c r="I1842" s="77" t="s">
        <v>84</v>
      </c>
      <c r="J1842" s="76">
        <v>0</v>
      </c>
    </row>
    <row r="1843" spans="1:10" x14ac:dyDescent="0.35">
      <c r="A1843" t="s">
        <v>14</v>
      </c>
      <c r="B1843" t="s">
        <v>33</v>
      </c>
      <c r="C1843" s="77" t="s">
        <v>91</v>
      </c>
      <c r="D1843" t="s">
        <v>81</v>
      </c>
      <c r="E1843" s="77" t="s">
        <v>106</v>
      </c>
      <c r="F1843" s="77" t="s">
        <v>73</v>
      </c>
      <c r="G1843" s="77" t="s">
        <v>74</v>
      </c>
      <c r="H1843" s="77" t="s">
        <v>102</v>
      </c>
      <c r="I1843" s="77" t="s">
        <v>84</v>
      </c>
      <c r="J1843" s="76">
        <v>0</v>
      </c>
    </row>
    <row r="1844" spans="1:10" x14ac:dyDescent="0.35">
      <c r="A1844" t="s">
        <v>14</v>
      </c>
      <c r="B1844" t="s">
        <v>33</v>
      </c>
      <c r="C1844" s="77" t="s">
        <v>92</v>
      </c>
      <c r="D1844" t="s">
        <v>81</v>
      </c>
      <c r="E1844" s="77" t="s">
        <v>115</v>
      </c>
      <c r="F1844" s="77" t="s">
        <v>73</v>
      </c>
      <c r="G1844" s="77" t="s">
        <v>74</v>
      </c>
      <c r="H1844" s="77" t="s">
        <v>102</v>
      </c>
      <c r="I1844" s="77" t="s">
        <v>84</v>
      </c>
      <c r="J1844" s="76" cm="1">
        <f t="array" ref="J1844:J1845">'SUT_EU27 total'!$J$87:$J$88</f>
        <v>6.6239999999999997</v>
      </c>
    </row>
    <row r="1845" spans="1:10" x14ac:dyDescent="0.35">
      <c r="A1845" t="s">
        <v>14</v>
      </c>
      <c r="B1845" t="s">
        <v>33</v>
      </c>
      <c r="C1845" s="77" t="s">
        <v>92</v>
      </c>
      <c r="D1845" t="s">
        <v>81</v>
      </c>
      <c r="E1845" s="77" t="s">
        <v>116</v>
      </c>
      <c r="F1845" s="77" t="s">
        <v>73</v>
      </c>
      <c r="G1845" s="77" t="s">
        <v>74</v>
      </c>
      <c r="H1845" s="77" t="s">
        <v>102</v>
      </c>
      <c r="I1845" s="77" t="s">
        <v>84</v>
      </c>
      <c r="J1845" s="76">
        <v>6.0040746268656714E-2</v>
      </c>
    </row>
    <row r="1846" spans="1:10" x14ac:dyDescent="0.35">
      <c r="A1846" t="s">
        <v>14</v>
      </c>
      <c r="B1846" t="s">
        <v>33</v>
      </c>
      <c r="C1846" s="77" t="s">
        <v>92</v>
      </c>
      <c r="D1846" t="s">
        <v>81</v>
      </c>
      <c r="E1846" s="77" t="s">
        <v>117</v>
      </c>
      <c r="F1846" s="77" t="s">
        <v>73</v>
      </c>
      <c r="G1846" s="77" t="s">
        <v>74</v>
      </c>
      <c r="H1846" s="77" t="s">
        <v>102</v>
      </c>
      <c r="I1846" s="77" t="s">
        <v>84</v>
      </c>
      <c r="J1846" s="76">
        <f>'SUT_EU27 total'!$J$95</f>
        <v>13.3146</v>
      </c>
    </row>
    <row r="1847" spans="1:10" x14ac:dyDescent="0.35">
      <c r="A1847" t="s">
        <v>14</v>
      </c>
      <c r="B1847" t="s">
        <v>33</v>
      </c>
      <c r="C1847" s="77" t="s">
        <v>92</v>
      </c>
      <c r="D1847" t="s">
        <v>81</v>
      </c>
      <c r="E1847" s="77" t="s">
        <v>101</v>
      </c>
      <c r="F1847" s="77" t="s">
        <v>73</v>
      </c>
      <c r="G1847" s="77" t="s">
        <v>74</v>
      </c>
      <c r="H1847" s="77" t="s">
        <v>102</v>
      </c>
      <c r="I1847" s="77" t="s">
        <v>84</v>
      </c>
      <c r="J1847" s="76" cm="1">
        <f t="array" ref="J1847:J1849">'SUT_EU27 total'!$J$100:$J$102</f>
        <v>0</v>
      </c>
    </row>
    <row r="1848" spans="1:10" x14ac:dyDescent="0.35">
      <c r="A1848" t="s">
        <v>14</v>
      </c>
      <c r="B1848" t="s">
        <v>33</v>
      </c>
      <c r="C1848" s="77" t="s">
        <v>92</v>
      </c>
      <c r="D1848" t="s">
        <v>81</v>
      </c>
      <c r="E1848" s="77" t="s">
        <v>104</v>
      </c>
      <c r="F1848" s="77" t="s">
        <v>73</v>
      </c>
      <c r="G1848" s="77" t="s">
        <v>74</v>
      </c>
      <c r="H1848" s="77" t="s">
        <v>102</v>
      </c>
      <c r="I1848" s="77" t="s">
        <v>84</v>
      </c>
      <c r="J1848" s="76">
        <v>0</v>
      </c>
    </row>
    <row r="1849" spans="1:10" x14ac:dyDescent="0.35">
      <c r="A1849" t="s">
        <v>14</v>
      </c>
      <c r="B1849" t="s">
        <v>33</v>
      </c>
      <c r="C1849" s="77" t="s">
        <v>92</v>
      </c>
      <c r="D1849" t="s">
        <v>81</v>
      </c>
      <c r="E1849" s="77" t="s">
        <v>106</v>
      </c>
      <c r="F1849" s="77" t="s">
        <v>73</v>
      </c>
      <c r="G1849" s="77" t="s">
        <v>74</v>
      </c>
      <c r="H1849" s="77" t="s">
        <v>102</v>
      </c>
      <c r="I1849" s="77" t="s">
        <v>84</v>
      </c>
      <c r="J1849" s="76">
        <v>0</v>
      </c>
    </row>
    <row r="1850" spans="1:10" x14ac:dyDescent="0.35">
      <c r="A1850" t="s">
        <v>14</v>
      </c>
      <c r="B1850" t="s">
        <v>33</v>
      </c>
      <c r="C1850" s="77" t="s">
        <v>93</v>
      </c>
      <c r="D1850" t="s">
        <v>81</v>
      </c>
      <c r="E1850" s="77" t="s">
        <v>115</v>
      </c>
      <c r="F1850" s="77" t="s">
        <v>73</v>
      </c>
      <c r="G1850" s="77" t="s">
        <v>74</v>
      </c>
      <c r="H1850" s="77" t="s">
        <v>102</v>
      </c>
      <c r="I1850" s="77" t="s">
        <v>84</v>
      </c>
      <c r="J1850" s="76" cm="1">
        <f t="array" ref="J1850:J1851">'SUT_EU27 total'!$J$104:$J$105</f>
        <v>44.633142857142865</v>
      </c>
    </row>
    <row r="1851" spans="1:10" x14ac:dyDescent="0.35">
      <c r="A1851" t="s">
        <v>14</v>
      </c>
      <c r="B1851" t="s">
        <v>33</v>
      </c>
      <c r="C1851" s="77" t="s">
        <v>93</v>
      </c>
      <c r="D1851" t="s">
        <v>81</v>
      </c>
      <c r="E1851" s="77" t="s">
        <v>116</v>
      </c>
      <c r="F1851" s="77" t="s">
        <v>73</v>
      </c>
      <c r="G1851" s="77" t="s">
        <v>74</v>
      </c>
      <c r="H1851" s="77" t="s">
        <v>102</v>
      </c>
      <c r="I1851" s="77" t="s">
        <v>84</v>
      </c>
      <c r="J1851" s="76">
        <v>0.3673348440311186</v>
      </c>
    </row>
    <row r="1852" spans="1:10" x14ac:dyDescent="0.35">
      <c r="A1852" t="s">
        <v>14</v>
      </c>
      <c r="B1852" t="s">
        <v>33</v>
      </c>
      <c r="C1852" s="77" t="s">
        <v>93</v>
      </c>
      <c r="D1852" t="s">
        <v>81</v>
      </c>
      <c r="E1852" s="77" t="s">
        <v>117</v>
      </c>
      <c r="F1852" s="77" t="s">
        <v>73</v>
      </c>
      <c r="G1852" s="77" t="s">
        <v>74</v>
      </c>
      <c r="H1852" s="77" t="s">
        <v>102</v>
      </c>
      <c r="I1852" s="77" t="s">
        <v>84</v>
      </c>
      <c r="J1852" s="76">
        <f>'SUT_EU27 total'!$J$112</f>
        <v>138.77909999999997</v>
      </c>
    </row>
    <row r="1853" spans="1:10" x14ac:dyDescent="0.35">
      <c r="A1853" t="s">
        <v>14</v>
      </c>
      <c r="B1853" t="s">
        <v>33</v>
      </c>
      <c r="C1853" s="77" t="s">
        <v>93</v>
      </c>
      <c r="D1853" t="s">
        <v>81</v>
      </c>
      <c r="E1853" s="77" t="s">
        <v>101</v>
      </c>
      <c r="F1853" s="77" t="s">
        <v>73</v>
      </c>
      <c r="G1853" s="77" t="s">
        <v>74</v>
      </c>
      <c r="H1853" s="77" t="s">
        <v>102</v>
      </c>
      <c r="I1853" s="77" t="s">
        <v>84</v>
      </c>
      <c r="J1853" s="76" cm="1">
        <f t="array" ref="J1853:J1855">'SUT_EU27 total'!$J$117:$J$119</f>
        <v>0</v>
      </c>
    </row>
    <row r="1854" spans="1:10" x14ac:dyDescent="0.35">
      <c r="A1854" t="s">
        <v>14</v>
      </c>
      <c r="B1854" t="s">
        <v>33</v>
      </c>
      <c r="C1854" s="77" t="s">
        <v>93</v>
      </c>
      <c r="D1854" t="s">
        <v>81</v>
      </c>
      <c r="E1854" s="77" t="s">
        <v>104</v>
      </c>
      <c r="F1854" s="77" t="s">
        <v>73</v>
      </c>
      <c r="G1854" s="77" t="s">
        <v>74</v>
      </c>
      <c r="H1854" s="77" t="s">
        <v>102</v>
      </c>
      <c r="I1854" s="77" t="s">
        <v>84</v>
      </c>
      <c r="J1854" s="76">
        <v>0</v>
      </c>
    </row>
    <row r="1855" spans="1:10" x14ac:dyDescent="0.35">
      <c r="A1855" t="s">
        <v>14</v>
      </c>
      <c r="B1855" t="s">
        <v>33</v>
      </c>
      <c r="C1855" s="77" t="s">
        <v>93</v>
      </c>
      <c r="D1855" t="s">
        <v>81</v>
      </c>
      <c r="E1855" s="77" t="s">
        <v>106</v>
      </c>
      <c r="F1855" s="77" t="s">
        <v>73</v>
      </c>
      <c r="G1855" s="77" t="s">
        <v>74</v>
      </c>
      <c r="H1855" s="77" t="s">
        <v>102</v>
      </c>
      <c r="I1855" s="77" t="s">
        <v>84</v>
      </c>
      <c r="J1855" s="76">
        <v>0</v>
      </c>
    </row>
    <row r="1856" spans="1:10" x14ac:dyDescent="0.35">
      <c r="A1856" t="s">
        <v>14</v>
      </c>
      <c r="B1856" t="s">
        <v>33</v>
      </c>
      <c r="C1856" s="77" t="s">
        <v>73</v>
      </c>
      <c r="D1856" t="s">
        <v>81</v>
      </c>
      <c r="E1856" s="77" t="s">
        <v>118</v>
      </c>
      <c r="F1856" s="77" t="s">
        <v>73</v>
      </c>
      <c r="G1856" s="77" t="s">
        <v>74</v>
      </c>
      <c r="H1856" s="77" t="s">
        <v>108</v>
      </c>
      <c r="I1856" s="77" t="s">
        <v>84</v>
      </c>
      <c r="J1856" s="76" cm="1">
        <f t="array" ref="J1856:J1858">'SUT_EU27 total'!$K$21:$K$23</f>
        <v>1.4582562144772118E-3</v>
      </c>
    </row>
    <row r="1857" spans="1:10" x14ac:dyDescent="0.35">
      <c r="A1857" t="s">
        <v>14</v>
      </c>
      <c r="B1857" t="s">
        <v>33</v>
      </c>
      <c r="C1857" s="77" t="s">
        <v>73</v>
      </c>
      <c r="D1857" t="s">
        <v>81</v>
      </c>
      <c r="E1857" s="77" t="s">
        <v>119</v>
      </c>
      <c r="F1857" s="77" t="s">
        <v>73</v>
      </c>
      <c r="G1857" s="77" t="s">
        <v>74</v>
      </c>
      <c r="H1857" s="77" t="s">
        <v>108</v>
      </c>
      <c r="I1857" s="77" t="s">
        <v>84</v>
      </c>
      <c r="J1857" s="76">
        <v>8.4634636521458274E-4</v>
      </c>
    </row>
    <row r="1858" spans="1:10" x14ac:dyDescent="0.35">
      <c r="A1858" t="s">
        <v>14</v>
      </c>
      <c r="B1858" t="s">
        <v>33</v>
      </c>
      <c r="C1858" s="77" t="s">
        <v>73</v>
      </c>
      <c r="D1858" t="s">
        <v>81</v>
      </c>
      <c r="E1858" s="77" t="s">
        <v>120</v>
      </c>
      <c r="F1858" s="77" t="s">
        <v>73</v>
      </c>
      <c r="G1858" s="77" t="s">
        <v>74</v>
      </c>
      <c r="H1858" s="77" t="s">
        <v>108</v>
      </c>
      <c r="I1858" s="77" t="s">
        <v>84</v>
      </c>
      <c r="J1858" s="76">
        <v>1.2517329093179335E-4</v>
      </c>
    </row>
    <row r="1859" spans="1:10" x14ac:dyDescent="0.35">
      <c r="A1859" t="s">
        <v>14</v>
      </c>
      <c r="B1859" t="s">
        <v>33</v>
      </c>
      <c r="C1859" s="77" t="s">
        <v>73</v>
      </c>
      <c r="D1859" t="s">
        <v>81</v>
      </c>
      <c r="E1859" s="77" t="s">
        <v>121</v>
      </c>
      <c r="F1859" s="77" t="s">
        <v>73</v>
      </c>
      <c r="G1859" s="77" t="s">
        <v>74</v>
      </c>
      <c r="H1859" s="77" t="s">
        <v>108</v>
      </c>
      <c r="I1859" s="77" t="s">
        <v>84</v>
      </c>
      <c r="J1859" s="76">
        <f>'SUT_EU27 total'!$K$25</f>
        <v>6.9749679999999994E-2</v>
      </c>
    </row>
    <row r="1860" spans="1:10" x14ac:dyDescent="0.35">
      <c r="A1860" t="s">
        <v>14</v>
      </c>
      <c r="B1860" t="s">
        <v>33</v>
      </c>
      <c r="C1860" s="77" t="s">
        <v>73</v>
      </c>
      <c r="D1860" t="s">
        <v>81</v>
      </c>
      <c r="E1860" s="77" t="s">
        <v>117</v>
      </c>
      <c r="F1860" s="77" t="s">
        <v>73</v>
      </c>
      <c r="G1860" s="77" t="s">
        <v>74</v>
      </c>
      <c r="H1860" s="77" t="s">
        <v>108</v>
      </c>
      <c r="I1860" s="77" t="s">
        <v>84</v>
      </c>
      <c r="J1860" s="76">
        <f>'SUT_EU27 total'!$K$27</f>
        <v>1.1932942595726979E-3</v>
      </c>
    </row>
    <row r="1861" spans="1:10" x14ac:dyDescent="0.35">
      <c r="A1861" t="s">
        <v>14</v>
      </c>
      <c r="B1861" t="s">
        <v>33</v>
      </c>
      <c r="C1861" s="77" t="s">
        <v>73</v>
      </c>
      <c r="D1861" t="s">
        <v>81</v>
      </c>
      <c r="E1861" s="77" t="s">
        <v>122</v>
      </c>
      <c r="F1861" s="77" t="s">
        <v>73</v>
      </c>
      <c r="G1861" s="77" t="s">
        <v>74</v>
      </c>
      <c r="H1861" s="77" t="s">
        <v>108</v>
      </c>
      <c r="I1861" s="77" t="s">
        <v>84</v>
      </c>
      <c r="J1861" s="76">
        <f>'SUT_EU27 total'!$K$30</f>
        <v>1.5965533412604042E-3</v>
      </c>
    </row>
    <row r="1862" spans="1:10" x14ac:dyDescent="0.35">
      <c r="A1862" t="s">
        <v>14</v>
      </c>
      <c r="B1862" t="s">
        <v>33</v>
      </c>
      <c r="C1862" s="77" t="s">
        <v>73</v>
      </c>
      <c r="D1862" t="s">
        <v>81</v>
      </c>
      <c r="E1862" s="77" t="s">
        <v>101</v>
      </c>
      <c r="F1862" s="77" t="s">
        <v>73</v>
      </c>
      <c r="G1862" s="77" t="s">
        <v>74</v>
      </c>
      <c r="H1862" s="77" t="s">
        <v>108</v>
      </c>
      <c r="I1862" s="77" t="s">
        <v>84</v>
      </c>
      <c r="J1862" s="76" cm="1">
        <f t="array" ref="J1862:J1864">'SUT_EU27 total'!$K$32:$K$34</f>
        <v>2.4335351040000001E-4</v>
      </c>
    </row>
    <row r="1863" spans="1:10" x14ac:dyDescent="0.35">
      <c r="A1863" t="s">
        <v>14</v>
      </c>
      <c r="B1863" t="s">
        <v>33</v>
      </c>
      <c r="C1863" s="77" t="s">
        <v>73</v>
      </c>
      <c r="D1863" t="s">
        <v>81</v>
      </c>
      <c r="E1863" s="77" t="s">
        <v>104</v>
      </c>
      <c r="F1863" s="77" t="s">
        <v>73</v>
      </c>
      <c r="G1863" s="77" t="s">
        <v>74</v>
      </c>
      <c r="H1863" s="77" t="s">
        <v>108</v>
      </c>
      <c r="I1863" s="77" t="s">
        <v>84</v>
      </c>
      <c r="J1863" s="76">
        <v>4.6076808959999996E-4</v>
      </c>
    </row>
    <row r="1864" spans="1:10" x14ac:dyDescent="0.35">
      <c r="A1864" t="s">
        <v>14</v>
      </c>
      <c r="B1864" t="s">
        <v>33</v>
      </c>
      <c r="C1864" s="77" t="s">
        <v>73</v>
      </c>
      <c r="D1864" t="s">
        <v>81</v>
      </c>
      <c r="E1864" s="77" t="s">
        <v>106</v>
      </c>
      <c r="F1864" s="77" t="s">
        <v>73</v>
      </c>
      <c r="G1864" s="77" t="s">
        <v>74</v>
      </c>
      <c r="H1864" s="77" t="s">
        <v>108</v>
      </c>
      <c r="I1864" s="77" t="s">
        <v>84</v>
      </c>
      <c r="J1864" s="76">
        <v>1.5672383999999996E-3</v>
      </c>
    </row>
    <row r="1865" spans="1:10" x14ac:dyDescent="0.35">
      <c r="A1865" t="s">
        <v>14</v>
      </c>
      <c r="B1865" t="s">
        <v>33</v>
      </c>
      <c r="C1865" s="77" t="s">
        <v>88</v>
      </c>
      <c r="D1865" t="s">
        <v>81</v>
      </c>
      <c r="E1865" s="77" t="s">
        <v>118</v>
      </c>
      <c r="F1865" s="77" t="s">
        <v>73</v>
      </c>
      <c r="G1865" s="77" t="s">
        <v>74</v>
      </c>
      <c r="H1865" s="77" t="s">
        <v>108</v>
      </c>
      <c r="I1865" s="77" t="s">
        <v>84</v>
      </c>
      <c r="J1865" s="76" cm="1">
        <f t="array" ref="J1865:J1867">'SUT_EU27 total'!$K$38:$K$40</f>
        <v>3.3029309855227888E-2</v>
      </c>
    </row>
    <row r="1866" spans="1:10" x14ac:dyDescent="0.35">
      <c r="A1866" t="s">
        <v>14</v>
      </c>
      <c r="B1866" t="s">
        <v>33</v>
      </c>
      <c r="C1866" s="77" t="s">
        <v>88</v>
      </c>
      <c r="D1866" t="s">
        <v>81</v>
      </c>
      <c r="E1866" s="77" t="s">
        <v>119</v>
      </c>
      <c r="F1866" s="77" t="s">
        <v>73</v>
      </c>
      <c r="G1866" s="77" t="s">
        <v>74</v>
      </c>
      <c r="H1866" s="77" t="s">
        <v>108</v>
      </c>
      <c r="I1866" s="77" t="s">
        <v>84</v>
      </c>
      <c r="J1866" s="76">
        <v>6.9915569300335089E-3</v>
      </c>
    </row>
    <row r="1867" spans="1:10" x14ac:dyDescent="0.35">
      <c r="A1867" t="s">
        <v>14</v>
      </c>
      <c r="B1867" t="s">
        <v>33</v>
      </c>
      <c r="C1867" s="77" t="s">
        <v>88</v>
      </c>
      <c r="D1867" t="s">
        <v>81</v>
      </c>
      <c r="E1867" s="77" t="s">
        <v>120</v>
      </c>
      <c r="F1867" s="77" t="s">
        <v>73</v>
      </c>
      <c r="G1867" s="77" t="s">
        <v>74</v>
      </c>
      <c r="H1867" s="77" t="s">
        <v>108</v>
      </c>
      <c r="I1867" s="77" t="s">
        <v>84</v>
      </c>
      <c r="J1867" s="76">
        <v>1.5283979779928203E-3</v>
      </c>
    </row>
    <row r="1868" spans="1:10" x14ac:dyDescent="0.35">
      <c r="A1868" t="s">
        <v>14</v>
      </c>
      <c r="B1868" t="s">
        <v>33</v>
      </c>
      <c r="C1868" s="77" t="s">
        <v>88</v>
      </c>
      <c r="D1868" t="s">
        <v>81</v>
      </c>
      <c r="E1868" s="77" t="s">
        <v>121</v>
      </c>
      <c r="F1868" s="77" t="s">
        <v>73</v>
      </c>
      <c r="G1868" s="77" t="s">
        <v>74</v>
      </c>
      <c r="H1868" s="77" t="s">
        <v>108</v>
      </c>
      <c r="I1868" s="77" t="s">
        <v>84</v>
      </c>
      <c r="J1868" s="76">
        <f>'SUT_EU27 total'!$K$42</f>
        <v>0</v>
      </c>
    </row>
    <row r="1869" spans="1:10" x14ac:dyDescent="0.35">
      <c r="A1869" t="s">
        <v>14</v>
      </c>
      <c r="B1869" t="s">
        <v>33</v>
      </c>
      <c r="C1869" s="77" t="s">
        <v>88</v>
      </c>
      <c r="D1869" t="s">
        <v>81</v>
      </c>
      <c r="E1869" s="77" t="s">
        <v>117</v>
      </c>
      <c r="F1869" s="77" t="s">
        <v>73</v>
      </c>
      <c r="G1869" s="77" t="s">
        <v>74</v>
      </c>
      <c r="H1869" s="77" t="s">
        <v>108</v>
      </c>
      <c r="I1869" s="77" t="s">
        <v>84</v>
      </c>
      <c r="J1869" s="76">
        <f>'SUT_EU27 total'!$K$44</f>
        <v>9.9090099874062521E-4</v>
      </c>
    </row>
    <row r="1870" spans="1:10" x14ac:dyDescent="0.35">
      <c r="A1870" t="s">
        <v>14</v>
      </c>
      <c r="B1870" t="s">
        <v>33</v>
      </c>
      <c r="C1870" s="77" t="s">
        <v>88</v>
      </c>
      <c r="D1870" t="s">
        <v>81</v>
      </c>
      <c r="E1870" s="77" t="s">
        <v>122</v>
      </c>
      <c r="F1870" s="77" t="s">
        <v>73</v>
      </c>
      <c r="G1870" s="77" t="s">
        <v>74</v>
      </c>
      <c r="H1870" s="77" t="s">
        <v>108</v>
      </c>
      <c r="I1870" s="77" t="s">
        <v>84</v>
      </c>
      <c r="J1870" s="76">
        <f>'SUT_EU27 total'!$K$47</f>
        <v>0</v>
      </c>
    </row>
    <row r="1871" spans="1:10" x14ac:dyDescent="0.35">
      <c r="A1871" t="s">
        <v>14</v>
      </c>
      <c r="B1871" t="s">
        <v>33</v>
      </c>
      <c r="C1871" s="77" t="s">
        <v>88</v>
      </c>
      <c r="D1871" t="s">
        <v>81</v>
      </c>
      <c r="E1871" s="77" t="s">
        <v>101</v>
      </c>
      <c r="F1871" s="77" t="s">
        <v>73</v>
      </c>
      <c r="G1871" s="77" t="s">
        <v>74</v>
      </c>
      <c r="H1871" s="77" t="s">
        <v>108</v>
      </c>
      <c r="I1871" s="77" t="s">
        <v>84</v>
      </c>
      <c r="J1871" s="76" cm="1">
        <f t="array" ref="J1871:J1873">'SUT_EU27 total'!$K$49:$K$51</f>
        <v>0</v>
      </c>
    </row>
    <row r="1872" spans="1:10" x14ac:dyDescent="0.35">
      <c r="A1872" t="s">
        <v>14</v>
      </c>
      <c r="B1872" t="s">
        <v>33</v>
      </c>
      <c r="C1872" s="77" t="s">
        <v>88</v>
      </c>
      <c r="D1872" t="s">
        <v>81</v>
      </c>
      <c r="E1872" s="77" t="s">
        <v>104</v>
      </c>
      <c r="F1872" s="77" t="s">
        <v>73</v>
      </c>
      <c r="G1872" s="77" t="s">
        <v>74</v>
      </c>
      <c r="H1872" s="77" t="s">
        <v>108</v>
      </c>
      <c r="I1872" s="77" t="s">
        <v>84</v>
      </c>
      <c r="J1872" s="76">
        <v>0</v>
      </c>
    </row>
    <row r="1873" spans="1:10" x14ac:dyDescent="0.35">
      <c r="A1873" t="s">
        <v>14</v>
      </c>
      <c r="B1873" t="s">
        <v>33</v>
      </c>
      <c r="C1873" s="77" t="s">
        <v>88</v>
      </c>
      <c r="D1873" t="s">
        <v>81</v>
      </c>
      <c r="E1873" s="77" t="s">
        <v>106</v>
      </c>
      <c r="F1873" s="77" t="s">
        <v>73</v>
      </c>
      <c r="G1873" s="77" t="s">
        <v>74</v>
      </c>
      <c r="H1873" s="77" t="s">
        <v>108</v>
      </c>
      <c r="I1873" s="77" t="s">
        <v>84</v>
      </c>
      <c r="J1873" s="76">
        <v>0</v>
      </c>
    </row>
    <row r="1874" spans="1:10" x14ac:dyDescent="0.35">
      <c r="A1874" t="s">
        <v>14</v>
      </c>
      <c r="B1874" t="s">
        <v>33</v>
      </c>
      <c r="C1874" s="77" t="s">
        <v>90</v>
      </c>
      <c r="D1874" t="s">
        <v>81</v>
      </c>
      <c r="E1874" s="77" t="s">
        <v>118</v>
      </c>
      <c r="F1874" s="77" t="s">
        <v>73</v>
      </c>
      <c r="G1874" s="77" t="s">
        <v>74</v>
      </c>
      <c r="H1874" s="77" t="s">
        <v>108</v>
      </c>
      <c r="I1874" s="77" t="s">
        <v>84</v>
      </c>
      <c r="J1874" s="76" cm="1">
        <f t="array" ref="J1874:J1876">'SUT_EU27 total'!$K$55:$K$57</f>
        <v>4.323194595174263E-3</v>
      </c>
    </row>
    <row r="1875" spans="1:10" x14ac:dyDescent="0.35">
      <c r="A1875" t="s">
        <v>14</v>
      </c>
      <c r="B1875" t="s">
        <v>33</v>
      </c>
      <c r="C1875" s="77" t="s">
        <v>90</v>
      </c>
      <c r="D1875" t="s">
        <v>81</v>
      </c>
      <c r="E1875" s="77" t="s">
        <v>119</v>
      </c>
      <c r="F1875" s="77" t="s">
        <v>73</v>
      </c>
      <c r="G1875" s="77" t="s">
        <v>74</v>
      </c>
      <c r="H1875" s="77" t="s">
        <v>108</v>
      </c>
      <c r="I1875" s="77" t="s">
        <v>84</v>
      </c>
      <c r="J1875" s="76">
        <v>1.2800331672655335E-3</v>
      </c>
    </row>
    <row r="1876" spans="1:10" x14ac:dyDescent="0.35">
      <c r="A1876" t="s">
        <v>14</v>
      </c>
      <c r="B1876" t="s">
        <v>33</v>
      </c>
      <c r="C1876" s="77" t="s">
        <v>90</v>
      </c>
      <c r="D1876" t="s">
        <v>81</v>
      </c>
      <c r="E1876" s="77" t="s">
        <v>120</v>
      </c>
      <c r="F1876" s="77" t="s">
        <v>73</v>
      </c>
      <c r="G1876" s="77" t="s">
        <v>74</v>
      </c>
      <c r="H1876" s="77" t="s">
        <v>108</v>
      </c>
      <c r="I1876" s="77" t="s">
        <v>84</v>
      </c>
      <c r="J1876" s="76">
        <v>5.6700291220540041E-3</v>
      </c>
    </row>
    <row r="1877" spans="1:10" x14ac:dyDescent="0.35">
      <c r="A1877" t="s">
        <v>14</v>
      </c>
      <c r="B1877" t="s">
        <v>33</v>
      </c>
      <c r="C1877" s="77" t="s">
        <v>90</v>
      </c>
      <c r="D1877" t="s">
        <v>81</v>
      </c>
      <c r="E1877" s="77" t="s">
        <v>121</v>
      </c>
      <c r="F1877" s="77" t="s">
        <v>73</v>
      </c>
      <c r="G1877" s="77" t="s">
        <v>74</v>
      </c>
      <c r="H1877" s="77" t="s">
        <v>108</v>
      </c>
      <c r="I1877" s="77" t="s">
        <v>84</v>
      </c>
      <c r="J1877" s="76">
        <f>'SUT_EU27 total'!$K$59</f>
        <v>0</v>
      </c>
    </row>
    <row r="1878" spans="1:10" x14ac:dyDescent="0.35">
      <c r="A1878" t="s">
        <v>14</v>
      </c>
      <c r="B1878" t="s">
        <v>33</v>
      </c>
      <c r="C1878" s="77" t="s">
        <v>90</v>
      </c>
      <c r="D1878" t="s">
        <v>81</v>
      </c>
      <c r="E1878" s="77" t="s">
        <v>117</v>
      </c>
      <c r="F1878" s="77" t="s">
        <v>73</v>
      </c>
      <c r="G1878" s="77" t="s">
        <v>74</v>
      </c>
      <c r="H1878" s="77" t="s">
        <v>108</v>
      </c>
      <c r="I1878" s="77" t="s">
        <v>84</v>
      </c>
      <c r="J1878" s="76">
        <f>'SUT_EU27 total'!$K$61</f>
        <v>1.1930979242119881E-3</v>
      </c>
    </row>
    <row r="1879" spans="1:10" x14ac:dyDescent="0.35">
      <c r="A1879" t="s">
        <v>14</v>
      </c>
      <c r="B1879" t="s">
        <v>33</v>
      </c>
      <c r="C1879" s="77" t="s">
        <v>90</v>
      </c>
      <c r="D1879" t="s">
        <v>81</v>
      </c>
      <c r="E1879" s="77" t="s">
        <v>122</v>
      </c>
      <c r="F1879" s="77" t="s">
        <v>73</v>
      </c>
      <c r="G1879" s="77" t="s">
        <v>74</v>
      </c>
      <c r="H1879" s="77" t="s">
        <v>108</v>
      </c>
      <c r="I1879" s="77" t="s">
        <v>84</v>
      </c>
      <c r="J1879" s="76">
        <f>'SUT_EU27 total'!$K$64</f>
        <v>2.5776238002378116E-3</v>
      </c>
    </row>
    <row r="1880" spans="1:10" x14ac:dyDescent="0.35">
      <c r="A1880" t="s">
        <v>14</v>
      </c>
      <c r="B1880" t="s">
        <v>33</v>
      </c>
      <c r="C1880" s="77" t="s">
        <v>90</v>
      </c>
      <c r="D1880" t="s">
        <v>81</v>
      </c>
      <c r="E1880" s="77" t="s">
        <v>101</v>
      </c>
      <c r="F1880" s="77" t="s">
        <v>73</v>
      </c>
      <c r="G1880" s="77" t="s">
        <v>74</v>
      </c>
      <c r="H1880" s="77" t="s">
        <v>108</v>
      </c>
      <c r="I1880" s="77" t="s">
        <v>84</v>
      </c>
      <c r="J1880" s="76" cm="1">
        <f t="array" ref="J1880:J1882">'SUT_EU27 total'!$K$66:$K$68</f>
        <v>0</v>
      </c>
    </row>
    <row r="1881" spans="1:10" x14ac:dyDescent="0.35">
      <c r="A1881" t="s">
        <v>14</v>
      </c>
      <c r="B1881" t="s">
        <v>33</v>
      </c>
      <c r="C1881" s="77" t="s">
        <v>90</v>
      </c>
      <c r="D1881" t="s">
        <v>81</v>
      </c>
      <c r="E1881" s="77" t="s">
        <v>104</v>
      </c>
      <c r="F1881" s="77" t="s">
        <v>73</v>
      </c>
      <c r="G1881" s="77" t="s">
        <v>74</v>
      </c>
      <c r="H1881" s="77" t="s">
        <v>108</v>
      </c>
      <c r="I1881" s="77" t="s">
        <v>84</v>
      </c>
      <c r="J1881" s="76">
        <v>0</v>
      </c>
    </row>
    <row r="1882" spans="1:10" x14ac:dyDescent="0.35">
      <c r="A1882" t="s">
        <v>14</v>
      </c>
      <c r="B1882" t="s">
        <v>33</v>
      </c>
      <c r="C1882" s="77" t="s">
        <v>90</v>
      </c>
      <c r="D1882" t="s">
        <v>81</v>
      </c>
      <c r="E1882" s="77" t="s">
        <v>106</v>
      </c>
      <c r="F1882" s="77" t="s">
        <v>73</v>
      </c>
      <c r="G1882" s="77" t="s">
        <v>74</v>
      </c>
      <c r="H1882" s="77" t="s">
        <v>108</v>
      </c>
      <c r="I1882" s="77" t="s">
        <v>84</v>
      </c>
      <c r="J1882" s="76">
        <v>0</v>
      </c>
    </row>
    <row r="1883" spans="1:10" x14ac:dyDescent="0.35">
      <c r="A1883" t="s">
        <v>14</v>
      </c>
      <c r="B1883" t="s">
        <v>33</v>
      </c>
      <c r="C1883" s="77" t="s">
        <v>91</v>
      </c>
      <c r="D1883" t="s">
        <v>81</v>
      </c>
      <c r="E1883" s="77" t="s">
        <v>118</v>
      </c>
      <c r="F1883" s="77" t="s">
        <v>73</v>
      </c>
      <c r="G1883" s="77" t="s">
        <v>74</v>
      </c>
      <c r="H1883" s="77" t="s">
        <v>108</v>
      </c>
      <c r="I1883" s="77" t="s">
        <v>84</v>
      </c>
      <c r="J1883" s="76" cm="1">
        <f t="array" ref="J1883:J1885">'SUT_EU27 total'!$K$72:$K$74</f>
        <v>5.3791732332439677E-3</v>
      </c>
    </row>
    <row r="1884" spans="1:10" x14ac:dyDescent="0.35">
      <c r="A1884" t="s">
        <v>14</v>
      </c>
      <c r="B1884" t="s">
        <v>33</v>
      </c>
      <c r="C1884" s="77" t="s">
        <v>91</v>
      </c>
      <c r="D1884" t="s">
        <v>81</v>
      </c>
      <c r="E1884" s="77" t="s">
        <v>119</v>
      </c>
      <c r="F1884" s="77" t="s">
        <v>73</v>
      </c>
      <c r="G1884" s="77" t="s">
        <v>74</v>
      </c>
      <c r="H1884" s="77" t="s">
        <v>108</v>
      </c>
      <c r="I1884" s="77" t="s">
        <v>84</v>
      </c>
      <c r="J1884" s="76">
        <v>6.5526133182607291E-3</v>
      </c>
    </row>
    <row r="1885" spans="1:10" x14ac:dyDescent="0.35">
      <c r="A1885" t="s">
        <v>14</v>
      </c>
      <c r="B1885" t="s">
        <v>33</v>
      </c>
      <c r="C1885" s="77" t="s">
        <v>91</v>
      </c>
      <c r="D1885" t="s">
        <v>81</v>
      </c>
      <c r="E1885" s="77" t="s">
        <v>120</v>
      </c>
      <c r="F1885" s="77" t="s">
        <v>73</v>
      </c>
      <c r="G1885" s="77" t="s">
        <v>74</v>
      </c>
      <c r="H1885" s="77" t="s">
        <v>108</v>
      </c>
      <c r="I1885" s="77" t="s">
        <v>84</v>
      </c>
      <c r="J1885" s="76">
        <v>2.464950959887623E-4</v>
      </c>
    </row>
    <row r="1886" spans="1:10" x14ac:dyDescent="0.35">
      <c r="A1886" t="s">
        <v>14</v>
      </c>
      <c r="B1886" t="s">
        <v>33</v>
      </c>
      <c r="C1886" s="77" t="s">
        <v>91</v>
      </c>
      <c r="D1886" t="s">
        <v>81</v>
      </c>
      <c r="E1886" s="77" t="s">
        <v>121</v>
      </c>
      <c r="F1886" s="77" t="s">
        <v>73</v>
      </c>
      <c r="G1886" s="77" t="s">
        <v>74</v>
      </c>
      <c r="H1886" s="77" t="s">
        <v>108</v>
      </c>
      <c r="I1886" s="77" t="s">
        <v>84</v>
      </c>
      <c r="J1886" s="76">
        <f>'SUT_EU27 total'!$K$76</f>
        <v>0</v>
      </c>
    </row>
    <row r="1887" spans="1:10" x14ac:dyDescent="0.35">
      <c r="A1887" t="s">
        <v>14</v>
      </c>
      <c r="B1887" t="s">
        <v>33</v>
      </c>
      <c r="C1887" s="77" t="s">
        <v>91</v>
      </c>
      <c r="D1887" t="s">
        <v>81</v>
      </c>
      <c r="E1887" s="77" t="s">
        <v>117</v>
      </c>
      <c r="F1887" s="77" t="s">
        <v>73</v>
      </c>
      <c r="G1887" s="77" t="s">
        <v>74</v>
      </c>
      <c r="H1887" s="77" t="s">
        <v>108</v>
      </c>
      <c r="I1887" s="77" t="s">
        <v>84</v>
      </c>
      <c r="J1887" s="76">
        <f>'SUT_EU27 total'!$K$78</f>
        <v>1.1485683451306521E-3</v>
      </c>
    </row>
    <row r="1888" spans="1:10" x14ac:dyDescent="0.35">
      <c r="A1888" t="s">
        <v>14</v>
      </c>
      <c r="B1888" t="s">
        <v>33</v>
      </c>
      <c r="C1888" s="77" t="s">
        <v>91</v>
      </c>
      <c r="D1888" t="s">
        <v>81</v>
      </c>
      <c r="E1888" s="77" t="s">
        <v>122</v>
      </c>
      <c r="F1888" s="77" t="s">
        <v>73</v>
      </c>
      <c r="G1888" s="77" t="s">
        <v>74</v>
      </c>
      <c r="H1888" s="77" t="s">
        <v>108</v>
      </c>
      <c r="I1888" s="77" t="s">
        <v>84</v>
      </c>
      <c r="J1888" s="76">
        <f>'SUT_EU27 total'!$K$81</f>
        <v>0</v>
      </c>
    </row>
    <row r="1889" spans="1:10" x14ac:dyDescent="0.35">
      <c r="A1889" t="s">
        <v>14</v>
      </c>
      <c r="B1889" t="s">
        <v>33</v>
      </c>
      <c r="C1889" s="77" t="s">
        <v>91</v>
      </c>
      <c r="D1889" t="s">
        <v>81</v>
      </c>
      <c r="E1889" s="77" t="s">
        <v>101</v>
      </c>
      <c r="F1889" s="77" t="s">
        <v>73</v>
      </c>
      <c r="G1889" s="77" t="s">
        <v>74</v>
      </c>
      <c r="H1889" s="77" t="s">
        <v>108</v>
      </c>
      <c r="I1889" s="77" t="s">
        <v>84</v>
      </c>
      <c r="J1889" s="76" cm="1">
        <f t="array" ref="J1889:J1891">'SUT_EU27 total'!$K$83:$K$85</f>
        <v>0</v>
      </c>
    </row>
    <row r="1890" spans="1:10" x14ac:dyDescent="0.35">
      <c r="A1890" t="s">
        <v>14</v>
      </c>
      <c r="B1890" t="s">
        <v>33</v>
      </c>
      <c r="C1890" s="77" t="s">
        <v>91</v>
      </c>
      <c r="D1890" t="s">
        <v>81</v>
      </c>
      <c r="E1890" s="77" t="s">
        <v>104</v>
      </c>
      <c r="F1890" s="77" t="s">
        <v>73</v>
      </c>
      <c r="G1890" s="77" t="s">
        <v>74</v>
      </c>
      <c r="H1890" s="77" t="s">
        <v>108</v>
      </c>
      <c r="I1890" s="77" t="s">
        <v>84</v>
      </c>
      <c r="J1890" s="76">
        <v>0</v>
      </c>
    </row>
    <row r="1891" spans="1:10" x14ac:dyDescent="0.35">
      <c r="A1891" t="s">
        <v>14</v>
      </c>
      <c r="B1891" t="s">
        <v>33</v>
      </c>
      <c r="C1891" s="77" t="s">
        <v>91</v>
      </c>
      <c r="D1891" t="s">
        <v>81</v>
      </c>
      <c r="E1891" s="77" t="s">
        <v>106</v>
      </c>
      <c r="F1891" s="77" t="s">
        <v>73</v>
      </c>
      <c r="G1891" s="77" t="s">
        <v>74</v>
      </c>
      <c r="H1891" s="77" t="s">
        <v>108</v>
      </c>
      <c r="I1891" s="77" t="s">
        <v>84</v>
      </c>
      <c r="J1891" s="76">
        <v>0</v>
      </c>
    </row>
    <row r="1892" spans="1:10" x14ac:dyDescent="0.35">
      <c r="A1892" t="s">
        <v>14</v>
      </c>
      <c r="B1892" t="s">
        <v>33</v>
      </c>
      <c r="C1892" s="77" t="s">
        <v>92</v>
      </c>
      <c r="D1892" t="s">
        <v>81</v>
      </c>
      <c r="E1892" s="77" t="s">
        <v>118</v>
      </c>
      <c r="F1892" s="77" t="s">
        <v>73</v>
      </c>
      <c r="G1892" s="77" t="s">
        <v>74</v>
      </c>
      <c r="H1892" s="77" t="s">
        <v>108</v>
      </c>
      <c r="I1892" s="77" t="s">
        <v>84</v>
      </c>
      <c r="J1892" s="76" cm="1">
        <f t="array" ref="J1892:J1894">'SUT_EU27 total'!$K$89:$K$91</f>
        <v>3.3497344343163542E-3</v>
      </c>
    </row>
    <row r="1893" spans="1:10" x14ac:dyDescent="0.35">
      <c r="A1893" t="s">
        <v>14</v>
      </c>
      <c r="B1893" t="s">
        <v>33</v>
      </c>
      <c r="C1893" s="77" t="s">
        <v>92</v>
      </c>
      <c r="D1893" t="s">
        <v>81</v>
      </c>
      <c r="E1893" s="77" t="s">
        <v>119</v>
      </c>
      <c r="F1893" s="77" t="s">
        <v>73</v>
      </c>
      <c r="G1893" s="77" t="s">
        <v>74</v>
      </c>
      <c r="H1893" s="77" t="s">
        <v>108</v>
      </c>
      <c r="I1893" s="77" t="s">
        <v>84</v>
      </c>
      <c r="J1893" s="76">
        <v>6.0269323460777589E-3</v>
      </c>
    </row>
    <row r="1894" spans="1:10" x14ac:dyDescent="0.35">
      <c r="A1894" t="s">
        <v>14</v>
      </c>
      <c r="B1894" t="s">
        <v>33</v>
      </c>
      <c r="C1894" s="77" t="s">
        <v>92</v>
      </c>
      <c r="D1894" t="s">
        <v>81</v>
      </c>
      <c r="E1894" s="77" t="s">
        <v>120</v>
      </c>
      <c r="F1894" s="77" t="s">
        <v>73</v>
      </c>
      <c r="G1894" s="77" t="s">
        <v>74</v>
      </c>
      <c r="H1894" s="77" t="s">
        <v>108</v>
      </c>
      <c r="I1894" s="77" t="s">
        <v>84</v>
      </c>
      <c r="J1894" s="76">
        <v>4.0947713992508196E-3</v>
      </c>
    </row>
    <row r="1895" spans="1:10" x14ac:dyDescent="0.35">
      <c r="A1895" t="s">
        <v>14</v>
      </c>
      <c r="B1895" t="s">
        <v>33</v>
      </c>
      <c r="C1895" s="77" t="s">
        <v>92</v>
      </c>
      <c r="D1895" t="s">
        <v>81</v>
      </c>
      <c r="E1895" s="77" t="s">
        <v>121</v>
      </c>
      <c r="F1895" s="77" t="s">
        <v>73</v>
      </c>
      <c r="G1895" s="77" t="s">
        <v>74</v>
      </c>
      <c r="H1895" s="77" t="s">
        <v>108</v>
      </c>
      <c r="I1895" s="77" t="s">
        <v>84</v>
      </c>
      <c r="J1895" s="76">
        <f>'SUT_EU27 total'!$K$93</f>
        <v>0</v>
      </c>
    </row>
    <row r="1896" spans="1:10" x14ac:dyDescent="0.35">
      <c r="A1896" t="s">
        <v>14</v>
      </c>
      <c r="B1896" t="s">
        <v>33</v>
      </c>
      <c r="C1896" s="77" t="s">
        <v>92</v>
      </c>
      <c r="D1896" t="s">
        <v>81</v>
      </c>
      <c r="E1896" s="77" t="s">
        <v>117</v>
      </c>
      <c r="F1896" s="77" t="s">
        <v>73</v>
      </c>
      <c r="G1896" s="77" t="s">
        <v>74</v>
      </c>
      <c r="H1896" s="77" t="s">
        <v>108</v>
      </c>
      <c r="I1896" s="77" t="s">
        <v>84</v>
      </c>
      <c r="J1896" s="76">
        <f>'SUT_EU27 total'!$K$95</f>
        <v>0</v>
      </c>
    </row>
    <row r="1897" spans="1:10" x14ac:dyDescent="0.35">
      <c r="A1897" t="s">
        <v>14</v>
      </c>
      <c r="B1897" t="s">
        <v>33</v>
      </c>
      <c r="C1897" s="77" t="s">
        <v>92</v>
      </c>
      <c r="D1897" t="s">
        <v>81</v>
      </c>
      <c r="E1897" s="77" t="s">
        <v>122</v>
      </c>
      <c r="F1897" s="77" t="s">
        <v>73</v>
      </c>
      <c r="G1897" s="77" t="s">
        <v>74</v>
      </c>
      <c r="H1897" s="77" t="s">
        <v>108</v>
      </c>
      <c r="I1897" s="77" t="s">
        <v>84</v>
      </c>
      <c r="J1897" s="76">
        <f>'SUT_EU27 total'!$K$98</f>
        <v>0</v>
      </c>
    </row>
    <row r="1898" spans="1:10" x14ac:dyDescent="0.35">
      <c r="A1898" t="s">
        <v>14</v>
      </c>
      <c r="B1898" t="s">
        <v>33</v>
      </c>
      <c r="C1898" s="77" t="s">
        <v>92</v>
      </c>
      <c r="D1898" t="s">
        <v>81</v>
      </c>
      <c r="E1898" s="77" t="s">
        <v>101</v>
      </c>
      <c r="F1898" s="77" t="s">
        <v>73</v>
      </c>
      <c r="G1898" s="77" t="s">
        <v>74</v>
      </c>
      <c r="H1898" s="77" t="s">
        <v>108</v>
      </c>
      <c r="I1898" s="77" t="s">
        <v>84</v>
      </c>
      <c r="J1898" s="76" cm="1">
        <f t="array" ref="J1898:J1900">'SUT_EU27 total'!$K$100:$K$102</f>
        <v>0</v>
      </c>
    </row>
    <row r="1899" spans="1:10" x14ac:dyDescent="0.35">
      <c r="A1899" t="s">
        <v>14</v>
      </c>
      <c r="B1899" t="s">
        <v>33</v>
      </c>
      <c r="C1899" s="77" t="s">
        <v>92</v>
      </c>
      <c r="D1899" t="s">
        <v>81</v>
      </c>
      <c r="E1899" s="77" t="s">
        <v>104</v>
      </c>
      <c r="F1899" s="77" t="s">
        <v>73</v>
      </c>
      <c r="G1899" s="77" t="s">
        <v>74</v>
      </c>
      <c r="H1899" s="77" t="s">
        <v>108</v>
      </c>
      <c r="I1899" s="77" t="s">
        <v>84</v>
      </c>
      <c r="J1899" s="76">
        <v>0</v>
      </c>
    </row>
    <row r="1900" spans="1:10" x14ac:dyDescent="0.35">
      <c r="A1900" t="s">
        <v>14</v>
      </c>
      <c r="B1900" t="s">
        <v>33</v>
      </c>
      <c r="C1900" s="77" t="s">
        <v>92</v>
      </c>
      <c r="D1900" t="s">
        <v>81</v>
      </c>
      <c r="E1900" s="77" t="s">
        <v>106</v>
      </c>
      <c r="F1900" s="77" t="s">
        <v>73</v>
      </c>
      <c r="G1900" s="77" t="s">
        <v>74</v>
      </c>
      <c r="H1900" s="77" t="s">
        <v>108</v>
      </c>
      <c r="I1900" s="77" t="s">
        <v>84</v>
      </c>
      <c r="J1900" s="76">
        <v>0</v>
      </c>
    </row>
    <row r="1901" spans="1:10" x14ac:dyDescent="0.35">
      <c r="A1901" t="s">
        <v>14</v>
      </c>
      <c r="B1901" t="s">
        <v>33</v>
      </c>
      <c r="C1901" s="77" t="s">
        <v>93</v>
      </c>
      <c r="D1901" t="s">
        <v>81</v>
      </c>
      <c r="E1901" s="77" t="s">
        <v>118</v>
      </c>
      <c r="F1901" s="77" t="s">
        <v>73</v>
      </c>
      <c r="G1901" s="77" t="s">
        <v>74</v>
      </c>
      <c r="H1901" s="77" t="s">
        <v>108</v>
      </c>
      <c r="I1901" s="77" t="s">
        <v>84</v>
      </c>
      <c r="J1901" s="76" cm="1">
        <f t="array" ref="J1901:J1903">'SUT_EU27 total'!$K$106:$K$108</f>
        <v>1.4980971667560324E-2</v>
      </c>
    </row>
    <row r="1902" spans="1:10" x14ac:dyDescent="0.35">
      <c r="A1902" t="s">
        <v>14</v>
      </c>
      <c r="B1902" t="s">
        <v>33</v>
      </c>
      <c r="C1902" s="77" t="s">
        <v>93</v>
      </c>
      <c r="D1902" t="s">
        <v>81</v>
      </c>
      <c r="E1902" s="77" t="s">
        <v>119</v>
      </c>
      <c r="F1902" s="77" t="s">
        <v>73</v>
      </c>
      <c r="G1902" s="77" t="s">
        <v>74</v>
      </c>
      <c r="H1902" s="77" t="s">
        <v>108</v>
      </c>
      <c r="I1902" s="77" t="s">
        <v>84</v>
      </c>
      <c r="J1902" s="76">
        <v>4.3405477873147885E-2</v>
      </c>
    </row>
    <row r="1903" spans="1:10" x14ac:dyDescent="0.35">
      <c r="A1903" t="s">
        <v>14</v>
      </c>
      <c r="B1903" t="s">
        <v>33</v>
      </c>
      <c r="C1903" s="77" t="s">
        <v>93</v>
      </c>
      <c r="D1903" t="s">
        <v>81</v>
      </c>
      <c r="E1903" s="77" t="s">
        <v>120</v>
      </c>
      <c r="F1903" s="77" t="s">
        <v>73</v>
      </c>
      <c r="G1903" s="77" t="s">
        <v>74</v>
      </c>
      <c r="H1903" s="77" t="s">
        <v>108</v>
      </c>
      <c r="I1903" s="77" t="s">
        <v>84</v>
      </c>
      <c r="J1903" s="76">
        <v>2.1237093113781802E-2</v>
      </c>
    </row>
    <row r="1904" spans="1:10" x14ac:dyDescent="0.35">
      <c r="A1904" t="s">
        <v>14</v>
      </c>
      <c r="B1904" t="s">
        <v>33</v>
      </c>
      <c r="C1904" s="77" t="s">
        <v>93</v>
      </c>
      <c r="D1904" t="s">
        <v>81</v>
      </c>
      <c r="E1904" s="77" t="s">
        <v>121</v>
      </c>
      <c r="F1904" s="77" t="s">
        <v>73</v>
      </c>
      <c r="G1904" s="77" t="s">
        <v>74</v>
      </c>
      <c r="H1904" s="77" t="s">
        <v>108</v>
      </c>
      <c r="I1904" s="77" t="s">
        <v>84</v>
      </c>
      <c r="J1904" s="76">
        <f>'SUT_EU27 total'!$K$110</f>
        <v>0</v>
      </c>
    </row>
    <row r="1905" spans="1:10" x14ac:dyDescent="0.35">
      <c r="A1905" t="s">
        <v>14</v>
      </c>
      <c r="B1905" t="s">
        <v>33</v>
      </c>
      <c r="C1905" s="77" t="s">
        <v>93</v>
      </c>
      <c r="D1905" t="s">
        <v>81</v>
      </c>
      <c r="E1905" s="77" t="s">
        <v>117</v>
      </c>
      <c r="F1905" s="77" t="s">
        <v>73</v>
      </c>
      <c r="G1905" s="77" t="s">
        <v>74</v>
      </c>
      <c r="H1905" s="77" t="s">
        <v>108</v>
      </c>
      <c r="I1905" s="77" t="s">
        <v>84</v>
      </c>
      <c r="J1905" s="76">
        <f>'SUT_EU27 total'!$K$112</f>
        <v>1.1930984723440377E-3</v>
      </c>
    </row>
    <row r="1906" spans="1:10" x14ac:dyDescent="0.35">
      <c r="A1906" t="s">
        <v>14</v>
      </c>
      <c r="B1906" t="s">
        <v>33</v>
      </c>
      <c r="C1906" s="77" t="s">
        <v>93</v>
      </c>
      <c r="D1906" t="s">
        <v>81</v>
      </c>
      <c r="E1906" s="77" t="s">
        <v>122</v>
      </c>
      <c r="F1906" s="77" t="s">
        <v>73</v>
      </c>
      <c r="G1906" s="77" t="s">
        <v>74</v>
      </c>
      <c r="H1906" s="77" t="s">
        <v>108</v>
      </c>
      <c r="I1906" s="77" t="s">
        <v>84</v>
      </c>
      <c r="J1906" s="76">
        <f>'SUT_EU27 total'!$K$115</f>
        <v>8.7987828585017833E-3</v>
      </c>
    </row>
    <row r="1907" spans="1:10" x14ac:dyDescent="0.35">
      <c r="A1907" t="s">
        <v>14</v>
      </c>
      <c r="B1907" t="s">
        <v>33</v>
      </c>
      <c r="C1907" s="77" t="s">
        <v>93</v>
      </c>
      <c r="D1907" t="s">
        <v>81</v>
      </c>
      <c r="E1907" s="77" t="s">
        <v>101</v>
      </c>
      <c r="F1907" s="77" t="s">
        <v>73</v>
      </c>
      <c r="G1907" s="77" t="s">
        <v>74</v>
      </c>
      <c r="H1907" s="77" t="s">
        <v>108</v>
      </c>
      <c r="I1907" s="77" t="s">
        <v>84</v>
      </c>
      <c r="J1907" s="76" cm="1">
        <f t="array" ref="J1907:J1909">'SUT_EU27 total'!$K$117:$K$119</f>
        <v>0</v>
      </c>
    </row>
    <row r="1908" spans="1:10" x14ac:dyDescent="0.35">
      <c r="A1908" t="s">
        <v>14</v>
      </c>
      <c r="B1908" t="s">
        <v>33</v>
      </c>
      <c r="C1908" s="77" t="s">
        <v>93</v>
      </c>
      <c r="D1908" t="s">
        <v>81</v>
      </c>
      <c r="E1908" s="77" t="s">
        <v>104</v>
      </c>
      <c r="F1908" s="77" t="s">
        <v>73</v>
      </c>
      <c r="G1908" s="77" t="s">
        <v>74</v>
      </c>
      <c r="H1908" s="77" t="s">
        <v>108</v>
      </c>
      <c r="I1908" s="77" t="s">
        <v>84</v>
      </c>
      <c r="J1908" s="76">
        <v>0</v>
      </c>
    </row>
    <row r="1909" spans="1:10" x14ac:dyDescent="0.35">
      <c r="A1909" t="s">
        <v>14</v>
      </c>
      <c r="B1909" t="s">
        <v>33</v>
      </c>
      <c r="C1909" s="77" t="s">
        <v>93</v>
      </c>
      <c r="D1909" t="s">
        <v>81</v>
      </c>
      <c r="E1909" s="77" t="s">
        <v>106</v>
      </c>
      <c r="F1909" s="77" t="s">
        <v>73</v>
      </c>
      <c r="G1909" s="77" t="s">
        <v>74</v>
      </c>
      <c r="H1909" s="77" t="s">
        <v>108</v>
      </c>
      <c r="I1909" s="77" t="s">
        <v>84</v>
      </c>
      <c r="J1909" s="76">
        <v>0</v>
      </c>
    </row>
    <row r="1910" spans="1:10" x14ac:dyDescent="0.35">
      <c r="A1910" t="s">
        <v>14</v>
      </c>
      <c r="B1910" t="s">
        <v>33</v>
      </c>
      <c r="C1910" s="77" t="s">
        <v>73</v>
      </c>
      <c r="D1910" t="s">
        <v>81</v>
      </c>
      <c r="E1910" s="77" t="s">
        <v>119</v>
      </c>
      <c r="F1910" s="77" t="s">
        <v>73</v>
      </c>
      <c r="G1910" s="77" t="s">
        <v>74</v>
      </c>
      <c r="H1910" s="77" t="s">
        <v>123</v>
      </c>
      <c r="I1910" s="77" t="s">
        <v>84</v>
      </c>
      <c r="J1910" s="76">
        <f>'SUT_EU27 total'!$L$22</f>
        <v>1.9500181678711294E-2</v>
      </c>
    </row>
    <row r="1911" spans="1:10" x14ac:dyDescent="0.35">
      <c r="A1911" t="s">
        <v>14</v>
      </c>
      <c r="B1911" t="s">
        <v>33</v>
      </c>
      <c r="C1911" s="77" t="s">
        <v>73</v>
      </c>
      <c r="D1911" t="s">
        <v>81</v>
      </c>
      <c r="E1911" s="77" t="s">
        <v>124</v>
      </c>
      <c r="F1911" s="77" t="s">
        <v>73</v>
      </c>
      <c r="G1911" s="77" t="s">
        <v>74</v>
      </c>
      <c r="H1911" s="77" t="s">
        <v>123</v>
      </c>
      <c r="I1911" s="77" t="s">
        <v>84</v>
      </c>
      <c r="J1911" s="76" cm="1">
        <f t="array" ref="J1911:J1919">'SUT_EU27 total'!$L$26:$L$34</f>
        <v>1.9404661061278542E-3</v>
      </c>
    </row>
    <row r="1912" spans="1:10" x14ac:dyDescent="0.35">
      <c r="A1912" t="s">
        <v>14</v>
      </c>
      <c r="B1912" t="s">
        <v>33</v>
      </c>
      <c r="C1912" s="77" t="s">
        <v>73</v>
      </c>
      <c r="D1912" t="s">
        <v>81</v>
      </c>
      <c r="E1912" s="77" t="s">
        <v>117</v>
      </c>
      <c r="F1912" s="77" t="s">
        <v>73</v>
      </c>
      <c r="G1912" s="77" t="s">
        <v>74</v>
      </c>
      <c r="H1912" s="77" t="s">
        <v>123</v>
      </c>
      <c r="I1912" s="77" t="s">
        <v>84</v>
      </c>
      <c r="J1912" s="76">
        <v>5.8423628191201782E-3</v>
      </c>
    </row>
    <row r="1913" spans="1:10" x14ac:dyDescent="0.35">
      <c r="A1913" t="s">
        <v>14</v>
      </c>
      <c r="B1913" t="s">
        <v>33</v>
      </c>
      <c r="C1913" s="77" t="s">
        <v>73</v>
      </c>
      <c r="D1913" t="s">
        <v>81</v>
      </c>
      <c r="E1913" s="77" t="s">
        <v>82</v>
      </c>
      <c r="F1913" s="77" t="s">
        <v>73</v>
      </c>
      <c r="G1913" s="77" t="s">
        <v>74</v>
      </c>
      <c r="H1913" s="77" t="s">
        <v>123</v>
      </c>
      <c r="I1913" s="77" t="s">
        <v>84</v>
      </c>
      <c r="J1913" s="76">
        <v>4.8981233243967828E-4</v>
      </c>
    </row>
    <row r="1914" spans="1:10" x14ac:dyDescent="0.35">
      <c r="A1914" t="s">
        <v>14</v>
      </c>
      <c r="B1914" t="s">
        <v>33</v>
      </c>
      <c r="C1914" s="77" t="s">
        <v>73</v>
      </c>
      <c r="D1914" t="s">
        <v>81</v>
      </c>
      <c r="E1914" s="77" t="s">
        <v>125</v>
      </c>
      <c r="F1914" s="77" t="s">
        <v>73</v>
      </c>
      <c r="G1914" s="77" t="s">
        <v>74</v>
      </c>
      <c r="H1914" s="77" t="s">
        <v>123</v>
      </c>
      <c r="I1914" s="77" t="s">
        <v>84</v>
      </c>
      <c r="J1914" s="76">
        <v>2.4658201215687387E-3</v>
      </c>
    </row>
    <row r="1915" spans="1:10" x14ac:dyDescent="0.35">
      <c r="A1915" t="s">
        <v>14</v>
      </c>
      <c r="B1915" t="s">
        <v>33</v>
      </c>
      <c r="C1915" s="77" t="s">
        <v>73</v>
      </c>
      <c r="D1915" t="s">
        <v>81</v>
      </c>
      <c r="E1915" s="77" t="s">
        <v>122</v>
      </c>
      <c r="F1915" s="77" t="s">
        <v>73</v>
      </c>
      <c r="G1915" s="77" t="s">
        <v>74</v>
      </c>
      <c r="H1915" s="77" t="s">
        <v>123</v>
      </c>
      <c r="I1915" s="77" t="s">
        <v>84</v>
      </c>
      <c r="J1915" s="76">
        <v>4.922711058263972E-4</v>
      </c>
    </row>
    <row r="1916" spans="1:10" x14ac:dyDescent="0.35">
      <c r="A1916" t="s">
        <v>14</v>
      </c>
      <c r="B1916" t="s">
        <v>33</v>
      </c>
      <c r="C1916" s="77" t="s">
        <v>73</v>
      </c>
      <c r="D1916" t="s">
        <v>81</v>
      </c>
      <c r="E1916" s="77" t="s">
        <v>126</v>
      </c>
      <c r="F1916" s="77" t="s">
        <v>73</v>
      </c>
      <c r="G1916" s="77" t="s">
        <v>74</v>
      </c>
      <c r="H1916" s="77" t="s">
        <v>123</v>
      </c>
      <c r="I1916" s="77" t="s">
        <v>84</v>
      </c>
      <c r="J1916" s="76">
        <v>0</v>
      </c>
    </row>
    <row r="1917" spans="1:10" x14ac:dyDescent="0.35">
      <c r="A1917" t="s">
        <v>14</v>
      </c>
      <c r="B1917" t="s">
        <v>33</v>
      </c>
      <c r="C1917" s="77" t="s">
        <v>73</v>
      </c>
      <c r="D1917" t="s">
        <v>81</v>
      </c>
      <c r="E1917" s="77" t="s">
        <v>101</v>
      </c>
      <c r="F1917" s="77" t="s">
        <v>73</v>
      </c>
      <c r="G1917" s="77" t="s">
        <v>74</v>
      </c>
      <c r="H1917" s="77" t="s">
        <v>123</v>
      </c>
      <c r="I1917" s="77" t="s">
        <v>84</v>
      </c>
      <c r="J1917" s="76">
        <v>3.7860913795851507E-4</v>
      </c>
    </row>
    <row r="1918" spans="1:10" x14ac:dyDescent="0.35">
      <c r="A1918" t="s">
        <v>14</v>
      </c>
      <c r="B1918" t="s">
        <v>33</v>
      </c>
      <c r="C1918" s="77" t="s">
        <v>73</v>
      </c>
      <c r="D1918" t="s">
        <v>81</v>
      </c>
      <c r="E1918" s="77" t="s">
        <v>104</v>
      </c>
      <c r="F1918" s="77" t="s">
        <v>73</v>
      </c>
      <c r="G1918" s="77" t="s">
        <v>74</v>
      </c>
      <c r="H1918" s="77" t="s">
        <v>123</v>
      </c>
      <c r="I1918" s="77" t="s">
        <v>84</v>
      </c>
      <c r="J1918" s="76">
        <v>7.1686251377883477E-4</v>
      </c>
    </row>
    <row r="1919" spans="1:10" x14ac:dyDescent="0.35">
      <c r="A1919" t="s">
        <v>14</v>
      </c>
      <c r="B1919" t="s">
        <v>33</v>
      </c>
      <c r="C1919" s="77" t="s">
        <v>73</v>
      </c>
      <c r="D1919" t="s">
        <v>81</v>
      </c>
      <c r="E1919" s="77" t="s">
        <v>106</v>
      </c>
      <c r="F1919" s="77" t="s">
        <v>73</v>
      </c>
      <c r="G1919" s="77" t="s">
        <v>74</v>
      </c>
      <c r="H1919" s="77" t="s">
        <v>123</v>
      </c>
      <c r="I1919" s="77" t="s">
        <v>84</v>
      </c>
      <c r="J1919" s="76">
        <v>2.438307869996036E-3</v>
      </c>
    </row>
    <row r="1920" spans="1:10" x14ac:dyDescent="0.35">
      <c r="A1920" t="s">
        <v>14</v>
      </c>
      <c r="B1920" t="s">
        <v>33</v>
      </c>
      <c r="C1920" s="77" t="s">
        <v>88</v>
      </c>
      <c r="D1920" t="s">
        <v>81</v>
      </c>
      <c r="E1920" s="77" t="s">
        <v>119</v>
      </c>
      <c r="F1920" s="77" t="s">
        <v>73</v>
      </c>
      <c r="G1920" s="77" t="s">
        <v>74</v>
      </c>
      <c r="H1920" s="77" t="s">
        <v>123</v>
      </c>
      <c r="I1920" s="77" t="s">
        <v>84</v>
      </c>
      <c r="J1920" s="76">
        <f>'SUT_EU27 total'!$L$39</f>
        <v>0.16108845734587587</v>
      </c>
    </row>
    <row r="1921" spans="1:10" x14ac:dyDescent="0.35">
      <c r="A1921" t="s">
        <v>14</v>
      </c>
      <c r="B1921" t="s">
        <v>33</v>
      </c>
      <c r="C1921" s="77" t="s">
        <v>88</v>
      </c>
      <c r="D1921" t="s">
        <v>81</v>
      </c>
      <c r="E1921" s="77" t="s">
        <v>124</v>
      </c>
      <c r="F1921" s="77" t="s">
        <v>73</v>
      </c>
      <c r="G1921" s="77" t="s">
        <v>74</v>
      </c>
      <c r="H1921" s="77" t="s">
        <v>123</v>
      </c>
      <c r="I1921" s="77" t="s">
        <v>84</v>
      </c>
      <c r="J1921" s="76" cm="1">
        <f t="array" ref="J1921:J1929">'SUT_EU27 total'!$M$43:$M$51</f>
        <v>5.0558836222750793E-4</v>
      </c>
    </row>
    <row r="1922" spans="1:10" x14ac:dyDescent="0.35">
      <c r="A1922" t="s">
        <v>14</v>
      </c>
      <c r="B1922" t="s">
        <v>33</v>
      </c>
      <c r="C1922" s="77" t="s">
        <v>88</v>
      </c>
      <c r="D1922" t="s">
        <v>81</v>
      </c>
      <c r="E1922" s="77" t="s">
        <v>117</v>
      </c>
      <c r="F1922" s="77" t="s">
        <v>73</v>
      </c>
      <c r="G1922" s="77" t="s">
        <v>74</v>
      </c>
      <c r="H1922" s="77" t="s">
        <v>123</v>
      </c>
      <c r="I1922" s="77" t="s">
        <v>84</v>
      </c>
      <c r="J1922" s="76">
        <v>4.8514464106651379E-3</v>
      </c>
    </row>
    <row r="1923" spans="1:10" x14ac:dyDescent="0.35">
      <c r="A1923" t="s">
        <v>14</v>
      </c>
      <c r="B1923" t="s">
        <v>33</v>
      </c>
      <c r="C1923" s="77" t="s">
        <v>88</v>
      </c>
      <c r="D1923" t="s">
        <v>81</v>
      </c>
      <c r="E1923" s="77" t="s">
        <v>82</v>
      </c>
      <c r="F1923" s="77" t="s">
        <v>73</v>
      </c>
      <c r="G1923" s="77" t="s">
        <v>74</v>
      </c>
      <c r="H1923" s="77" t="s">
        <v>123</v>
      </c>
      <c r="I1923" s="77" t="s">
        <v>84</v>
      </c>
      <c r="J1923" s="76">
        <v>1.109418436791091E-2</v>
      </c>
    </row>
    <row r="1924" spans="1:10" x14ac:dyDescent="0.35">
      <c r="A1924" t="s">
        <v>14</v>
      </c>
      <c r="B1924" t="s">
        <v>33</v>
      </c>
      <c r="C1924" s="77" t="s">
        <v>88</v>
      </c>
      <c r="D1924" t="s">
        <v>81</v>
      </c>
      <c r="E1924" s="77" t="s">
        <v>125</v>
      </c>
      <c r="F1924" s="77" t="s">
        <v>73</v>
      </c>
      <c r="G1924" s="77" t="s">
        <v>74</v>
      </c>
      <c r="H1924" s="77" t="s">
        <v>123</v>
      </c>
      <c r="I1924" s="77" t="s">
        <v>84</v>
      </c>
      <c r="J1924" s="76">
        <v>2.890870278990243E-5</v>
      </c>
    </row>
    <row r="1925" spans="1:10" x14ac:dyDescent="0.35">
      <c r="A1925" t="s">
        <v>14</v>
      </c>
      <c r="B1925" t="s">
        <v>33</v>
      </c>
      <c r="C1925" s="77" t="s">
        <v>88</v>
      </c>
      <c r="D1925" t="s">
        <v>81</v>
      </c>
      <c r="E1925" s="77" t="s">
        <v>122</v>
      </c>
      <c r="F1925" s="77" t="s">
        <v>73</v>
      </c>
      <c r="G1925" s="77" t="s">
        <v>74</v>
      </c>
      <c r="H1925" s="77" t="s">
        <v>123</v>
      </c>
      <c r="I1925" s="77" t="s">
        <v>84</v>
      </c>
      <c r="J1925" s="76">
        <v>0</v>
      </c>
    </row>
    <row r="1926" spans="1:10" x14ac:dyDescent="0.35">
      <c r="A1926" t="s">
        <v>14</v>
      </c>
      <c r="B1926" t="s">
        <v>33</v>
      </c>
      <c r="C1926" s="77" t="s">
        <v>88</v>
      </c>
      <c r="D1926" t="s">
        <v>81</v>
      </c>
      <c r="E1926" s="77" t="s">
        <v>126</v>
      </c>
      <c r="F1926" s="77" t="s">
        <v>73</v>
      </c>
      <c r="G1926" s="77" t="s">
        <v>74</v>
      </c>
      <c r="H1926" s="77" t="s">
        <v>123</v>
      </c>
      <c r="I1926" s="77" t="s">
        <v>84</v>
      </c>
      <c r="J1926" s="76">
        <v>2.8514320987501449E-3</v>
      </c>
    </row>
    <row r="1927" spans="1:10" x14ac:dyDescent="0.35">
      <c r="A1927" t="s">
        <v>14</v>
      </c>
      <c r="B1927" t="s">
        <v>33</v>
      </c>
      <c r="C1927" s="77" t="s">
        <v>88</v>
      </c>
      <c r="D1927" t="s">
        <v>81</v>
      </c>
      <c r="E1927" s="77" t="s">
        <v>101</v>
      </c>
      <c r="F1927" s="77" t="s">
        <v>73</v>
      </c>
      <c r="G1927" s="77" t="s">
        <v>74</v>
      </c>
      <c r="H1927" s="77" t="s">
        <v>123</v>
      </c>
      <c r="I1927" s="77" t="s">
        <v>84</v>
      </c>
      <c r="J1927" s="76">
        <v>0</v>
      </c>
    </row>
    <row r="1928" spans="1:10" x14ac:dyDescent="0.35">
      <c r="A1928" t="s">
        <v>14</v>
      </c>
      <c r="B1928" t="s">
        <v>33</v>
      </c>
      <c r="C1928" s="77" t="s">
        <v>88</v>
      </c>
      <c r="D1928" t="s">
        <v>81</v>
      </c>
      <c r="E1928" s="77" t="s">
        <v>104</v>
      </c>
      <c r="F1928" s="77" t="s">
        <v>73</v>
      </c>
      <c r="G1928" s="77" t="s">
        <v>74</v>
      </c>
      <c r="H1928" s="77" t="s">
        <v>123</v>
      </c>
      <c r="I1928" s="77" t="s">
        <v>84</v>
      </c>
      <c r="J1928" s="76">
        <v>0</v>
      </c>
    </row>
    <row r="1929" spans="1:10" x14ac:dyDescent="0.35">
      <c r="A1929" t="s">
        <v>14</v>
      </c>
      <c r="B1929" t="s">
        <v>33</v>
      </c>
      <c r="C1929" s="77" t="s">
        <v>88</v>
      </c>
      <c r="D1929" t="s">
        <v>81</v>
      </c>
      <c r="E1929" s="77" t="s">
        <v>106</v>
      </c>
      <c r="F1929" s="77" t="s">
        <v>73</v>
      </c>
      <c r="G1929" s="77" t="s">
        <v>74</v>
      </c>
      <c r="H1929" s="77" t="s">
        <v>123</v>
      </c>
      <c r="I1929" s="77" t="s">
        <v>84</v>
      </c>
      <c r="J1929" s="76">
        <v>0</v>
      </c>
    </row>
    <row r="1930" spans="1:10" x14ac:dyDescent="0.35">
      <c r="A1930" t="s">
        <v>14</v>
      </c>
      <c r="B1930" t="s">
        <v>33</v>
      </c>
      <c r="C1930" s="77" t="s">
        <v>90</v>
      </c>
      <c r="D1930" t="s">
        <v>81</v>
      </c>
      <c r="E1930" s="77" t="s">
        <v>119</v>
      </c>
      <c r="F1930" s="77" t="s">
        <v>73</v>
      </c>
      <c r="G1930" s="77" t="s">
        <v>74</v>
      </c>
      <c r="H1930" s="77" t="s">
        <v>123</v>
      </c>
      <c r="I1930" s="77" t="s">
        <v>84</v>
      </c>
      <c r="J1930" s="76">
        <f>'SUT_EU27 total'!$M$56</f>
        <v>2.949251079979006E-2</v>
      </c>
    </row>
    <row r="1931" spans="1:10" x14ac:dyDescent="0.35">
      <c r="A1931" t="s">
        <v>14</v>
      </c>
      <c r="B1931" t="s">
        <v>33</v>
      </c>
      <c r="C1931" s="77" t="s">
        <v>90</v>
      </c>
      <c r="D1931" t="s">
        <v>81</v>
      </c>
      <c r="E1931" s="77" t="s">
        <v>124</v>
      </c>
      <c r="F1931" s="77" t="s">
        <v>73</v>
      </c>
      <c r="G1931" s="77" t="s">
        <v>74</v>
      </c>
      <c r="H1931" s="77" t="s">
        <v>123</v>
      </c>
      <c r="I1931" s="77" t="s">
        <v>84</v>
      </c>
      <c r="J1931" s="76" cm="1">
        <f t="array" ref="J1931:J1939">'SUT_EU27 total'!$L$60:$L$68</f>
        <v>2.1047443073980527E-5</v>
      </c>
    </row>
    <row r="1932" spans="1:10" x14ac:dyDescent="0.35">
      <c r="A1932" t="s">
        <v>14</v>
      </c>
      <c r="B1932" t="s">
        <v>33</v>
      </c>
      <c r="C1932" s="77" t="s">
        <v>90</v>
      </c>
      <c r="D1932" t="s">
        <v>81</v>
      </c>
      <c r="E1932" s="77" t="s">
        <v>117</v>
      </c>
      <c r="F1932" s="77" t="s">
        <v>73</v>
      </c>
      <c r="G1932" s="77" t="s">
        <v>74</v>
      </c>
      <c r="H1932" s="77" t="s">
        <v>123</v>
      </c>
      <c r="I1932" s="77" t="s">
        <v>84</v>
      </c>
      <c r="J1932" s="76">
        <v>5.8414015621608938E-3</v>
      </c>
    </row>
    <row r="1933" spans="1:10" x14ac:dyDescent="0.35">
      <c r="A1933" t="s">
        <v>14</v>
      </c>
      <c r="B1933" t="s">
        <v>33</v>
      </c>
      <c r="C1933" s="77" t="s">
        <v>90</v>
      </c>
      <c r="D1933" t="s">
        <v>81</v>
      </c>
      <c r="E1933" s="77" t="s">
        <v>82</v>
      </c>
      <c r="F1933" s="77" t="s">
        <v>73</v>
      </c>
      <c r="G1933" s="77" t="s">
        <v>74</v>
      </c>
      <c r="H1933" s="77" t="s">
        <v>123</v>
      </c>
      <c r="I1933" s="77" t="s">
        <v>84</v>
      </c>
      <c r="J1933" s="76">
        <v>1.4521138379047227E-3</v>
      </c>
    </row>
    <row r="1934" spans="1:10" x14ac:dyDescent="0.35">
      <c r="A1934" t="s">
        <v>14</v>
      </c>
      <c r="B1934" t="s">
        <v>33</v>
      </c>
      <c r="C1934" s="77" t="s">
        <v>90</v>
      </c>
      <c r="D1934" t="s">
        <v>81</v>
      </c>
      <c r="E1934" s="77" t="s">
        <v>125</v>
      </c>
      <c r="F1934" s="77" t="s">
        <v>73</v>
      </c>
      <c r="G1934" s="77" t="s">
        <v>74</v>
      </c>
      <c r="H1934" s="77" t="s">
        <v>123</v>
      </c>
      <c r="I1934" s="77" t="s">
        <v>84</v>
      </c>
      <c r="J1934" s="76">
        <v>6.5130870114372285E-5</v>
      </c>
    </row>
    <row r="1935" spans="1:10" x14ac:dyDescent="0.35">
      <c r="A1935" t="s">
        <v>14</v>
      </c>
      <c r="B1935" t="s">
        <v>33</v>
      </c>
      <c r="C1935" s="77" t="s">
        <v>90</v>
      </c>
      <c r="D1935" t="s">
        <v>81</v>
      </c>
      <c r="E1935" s="77" t="s">
        <v>122</v>
      </c>
      <c r="F1935" s="77" t="s">
        <v>73</v>
      </c>
      <c r="G1935" s="77" t="s">
        <v>74</v>
      </c>
      <c r="H1935" s="77" t="s">
        <v>123</v>
      </c>
      <c r="I1935" s="77" t="s">
        <v>84</v>
      </c>
      <c r="J1935" s="76">
        <v>7.9476813317479189E-4</v>
      </c>
    </row>
    <row r="1936" spans="1:10" x14ac:dyDescent="0.35">
      <c r="A1936" t="s">
        <v>14</v>
      </c>
      <c r="B1936" t="s">
        <v>33</v>
      </c>
      <c r="C1936" s="77" t="s">
        <v>90</v>
      </c>
      <c r="D1936" t="s">
        <v>81</v>
      </c>
      <c r="E1936" s="77" t="s">
        <v>126</v>
      </c>
      <c r="F1936" s="77" t="s">
        <v>73</v>
      </c>
      <c r="G1936" s="77" t="s">
        <v>74</v>
      </c>
      <c r="H1936" s="77" t="s">
        <v>123</v>
      </c>
      <c r="I1936" s="77" t="s">
        <v>84</v>
      </c>
      <c r="J1936" s="76">
        <v>8.4821183458843076E-3</v>
      </c>
    </row>
    <row r="1937" spans="1:10" x14ac:dyDescent="0.35">
      <c r="A1937" t="s">
        <v>14</v>
      </c>
      <c r="B1937" t="s">
        <v>33</v>
      </c>
      <c r="C1937" s="77" t="s">
        <v>90</v>
      </c>
      <c r="D1937" t="s">
        <v>81</v>
      </c>
      <c r="E1937" s="77" t="s">
        <v>101</v>
      </c>
      <c r="F1937" s="77" t="s">
        <v>73</v>
      </c>
      <c r="G1937" s="77" t="s">
        <v>74</v>
      </c>
      <c r="H1937" s="77" t="s">
        <v>123</v>
      </c>
      <c r="I1937" s="77" t="s">
        <v>84</v>
      </c>
      <c r="J1937" s="76">
        <v>0</v>
      </c>
    </row>
    <row r="1938" spans="1:10" x14ac:dyDescent="0.35">
      <c r="A1938" t="s">
        <v>14</v>
      </c>
      <c r="B1938" t="s">
        <v>33</v>
      </c>
      <c r="C1938" s="77" t="s">
        <v>90</v>
      </c>
      <c r="D1938" t="s">
        <v>81</v>
      </c>
      <c r="E1938" s="77" t="s">
        <v>104</v>
      </c>
      <c r="F1938" s="77" t="s">
        <v>73</v>
      </c>
      <c r="G1938" s="77" t="s">
        <v>74</v>
      </c>
      <c r="H1938" s="77" t="s">
        <v>123</v>
      </c>
      <c r="I1938" s="77" t="s">
        <v>84</v>
      </c>
      <c r="J1938" s="76">
        <v>0</v>
      </c>
    </row>
    <row r="1939" spans="1:10" x14ac:dyDescent="0.35">
      <c r="A1939" t="s">
        <v>14</v>
      </c>
      <c r="B1939" t="s">
        <v>33</v>
      </c>
      <c r="C1939" s="77" t="s">
        <v>90</v>
      </c>
      <c r="D1939" t="s">
        <v>81</v>
      </c>
      <c r="E1939" s="77" t="s">
        <v>106</v>
      </c>
      <c r="F1939" s="77" t="s">
        <v>73</v>
      </c>
      <c r="G1939" s="77" t="s">
        <v>74</v>
      </c>
      <c r="H1939" s="77" t="s">
        <v>123</v>
      </c>
      <c r="I1939" s="77" t="s">
        <v>84</v>
      </c>
      <c r="J1939" s="76">
        <v>0</v>
      </c>
    </row>
    <row r="1940" spans="1:10" x14ac:dyDescent="0.35">
      <c r="A1940" t="s">
        <v>14</v>
      </c>
      <c r="B1940" t="s">
        <v>33</v>
      </c>
      <c r="C1940" s="77" t="s">
        <v>91</v>
      </c>
      <c r="D1940" t="s">
        <v>81</v>
      </c>
      <c r="E1940" s="77" t="s">
        <v>119</v>
      </c>
      <c r="F1940" s="77" t="s">
        <v>73</v>
      </c>
      <c r="G1940" s="77" t="s">
        <v>74</v>
      </c>
      <c r="H1940" s="77" t="s">
        <v>123</v>
      </c>
      <c r="I1940" s="77" t="s">
        <v>84</v>
      </c>
      <c r="J1940" s="76">
        <f>'SUT_EU27 total'!$L$73</f>
        <v>0.15097500908393557</v>
      </c>
    </row>
    <row r="1941" spans="1:10" x14ac:dyDescent="0.35">
      <c r="A1941" t="s">
        <v>14</v>
      </c>
      <c r="B1941" t="s">
        <v>33</v>
      </c>
      <c r="C1941" s="77" t="s">
        <v>91</v>
      </c>
      <c r="D1941" t="s">
        <v>81</v>
      </c>
      <c r="E1941" s="77" t="s">
        <v>124</v>
      </c>
      <c r="F1941" s="77" t="s">
        <v>73</v>
      </c>
      <c r="G1941" s="77" t="s">
        <v>74</v>
      </c>
      <c r="H1941" s="77" t="s">
        <v>123</v>
      </c>
      <c r="I1941" s="77" t="s">
        <v>84</v>
      </c>
      <c r="J1941" s="76" cm="1">
        <f t="array" ref="J1941:J1949">'SUT_EU27 total'!$L$77:$L$85</f>
        <v>6.7728942399646885E-5</v>
      </c>
    </row>
    <row r="1942" spans="1:10" x14ac:dyDescent="0.35">
      <c r="A1942" t="s">
        <v>14</v>
      </c>
      <c r="B1942" t="s">
        <v>33</v>
      </c>
      <c r="C1942" s="77" t="s">
        <v>91</v>
      </c>
      <c r="D1942" t="s">
        <v>81</v>
      </c>
      <c r="E1942" s="77" t="s">
        <v>117</v>
      </c>
      <c r="F1942" s="77" t="s">
        <v>73</v>
      </c>
      <c r="G1942" s="77" t="s">
        <v>74</v>
      </c>
      <c r="H1942" s="77" t="s">
        <v>123</v>
      </c>
      <c r="I1942" s="77" t="s">
        <v>84</v>
      </c>
      <c r="J1942" s="76">
        <v>5.6233849622410815E-3</v>
      </c>
    </row>
    <row r="1943" spans="1:10" x14ac:dyDescent="0.35">
      <c r="A1943" t="s">
        <v>14</v>
      </c>
      <c r="B1943" t="s">
        <v>33</v>
      </c>
      <c r="C1943" s="77" t="s">
        <v>91</v>
      </c>
      <c r="D1943" t="s">
        <v>81</v>
      </c>
      <c r="E1943" s="77" t="s">
        <v>82</v>
      </c>
      <c r="F1943" s="77" t="s">
        <v>73</v>
      </c>
      <c r="G1943" s="77" t="s">
        <v>74</v>
      </c>
      <c r="H1943" s="77" t="s">
        <v>123</v>
      </c>
      <c r="I1943" s="77" t="s">
        <v>84</v>
      </c>
      <c r="J1943" s="76">
        <v>1.8068055269127655E-3</v>
      </c>
    </row>
    <row r="1944" spans="1:10" x14ac:dyDescent="0.35">
      <c r="A1944" t="s">
        <v>14</v>
      </c>
      <c r="B1944" t="s">
        <v>33</v>
      </c>
      <c r="C1944" s="77" t="s">
        <v>91</v>
      </c>
      <c r="D1944" t="s">
        <v>81</v>
      </c>
      <c r="E1944" s="77" t="s">
        <v>125</v>
      </c>
      <c r="F1944" s="77" t="s">
        <v>73</v>
      </c>
      <c r="G1944" s="77" t="s">
        <v>74</v>
      </c>
      <c r="H1944" s="77" t="s">
        <v>123</v>
      </c>
      <c r="I1944" s="77" t="s">
        <v>84</v>
      </c>
      <c r="J1944" s="76">
        <v>5.6492118062760293E-6</v>
      </c>
    </row>
    <row r="1945" spans="1:10" x14ac:dyDescent="0.35">
      <c r="A1945" t="s">
        <v>14</v>
      </c>
      <c r="B1945" t="s">
        <v>33</v>
      </c>
      <c r="C1945" s="77" t="s">
        <v>91</v>
      </c>
      <c r="D1945" t="s">
        <v>81</v>
      </c>
      <c r="E1945" s="77" t="s">
        <v>122</v>
      </c>
      <c r="F1945" s="77" t="s">
        <v>73</v>
      </c>
      <c r="G1945" s="77" t="s">
        <v>74</v>
      </c>
      <c r="H1945" s="77" t="s">
        <v>123</v>
      </c>
      <c r="I1945" s="77" t="s">
        <v>84</v>
      </c>
      <c r="J1945" s="76">
        <v>0</v>
      </c>
    </row>
    <row r="1946" spans="1:10" x14ac:dyDescent="0.35">
      <c r="A1946" t="s">
        <v>14</v>
      </c>
      <c r="B1946" t="s">
        <v>33</v>
      </c>
      <c r="C1946" s="77" t="s">
        <v>91</v>
      </c>
      <c r="D1946" t="s">
        <v>81</v>
      </c>
      <c r="E1946" s="77" t="s">
        <v>126</v>
      </c>
      <c r="F1946" s="77" t="s">
        <v>73</v>
      </c>
      <c r="G1946" s="77" t="s">
        <v>74</v>
      </c>
      <c r="H1946" s="77" t="s">
        <v>123</v>
      </c>
      <c r="I1946" s="77" t="s">
        <v>84</v>
      </c>
      <c r="J1946" s="76">
        <v>8.1093795177776388E-4</v>
      </c>
    </row>
    <row r="1947" spans="1:10" x14ac:dyDescent="0.35">
      <c r="A1947" t="s">
        <v>14</v>
      </c>
      <c r="B1947" t="s">
        <v>33</v>
      </c>
      <c r="C1947" s="77" t="s">
        <v>91</v>
      </c>
      <c r="D1947" t="s">
        <v>81</v>
      </c>
      <c r="E1947" s="77" t="s">
        <v>101</v>
      </c>
      <c r="F1947" s="77" t="s">
        <v>73</v>
      </c>
      <c r="G1947" s="77" t="s">
        <v>74</v>
      </c>
      <c r="H1947" s="77" t="s">
        <v>123</v>
      </c>
      <c r="I1947" s="77" t="s">
        <v>84</v>
      </c>
      <c r="J1947" s="76">
        <v>0</v>
      </c>
    </row>
    <row r="1948" spans="1:10" x14ac:dyDescent="0.35">
      <c r="A1948" t="s">
        <v>14</v>
      </c>
      <c r="B1948" t="s">
        <v>33</v>
      </c>
      <c r="C1948" s="77" t="s">
        <v>91</v>
      </c>
      <c r="D1948" t="s">
        <v>81</v>
      </c>
      <c r="E1948" s="77" t="s">
        <v>104</v>
      </c>
      <c r="F1948" s="77" t="s">
        <v>73</v>
      </c>
      <c r="G1948" s="77" t="s">
        <v>74</v>
      </c>
      <c r="H1948" s="77" t="s">
        <v>123</v>
      </c>
      <c r="I1948" s="77" t="s">
        <v>84</v>
      </c>
      <c r="J1948" s="76">
        <v>0</v>
      </c>
    </row>
    <row r="1949" spans="1:10" x14ac:dyDescent="0.35">
      <c r="A1949" t="s">
        <v>14</v>
      </c>
      <c r="B1949" t="s">
        <v>33</v>
      </c>
      <c r="C1949" s="77" t="s">
        <v>91</v>
      </c>
      <c r="D1949" t="s">
        <v>81</v>
      </c>
      <c r="E1949" s="77" t="s">
        <v>106</v>
      </c>
      <c r="F1949" s="77" t="s">
        <v>73</v>
      </c>
      <c r="G1949" s="77" t="s">
        <v>74</v>
      </c>
      <c r="H1949" s="77" t="s">
        <v>123</v>
      </c>
      <c r="I1949" s="77" t="s">
        <v>84</v>
      </c>
      <c r="J1949" s="76">
        <v>0</v>
      </c>
    </row>
    <row r="1950" spans="1:10" x14ac:dyDescent="0.35">
      <c r="A1950" t="s">
        <v>14</v>
      </c>
      <c r="B1950" t="s">
        <v>33</v>
      </c>
      <c r="C1950" s="77" t="s">
        <v>92</v>
      </c>
      <c r="D1950" t="s">
        <v>81</v>
      </c>
      <c r="E1950" s="77" t="s">
        <v>119</v>
      </c>
      <c r="F1950" s="77" t="s">
        <v>73</v>
      </c>
      <c r="G1950" s="77" t="s">
        <v>74</v>
      </c>
      <c r="H1950" s="77" t="s">
        <v>123</v>
      </c>
      <c r="I1950" s="77" t="s">
        <v>84</v>
      </c>
      <c r="J1950" s="76">
        <f>'SUT_EU27 total'!$L$90</f>
        <v>0.13886309499777949</v>
      </c>
    </row>
    <row r="1951" spans="1:10" x14ac:dyDescent="0.35">
      <c r="A1951" t="s">
        <v>14</v>
      </c>
      <c r="B1951" t="s">
        <v>33</v>
      </c>
      <c r="C1951" s="77" t="s">
        <v>92</v>
      </c>
      <c r="D1951" t="s">
        <v>81</v>
      </c>
      <c r="E1951" s="77" t="s">
        <v>124</v>
      </c>
      <c r="F1951" s="77" t="s">
        <v>73</v>
      </c>
      <c r="G1951" s="77" t="s">
        <v>74</v>
      </c>
      <c r="H1951" s="77" t="s">
        <v>123</v>
      </c>
      <c r="I1951" s="77" t="s">
        <v>84</v>
      </c>
      <c r="J1951" s="76" cm="1">
        <f t="array" ref="J1951:J1959">'SUT_EU27 total'!$L$94:$L$102</f>
        <v>9.2968907089085616E-5</v>
      </c>
    </row>
    <row r="1952" spans="1:10" x14ac:dyDescent="0.35">
      <c r="A1952" t="s">
        <v>14</v>
      </c>
      <c r="B1952" t="s">
        <v>33</v>
      </c>
      <c r="C1952" s="77" t="s">
        <v>92</v>
      </c>
      <c r="D1952" t="s">
        <v>81</v>
      </c>
      <c r="E1952" s="77" t="s">
        <v>117</v>
      </c>
      <c r="F1952" s="77" t="s">
        <v>73</v>
      </c>
      <c r="G1952" s="77" t="s">
        <v>74</v>
      </c>
      <c r="H1952" s="77" t="s">
        <v>123</v>
      </c>
      <c r="I1952" s="77" t="s">
        <v>84</v>
      </c>
      <c r="J1952" s="76">
        <v>0</v>
      </c>
    </row>
    <row r="1953" spans="1:10" x14ac:dyDescent="0.35">
      <c r="A1953" t="s">
        <v>14</v>
      </c>
      <c r="B1953" t="s">
        <v>33</v>
      </c>
      <c r="C1953" s="77" t="s">
        <v>92</v>
      </c>
      <c r="D1953" t="s">
        <v>81</v>
      </c>
      <c r="E1953" s="77" t="s">
        <v>82</v>
      </c>
      <c r="F1953" s="77" t="s">
        <v>73</v>
      </c>
      <c r="G1953" s="77" t="s">
        <v>74</v>
      </c>
      <c r="H1953" s="77" t="s">
        <v>123</v>
      </c>
      <c r="I1953" s="77" t="s">
        <v>84</v>
      </c>
      <c r="J1953" s="76">
        <v>1.1251392039595793E-3</v>
      </c>
    </row>
    <row r="1954" spans="1:10" x14ac:dyDescent="0.35">
      <c r="A1954" t="s">
        <v>14</v>
      </c>
      <c r="B1954" t="s">
        <v>33</v>
      </c>
      <c r="C1954" s="77" t="s">
        <v>92</v>
      </c>
      <c r="D1954" t="s">
        <v>81</v>
      </c>
      <c r="E1954" s="77" t="s">
        <v>125</v>
      </c>
      <c r="F1954" s="77" t="s">
        <v>73</v>
      </c>
      <c r="G1954" s="77" t="s">
        <v>74</v>
      </c>
      <c r="H1954" s="77" t="s">
        <v>123</v>
      </c>
      <c r="I1954" s="77" t="s">
        <v>84</v>
      </c>
      <c r="J1954" s="76">
        <v>5.0048817841215026E-7</v>
      </c>
    </row>
    <row r="1955" spans="1:10" x14ac:dyDescent="0.35">
      <c r="A1955" t="s">
        <v>14</v>
      </c>
      <c r="B1955" t="s">
        <v>33</v>
      </c>
      <c r="C1955" s="77" t="s">
        <v>92</v>
      </c>
      <c r="D1955" t="s">
        <v>81</v>
      </c>
      <c r="E1955" s="77" t="s">
        <v>122</v>
      </c>
      <c r="F1955" s="77" t="s">
        <v>73</v>
      </c>
      <c r="G1955" s="77" t="s">
        <v>74</v>
      </c>
      <c r="H1955" s="77" t="s">
        <v>123</v>
      </c>
      <c r="I1955" s="77" t="s">
        <v>84</v>
      </c>
      <c r="J1955" s="76">
        <v>0</v>
      </c>
    </row>
    <row r="1956" spans="1:10" x14ac:dyDescent="0.35">
      <c r="A1956" t="s">
        <v>14</v>
      </c>
      <c r="B1956" t="s">
        <v>33</v>
      </c>
      <c r="C1956" s="77" t="s">
        <v>92</v>
      </c>
      <c r="D1956" t="s">
        <v>81</v>
      </c>
      <c r="E1956" s="77" t="s">
        <v>126</v>
      </c>
      <c r="F1956" s="77" t="s">
        <v>73</v>
      </c>
      <c r="G1956" s="77" t="s">
        <v>74</v>
      </c>
      <c r="H1956" s="77" t="s">
        <v>123</v>
      </c>
      <c r="I1956" s="77" t="s">
        <v>84</v>
      </c>
      <c r="J1956" s="76">
        <v>0</v>
      </c>
    </row>
    <row r="1957" spans="1:10" x14ac:dyDescent="0.35">
      <c r="A1957" t="s">
        <v>14</v>
      </c>
      <c r="B1957" t="s">
        <v>33</v>
      </c>
      <c r="C1957" s="77" t="s">
        <v>92</v>
      </c>
      <c r="D1957" t="s">
        <v>81</v>
      </c>
      <c r="E1957" s="77" t="s">
        <v>101</v>
      </c>
      <c r="F1957" s="77" t="s">
        <v>73</v>
      </c>
      <c r="G1957" s="77" t="s">
        <v>74</v>
      </c>
      <c r="H1957" s="77" t="s">
        <v>123</v>
      </c>
      <c r="I1957" s="77" t="s">
        <v>84</v>
      </c>
      <c r="J1957" s="76">
        <v>0</v>
      </c>
    </row>
    <row r="1958" spans="1:10" x14ac:dyDescent="0.35">
      <c r="A1958" t="s">
        <v>14</v>
      </c>
      <c r="B1958" t="s">
        <v>33</v>
      </c>
      <c r="C1958" s="77" t="s">
        <v>92</v>
      </c>
      <c r="D1958" t="s">
        <v>81</v>
      </c>
      <c r="E1958" s="77" t="s">
        <v>104</v>
      </c>
      <c r="F1958" s="77" t="s">
        <v>73</v>
      </c>
      <c r="G1958" s="77" t="s">
        <v>74</v>
      </c>
      <c r="H1958" s="77" t="s">
        <v>123</v>
      </c>
      <c r="I1958" s="77" t="s">
        <v>84</v>
      </c>
      <c r="J1958" s="76">
        <v>0</v>
      </c>
    </row>
    <row r="1959" spans="1:10" x14ac:dyDescent="0.35">
      <c r="A1959" t="s">
        <v>14</v>
      </c>
      <c r="B1959" t="s">
        <v>33</v>
      </c>
      <c r="C1959" s="77" t="s">
        <v>92</v>
      </c>
      <c r="D1959" t="s">
        <v>81</v>
      </c>
      <c r="E1959" s="77" t="s">
        <v>106</v>
      </c>
      <c r="F1959" s="77" t="s">
        <v>73</v>
      </c>
      <c r="G1959" s="77" t="s">
        <v>74</v>
      </c>
      <c r="H1959" s="77" t="s">
        <v>123</v>
      </c>
      <c r="I1959" s="77" t="s">
        <v>84</v>
      </c>
      <c r="J1959" s="76">
        <v>0</v>
      </c>
    </row>
    <row r="1960" spans="1:10" x14ac:dyDescent="0.35">
      <c r="A1960" t="s">
        <v>14</v>
      </c>
      <c r="B1960" t="s">
        <v>33</v>
      </c>
      <c r="C1960" s="77" t="s">
        <v>93</v>
      </c>
      <c r="D1960" t="s">
        <v>81</v>
      </c>
      <c r="E1960" s="77" t="s">
        <v>119</v>
      </c>
      <c r="F1960" s="77" t="s">
        <v>73</v>
      </c>
      <c r="G1960" s="77" t="s">
        <v>74</v>
      </c>
      <c r="H1960" s="77" t="s">
        <v>123</v>
      </c>
      <c r="I1960" s="77" t="s">
        <v>84</v>
      </c>
      <c r="J1960" s="76">
        <f>'SUT_EU27 total'!$L$107</f>
        <v>1.0000807460939076</v>
      </c>
    </row>
    <row r="1961" spans="1:10" x14ac:dyDescent="0.35">
      <c r="A1961" t="s">
        <v>14</v>
      </c>
      <c r="B1961" t="s">
        <v>33</v>
      </c>
      <c r="C1961" s="77" t="s">
        <v>93</v>
      </c>
      <c r="D1961" t="s">
        <v>81</v>
      </c>
      <c r="E1961" s="77" t="s">
        <v>124</v>
      </c>
      <c r="F1961" s="77" t="s">
        <v>73</v>
      </c>
      <c r="G1961" s="77" t="s">
        <v>74</v>
      </c>
      <c r="H1961" s="77" t="s">
        <v>123</v>
      </c>
      <c r="I1961" s="77" t="s">
        <v>84</v>
      </c>
      <c r="J1961" s="76" cm="1">
        <f t="array" ref="J1961:J1969">'SUT_EU27 total'!$L$111:$L$119</f>
        <v>3.7052409430862396E-4</v>
      </c>
    </row>
    <row r="1962" spans="1:10" x14ac:dyDescent="0.35">
      <c r="A1962" t="s">
        <v>14</v>
      </c>
      <c r="B1962" t="s">
        <v>33</v>
      </c>
      <c r="C1962" s="77" t="s">
        <v>93</v>
      </c>
      <c r="D1962" t="s">
        <v>81</v>
      </c>
      <c r="E1962" s="77" t="s">
        <v>117</v>
      </c>
      <c r="F1962" s="77" t="s">
        <v>73</v>
      </c>
      <c r="G1962" s="77" t="s">
        <v>74</v>
      </c>
      <c r="H1962" s="77" t="s">
        <v>123</v>
      </c>
      <c r="I1962" s="77" t="s">
        <v>84</v>
      </c>
      <c r="J1962" s="76">
        <v>5.8414042458127093E-3</v>
      </c>
    </row>
    <row r="1963" spans="1:10" x14ac:dyDescent="0.35">
      <c r="A1963" t="s">
        <v>14</v>
      </c>
      <c r="B1963" t="s">
        <v>33</v>
      </c>
      <c r="C1963" s="77" t="s">
        <v>93</v>
      </c>
      <c r="D1963" t="s">
        <v>81</v>
      </c>
      <c r="E1963" s="77" t="s">
        <v>82</v>
      </c>
      <c r="F1963" s="77" t="s">
        <v>73</v>
      </c>
      <c r="G1963" s="77" t="s">
        <v>74</v>
      </c>
      <c r="H1963" s="77" t="s">
        <v>123</v>
      </c>
      <c r="I1963" s="77" t="s">
        <v>84</v>
      </c>
      <c r="J1963" s="76">
        <v>5.0319447308723453E-3</v>
      </c>
    </row>
    <row r="1964" spans="1:10" x14ac:dyDescent="0.35">
      <c r="A1964" t="s">
        <v>14</v>
      </c>
      <c r="B1964" t="s">
        <v>33</v>
      </c>
      <c r="C1964" s="77" t="s">
        <v>93</v>
      </c>
      <c r="D1964" t="s">
        <v>81</v>
      </c>
      <c r="E1964" s="77" t="s">
        <v>125</v>
      </c>
      <c r="F1964" s="77" t="s">
        <v>73</v>
      </c>
      <c r="G1964" s="77" t="s">
        <v>74</v>
      </c>
      <c r="H1964" s="77" t="s">
        <v>123</v>
      </c>
      <c r="I1964" s="77" t="s">
        <v>84</v>
      </c>
      <c r="J1964" s="76">
        <v>4.336096678710085E-4</v>
      </c>
    </row>
    <row r="1965" spans="1:10" x14ac:dyDescent="0.35">
      <c r="A1965" t="s">
        <v>14</v>
      </c>
      <c r="B1965" t="s">
        <v>33</v>
      </c>
      <c r="C1965" s="77" t="s">
        <v>93</v>
      </c>
      <c r="D1965" t="s">
        <v>81</v>
      </c>
      <c r="E1965" s="77" t="s">
        <v>122</v>
      </c>
      <c r="F1965" s="77" t="s">
        <v>73</v>
      </c>
      <c r="G1965" s="77" t="s">
        <v>74</v>
      </c>
      <c r="H1965" s="77" t="s">
        <v>123</v>
      </c>
      <c r="I1965" s="77" t="s">
        <v>84</v>
      </c>
      <c r="J1965" s="76">
        <v>2.7129607609988112E-3</v>
      </c>
    </row>
    <row r="1966" spans="1:10" x14ac:dyDescent="0.35">
      <c r="A1966" t="s">
        <v>14</v>
      </c>
      <c r="B1966" t="s">
        <v>33</v>
      </c>
      <c r="C1966" s="77" t="s">
        <v>93</v>
      </c>
      <c r="D1966" t="s">
        <v>81</v>
      </c>
      <c r="E1966" s="77" t="s">
        <v>126</v>
      </c>
      <c r="F1966" s="77" t="s">
        <v>73</v>
      </c>
      <c r="G1966" s="77" t="s">
        <v>74</v>
      </c>
      <c r="H1966" s="77" t="s">
        <v>123</v>
      </c>
      <c r="I1966" s="77" t="s">
        <v>84</v>
      </c>
      <c r="J1966" s="76">
        <v>4.3855511603587784E-2</v>
      </c>
    </row>
    <row r="1967" spans="1:10" x14ac:dyDescent="0.35">
      <c r="A1967" t="s">
        <v>14</v>
      </c>
      <c r="B1967" t="s">
        <v>33</v>
      </c>
      <c r="C1967" s="77" t="s">
        <v>93</v>
      </c>
      <c r="D1967" t="s">
        <v>81</v>
      </c>
      <c r="E1967" s="77" t="s">
        <v>101</v>
      </c>
      <c r="F1967" s="77" t="s">
        <v>73</v>
      </c>
      <c r="G1967" s="77" t="s">
        <v>74</v>
      </c>
      <c r="H1967" s="77" t="s">
        <v>123</v>
      </c>
      <c r="I1967" s="77" t="s">
        <v>84</v>
      </c>
      <c r="J1967" s="76">
        <v>0</v>
      </c>
    </row>
    <row r="1968" spans="1:10" x14ac:dyDescent="0.35">
      <c r="A1968" t="s">
        <v>14</v>
      </c>
      <c r="B1968" t="s">
        <v>33</v>
      </c>
      <c r="C1968" s="77" t="s">
        <v>93</v>
      </c>
      <c r="D1968" t="s">
        <v>81</v>
      </c>
      <c r="E1968" s="77" t="s">
        <v>104</v>
      </c>
      <c r="F1968" s="77" t="s">
        <v>73</v>
      </c>
      <c r="G1968" s="77" t="s">
        <v>74</v>
      </c>
      <c r="H1968" s="77" t="s">
        <v>123</v>
      </c>
      <c r="I1968" s="77" t="s">
        <v>84</v>
      </c>
      <c r="J1968" s="76">
        <v>0</v>
      </c>
    </row>
    <row r="1969" spans="1:10" x14ac:dyDescent="0.35">
      <c r="A1969" t="s">
        <v>14</v>
      </c>
      <c r="B1969" t="s">
        <v>33</v>
      </c>
      <c r="C1969" s="77" t="s">
        <v>93</v>
      </c>
      <c r="D1969" t="s">
        <v>81</v>
      </c>
      <c r="E1969" s="77" t="s">
        <v>106</v>
      </c>
      <c r="F1969" s="77" t="s">
        <v>73</v>
      </c>
      <c r="G1969" s="77" t="s">
        <v>74</v>
      </c>
      <c r="H1969" s="77" t="s">
        <v>123</v>
      </c>
      <c r="I1969" s="77" t="s">
        <v>84</v>
      </c>
      <c r="J1969" s="76">
        <v>0</v>
      </c>
    </row>
    <row r="1970" spans="1:10" x14ac:dyDescent="0.35">
      <c r="A1970" t="s">
        <v>14</v>
      </c>
      <c r="B1970" t="s">
        <v>33</v>
      </c>
      <c r="C1970" s="77" t="s">
        <v>73</v>
      </c>
      <c r="D1970" t="s">
        <v>81</v>
      </c>
      <c r="E1970" s="77" t="s">
        <v>119</v>
      </c>
      <c r="F1970" s="77" t="s">
        <v>73</v>
      </c>
      <c r="G1970" s="77" t="s">
        <v>74</v>
      </c>
      <c r="H1970" s="77" t="s">
        <v>127</v>
      </c>
      <c r="I1970" s="77" t="s">
        <v>84</v>
      </c>
      <c r="J1970" s="76">
        <f>'SUT_EU27 total'!$M$22</f>
        <v>1.9500181678711294E-2</v>
      </c>
    </row>
    <row r="1971" spans="1:10" x14ac:dyDescent="0.35">
      <c r="A1971" t="s">
        <v>14</v>
      </c>
      <c r="B1971" t="s">
        <v>33</v>
      </c>
      <c r="C1971" s="77" t="s">
        <v>73</v>
      </c>
      <c r="D1971" t="s">
        <v>81</v>
      </c>
      <c r="E1971" s="77" t="s">
        <v>124</v>
      </c>
      <c r="F1971" s="77" t="s">
        <v>73</v>
      </c>
      <c r="G1971" s="77" t="s">
        <v>74</v>
      </c>
      <c r="H1971" s="77" t="s">
        <v>127</v>
      </c>
      <c r="I1971" s="77" t="s">
        <v>84</v>
      </c>
      <c r="J1971" s="76" cm="1">
        <f t="array" ref="J1971:J1979">'SUT_EU27 total'!$M$26:$M$34</f>
        <v>1.9404661061278542E-3</v>
      </c>
    </row>
    <row r="1972" spans="1:10" x14ac:dyDescent="0.35">
      <c r="A1972" t="s">
        <v>14</v>
      </c>
      <c r="B1972" t="s">
        <v>33</v>
      </c>
      <c r="C1972" s="77" t="s">
        <v>73</v>
      </c>
      <c r="D1972" t="s">
        <v>81</v>
      </c>
      <c r="E1972" s="77" t="s">
        <v>117</v>
      </c>
      <c r="F1972" s="77" t="s">
        <v>73</v>
      </c>
      <c r="G1972" s="77" t="s">
        <v>74</v>
      </c>
      <c r="H1972" s="77" t="s">
        <v>127</v>
      </c>
      <c r="I1972" s="77" t="s">
        <v>84</v>
      </c>
      <c r="J1972" s="76">
        <v>5.8423628191201782E-3</v>
      </c>
    </row>
    <row r="1973" spans="1:10" x14ac:dyDescent="0.35">
      <c r="A1973" t="s">
        <v>14</v>
      </c>
      <c r="B1973" t="s">
        <v>33</v>
      </c>
      <c r="C1973" s="77" t="s">
        <v>73</v>
      </c>
      <c r="D1973" t="s">
        <v>81</v>
      </c>
      <c r="E1973" s="77" t="s">
        <v>82</v>
      </c>
      <c r="F1973" s="77" t="s">
        <v>73</v>
      </c>
      <c r="G1973" s="77" t="s">
        <v>74</v>
      </c>
      <c r="H1973" s="77" t="s">
        <v>127</v>
      </c>
      <c r="I1973" s="77" t="s">
        <v>84</v>
      </c>
      <c r="J1973" s="76">
        <v>4.8981233243967828E-4</v>
      </c>
    </row>
    <row r="1974" spans="1:10" x14ac:dyDescent="0.35">
      <c r="A1974" t="s">
        <v>14</v>
      </c>
      <c r="B1974" t="s">
        <v>33</v>
      </c>
      <c r="C1974" s="77" t="s">
        <v>73</v>
      </c>
      <c r="D1974" t="s">
        <v>81</v>
      </c>
      <c r="E1974" s="77" t="s">
        <v>125</v>
      </c>
      <c r="F1974" s="77" t="s">
        <v>73</v>
      </c>
      <c r="G1974" s="77" t="s">
        <v>74</v>
      </c>
      <c r="H1974" s="77" t="s">
        <v>127</v>
      </c>
      <c r="I1974" s="77" t="s">
        <v>84</v>
      </c>
      <c r="J1974" s="76">
        <v>2.4658201215687387E-3</v>
      </c>
    </row>
    <row r="1975" spans="1:10" x14ac:dyDescent="0.35">
      <c r="A1975" t="s">
        <v>14</v>
      </c>
      <c r="B1975" t="s">
        <v>33</v>
      </c>
      <c r="C1975" s="77" t="s">
        <v>73</v>
      </c>
      <c r="D1975" t="s">
        <v>81</v>
      </c>
      <c r="E1975" s="77" t="s">
        <v>122</v>
      </c>
      <c r="F1975" s="77" t="s">
        <v>73</v>
      </c>
      <c r="G1975" s="77" t="s">
        <v>74</v>
      </c>
      <c r="H1975" s="77" t="s">
        <v>127</v>
      </c>
      <c r="I1975" s="77" t="s">
        <v>84</v>
      </c>
      <c r="J1975" s="76">
        <v>4.922711058263972E-4</v>
      </c>
    </row>
    <row r="1976" spans="1:10" x14ac:dyDescent="0.35">
      <c r="A1976" t="s">
        <v>14</v>
      </c>
      <c r="B1976" t="s">
        <v>33</v>
      </c>
      <c r="C1976" s="77" t="s">
        <v>73</v>
      </c>
      <c r="D1976" t="s">
        <v>81</v>
      </c>
      <c r="E1976" s="77" t="s">
        <v>126</v>
      </c>
      <c r="F1976" s="77" t="s">
        <v>73</v>
      </c>
      <c r="G1976" s="77" t="s">
        <v>74</v>
      </c>
      <c r="H1976" s="77" t="s">
        <v>127</v>
      </c>
      <c r="I1976" s="77" t="s">
        <v>84</v>
      </c>
      <c r="J1976" s="76">
        <v>0</v>
      </c>
    </row>
    <row r="1977" spans="1:10" x14ac:dyDescent="0.35">
      <c r="A1977" t="s">
        <v>14</v>
      </c>
      <c r="B1977" t="s">
        <v>33</v>
      </c>
      <c r="C1977" s="77" t="s">
        <v>73</v>
      </c>
      <c r="D1977" t="s">
        <v>81</v>
      </c>
      <c r="E1977" s="77" t="s">
        <v>101</v>
      </c>
      <c r="F1977" s="77" t="s">
        <v>73</v>
      </c>
      <c r="G1977" s="77" t="s">
        <v>74</v>
      </c>
      <c r="H1977" s="77" t="s">
        <v>127</v>
      </c>
      <c r="I1977" s="77" t="s">
        <v>84</v>
      </c>
      <c r="J1977" s="76">
        <v>3.6586167200000007E-4</v>
      </c>
    </row>
    <row r="1978" spans="1:10" x14ac:dyDescent="0.35">
      <c r="A1978" t="s">
        <v>14</v>
      </c>
      <c r="B1978" t="s">
        <v>33</v>
      </c>
      <c r="C1978" s="77" t="s">
        <v>73</v>
      </c>
      <c r="D1978" t="s">
        <v>81</v>
      </c>
      <c r="E1978" s="77" t="s">
        <v>104</v>
      </c>
      <c r="F1978" s="77" t="s">
        <v>73</v>
      </c>
      <c r="G1978" s="77" t="s">
        <v>74</v>
      </c>
      <c r="H1978" s="77" t="s">
        <v>127</v>
      </c>
      <c r="I1978" s="77" t="s">
        <v>84</v>
      </c>
      <c r="J1978" s="76">
        <v>6.9272632800000005E-4</v>
      </c>
    </row>
    <row r="1979" spans="1:10" x14ac:dyDescent="0.35">
      <c r="A1979" t="s">
        <v>14</v>
      </c>
      <c r="B1979" t="s">
        <v>33</v>
      </c>
      <c r="C1979" s="77" t="s">
        <v>73</v>
      </c>
      <c r="D1979" t="s">
        <v>81</v>
      </c>
      <c r="E1979" s="77" t="s">
        <v>106</v>
      </c>
      <c r="F1979" s="77" t="s">
        <v>73</v>
      </c>
      <c r="G1979" s="77" t="s">
        <v>74</v>
      </c>
      <c r="H1979" s="77" t="s">
        <v>127</v>
      </c>
      <c r="I1979" s="77" t="s">
        <v>84</v>
      </c>
      <c r="J1979" s="76">
        <v>2.3562119999999999E-3</v>
      </c>
    </row>
    <row r="1980" spans="1:10" x14ac:dyDescent="0.35">
      <c r="A1980" t="s">
        <v>14</v>
      </c>
      <c r="B1980" t="s">
        <v>33</v>
      </c>
      <c r="C1980" s="77" t="s">
        <v>88</v>
      </c>
      <c r="D1980" t="s">
        <v>81</v>
      </c>
      <c r="E1980" s="77" t="s">
        <v>119</v>
      </c>
      <c r="F1980" s="77" t="s">
        <v>73</v>
      </c>
      <c r="G1980" s="77" t="s">
        <v>74</v>
      </c>
      <c r="H1980" s="77" t="s">
        <v>127</v>
      </c>
      <c r="I1980" s="77" t="s">
        <v>84</v>
      </c>
      <c r="J1980" s="76">
        <f>'SUT_EU27 total'!$M$39</f>
        <v>0.16108845734587587</v>
      </c>
    </row>
    <row r="1981" spans="1:10" x14ac:dyDescent="0.35">
      <c r="A1981" t="s">
        <v>14</v>
      </c>
      <c r="B1981" t="s">
        <v>33</v>
      </c>
      <c r="C1981" s="77" t="s">
        <v>88</v>
      </c>
      <c r="D1981" t="s">
        <v>81</v>
      </c>
      <c r="E1981" s="77" t="s">
        <v>124</v>
      </c>
      <c r="F1981" s="77" t="s">
        <v>73</v>
      </c>
      <c r="G1981" s="77" t="s">
        <v>74</v>
      </c>
      <c r="H1981" s="77" t="s">
        <v>127</v>
      </c>
      <c r="I1981" s="77" t="s">
        <v>84</v>
      </c>
      <c r="J1981" s="76" cm="1">
        <f t="array" ref="J1981:J1989">'SUT_EU27 total'!$L$43:$L$51</f>
        <v>5.0558836222750793E-4</v>
      </c>
    </row>
    <row r="1982" spans="1:10" x14ac:dyDescent="0.35">
      <c r="A1982" t="s">
        <v>14</v>
      </c>
      <c r="B1982" t="s">
        <v>33</v>
      </c>
      <c r="C1982" s="77" t="s">
        <v>88</v>
      </c>
      <c r="D1982" t="s">
        <v>81</v>
      </c>
      <c r="E1982" s="77" t="s">
        <v>117</v>
      </c>
      <c r="F1982" s="77" t="s">
        <v>73</v>
      </c>
      <c r="G1982" s="77" t="s">
        <v>74</v>
      </c>
      <c r="H1982" s="77" t="s">
        <v>127</v>
      </c>
      <c r="I1982" s="77" t="s">
        <v>84</v>
      </c>
      <c r="J1982" s="76">
        <v>4.8514464106651379E-3</v>
      </c>
    </row>
    <row r="1983" spans="1:10" x14ac:dyDescent="0.35">
      <c r="A1983" t="s">
        <v>14</v>
      </c>
      <c r="B1983" t="s">
        <v>33</v>
      </c>
      <c r="C1983" s="77" t="s">
        <v>88</v>
      </c>
      <c r="D1983" t="s">
        <v>81</v>
      </c>
      <c r="E1983" s="77" t="s">
        <v>82</v>
      </c>
      <c r="F1983" s="77" t="s">
        <v>73</v>
      </c>
      <c r="G1983" s="77" t="s">
        <v>74</v>
      </c>
      <c r="H1983" s="77" t="s">
        <v>127</v>
      </c>
      <c r="I1983" s="77" t="s">
        <v>84</v>
      </c>
      <c r="J1983" s="76">
        <v>1.109418436791091E-2</v>
      </c>
    </row>
    <row r="1984" spans="1:10" x14ac:dyDescent="0.35">
      <c r="A1984" t="s">
        <v>14</v>
      </c>
      <c r="B1984" t="s">
        <v>33</v>
      </c>
      <c r="C1984" s="77" t="s">
        <v>88</v>
      </c>
      <c r="D1984" t="s">
        <v>81</v>
      </c>
      <c r="E1984" s="77" t="s">
        <v>125</v>
      </c>
      <c r="F1984" s="77" t="s">
        <v>73</v>
      </c>
      <c r="G1984" s="77" t="s">
        <v>74</v>
      </c>
      <c r="H1984" s="77" t="s">
        <v>127</v>
      </c>
      <c r="I1984" s="77" t="s">
        <v>84</v>
      </c>
      <c r="J1984" s="76">
        <v>2.890870278990243E-5</v>
      </c>
    </row>
    <row r="1985" spans="1:10" x14ac:dyDescent="0.35">
      <c r="A1985" t="s">
        <v>14</v>
      </c>
      <c r="B1985" t="s">
        <v>33</v>
      </c>
      <c r="C1985" s="77" t="s">
        <v>88</v>
      </c>
      <c r="D1985" t="s">
        <v>81</v>
      </c>
      <c r="E1985" s="77" t="s">
        <v>122</v>
      </c>
      <c r="F1985" s="77" t="s">
        <v>73</v>
      </c>
      <c r="G1985" s="77" t="s">
        <v>74</v>
      </c>
      <c r="H1985" s="77" t="s">
        <v>127</v>
      </c>
      <c r="I1985" s="77" t="s">
        <v>84</v>
      </c>
      <c r="J1985" s="76">
        <v>0</v>
      </c>
    </row>
    <row r="1986" spans="1:10" x14ac:dyDescent="0.35">
      <c r="A1986" t="s">
        <v>14</v>
      </c>
      <c r="B1986" t="s">
        <v>33</v>
      </c>
      <c r="C1986" s="77" t="s">
        <v>88</v>
      </c>
      <c r="D1986" t="s">
        <v>81</v>
      </c>
      <c r="E1986" s="77" t="s">
        <v>126</v>
      </c>
      <c r="F1986" s="77" t="s">
        <v>73</v>
      </c>
      <c r="G1986" s="77" t="s">
        <v>74</v>
      </c>
      <c r="H1986" s="77" t="s">
        <v>127</v>
      </c>
      <c r="I1986" s="77" t="s">
        <v>84</v>
      </c>
      <c r="J1986" s="76">
        <v>2.8514320987501449E-3</v>
      </c>
    </row>
    <row r="1987" spans="1:10" x14ac:dyDescent="0.35">
      <c r="A1987" t="s">
        <v>14</v>
      </c>
      <c r="B1987" t="s">
        <v>33</v>
      </c>
      <c r="C1987" s="77" t="s">
        <v>88</v>
      </c>
      <c r="D1987" t="s">
        <v>81</v>
      </c>
      <c r="E1987" s="77" t="s">
        <v>101</v>
      </c>
      <c r="F1987" s="77" t="s">
        <v>73</v>
      </c>
      <c r="G1987" s="77" t="s">
        <v>74</v>
      </c>
      <c r="H1987" s="77" t="s">
        <v>127</v>
      </c>
      <c r="I1987" s="77" t="s">
        <v>84</v>
      </c>
      <c r="J1987" s="76">
        <v>0</v>
      </c>
    </row>
    <row r="1988" spans="1:10" x14ac:dyDescent="0.35">
      <c r="A1988" t="s">
        <v>14</v>
      </c>
      <c r="B1988" t="s">
        <v>33</v>
      </c>
      <c r="C1988" s="77" t="s">
        <v>88</v>
      </c>
      <c r="D1988" t="s">
        <v>81</v>
      </c>
      <c r="E1988" s="77" t="s">
        <v>104</v>
      </c>
      <c r="F1988" s="77" t="s">
        <v>73</v>
      </c>
      <c r="G1988" s="77" t="s">
        <v>74</v>
      </c>
      <c r="H1988" s="77" t="s">
        <v>127</v>
      </c>
      <c r="I1988" s="77" t="s">
        <v>84</v>
      </c>
      <c r="J1988" s="76">
        <v>0</v>
      </c>
    </row>
    <row r="1989" spans="1:10" x14ac:dyDescent="0.35">
      <c r="A1989" t="s">
        <v>14</v>
      </c>
      <c r="B1989" t="s">
        <v>33</v>
      </c>
      <c r="C1989" s="77" t="s">
        <v>88</v>
      </c>
      <c r="D1989" t="s">
        <v>81</v>
      </c>
      <c r="E1989" s="77" t="s">
        <v>106</v>
      </c>
      <c r="F1989" s="77" t="s">
        <v>73</v>
      </c>
      <c r="G1989" s="77" t="s">
        <v>74</v>
      </c>
      <c r="H1989" s="77" t="s">
        <v>127</v>
      </c>
      <c r="I1989" s="77" t="s">
        <v>84</v>
      </c>
      <c r="J1989" s="76">
        <v>0</v>
      </c>
    </row>
    <row r="1990" spans="1:10" x14ac:dyDescent="0.35">
      <c r="A1990" t="s">
        <v>14</v>
      </c>
      <c r="B1990" t="s">
        <v>33</v>
      </c>
      <c r="C1990" s="77" t="s">
        <v>90</v>
      </c>
      <c r="D1990" t="s">
        <v>81</v>
      </c>
      <c r="E1990" s="77" t="s">
        <v>119</v>
      </c>
      <c r="F1990" s="77" t="s">
        <v>73</v>
      </c>
      <c r="G1990" s="77" t="s">
        <v>74</v>
      </c>
      <c r="H1990" s="77" t="s">
        <v>127</v>
      </c>
      <c r="I1990" s="77" t="s">
        <v>84</v>
      </c>
      <c r="J1990" s="76">
        <f>'SUT_EU27 total'!$M$56</f>
        <v>2.949251079979006E-2</v>
      </c>
    </row>
    <row r="1991" spans="1:10" x14ac:dyDescent="0.35">
      <c r="A1991" t="s">
        <v>14</v>
      </c>
      <c r="B1991" t="s">
        <v>33</v>
      </c>
      <c r="C1991" s="77" t="s">
        <v>90</v>
      </c>
      <c r="D1991" t="s">
        <v>81</v>
      </c>
      <c r="E1991" s="77" t="s">
        <v>124</v>
      </c>
      <c r="F1991" s="77" t="s">
        <v>73</v>
      </c>
      <c r="G1991" s="77" t="s">
        <v>74</v>
      </c>
      <c r="H1991" s="77" t="s">
        <v>127</v>
      </c>
      <c r="I1991" s="77" t="s">
        <v>84</v>
      </c>
      <c r="J1991" s="76" cm="1">
        <f t="array" ref="J1991:J1999">'SUT_EU27 total'!$M$60:$M$68</f>
        <v>2.1047443073980527E-5</v>
      </c>
    </row>
    <row r="1992" spans="1:10" x14ac:dyDescent="0.35">
      <c r="A1992" t="s">
        <v>14</v>
      </c>
      <c r="B1992" t="s">
        <v>33</v>
      </c>
      <c r="C1992" s="77" t="s">
        <v>90</v>
      </c>
      <c r="D1992" t="s">
        <v>81</v>
      </c>
      <c r="E1992" s="77" t="s">
        <v>117</v>
      </c>
      <c r="F1992" s="77" t="s">
        <v>73</v>
      </c>
      <c r="G1992" s="77" t="s">
        <v>74</v>
      </c>
      <c r="H1992" s="77" t="s">
        <v>127</v>
      </c>
      <c r="I1992" s="77" t="s">
        <v>84</v>
      </c>
      <c r="J1992" s="76">
        <v>5.8414015621608938E-3</v>
      </c>
    </row>
    <row r="1993" spans="1:10" x14ac:dyDescent="0.35">
      <c r="A1993" t="s">
        <v>14</v>
      </c>
      <c r="B1993" t="s">
        <v>33</v>
      </c>
      <c r="C1993" s="77" t="s">
        <v>90</v>
      </c>
      <c r="D1993" t="s">
        <v>81</v>
      </c>
      <c r="E1993" s="77" t="s">
        <v>82</v>
      </c>
      <c r="F1993" s="77" t="s">
        <v>73</v>
      </c>
      <c r="G1993" s="77" t="s">
        <v>74</v>
      </c>
      <c r="H1993" s="77" t="s">
        <v>127</v>
      </c>
      <c r="I1993" s="77" t="s">
        <v>84</v>
      </c>
      <c r="J1993" s="76">
        <v>1.4521138379047227E-3</v>
      </c>
    </row>
    <row r="1994" spans="1:10" x14ac:dyDescent="0.35">
      <c r="A1994" t="s">
        <v>14</v>
      </c>
      <c r="B1994" t="s">
        <v>33</v>
      </c>
      <c r="C1994" s="77" t="s">
        <v>90</v>
      </c>
      <c r="D1994" t="s">
        <v>81</v>
      </c>
      <c r="E1994" s="77" t="s">
        <v>125</v>
      </c>
      <c r="F1994" s="77" t="s">
        <v>73</v>
      </c>
      <c r="G1994" s="77" t="s">
        <v>74</v>
      </c>
      <c r="H1994" s="77" t="s">
        <v>127</v>
      </c>
      <c r="I1994" s="77" t="s">
        <v>84</v>
      </c>
      <c r="J1994" s="76">
        <v>6.5130870114372285E-5</v>
      </c>
    </row>
    <row r="1995" spans="1:10" x14ac:dyDescent="0.35">
      <c r="A1995" t="s">
        <v>14</v>
      </c>
      <c r="B1995" t="s">
        <v>33</v>
      </c>
      <c r="C1995" s="77" t="s">
        <v>90</v>
      </c>
      <c r="D1995" t="s">
        <v>81</v>
      </c>
      <c r="E1995" s="77" t="s">
        <v>122</v>
      </c>
      <c r="F1995" s="77" t="s">
        <v>73</v>
      </c>
      <c r="G1995" s="77" t="s">
        <v>74</v>
      </c>
      <c r="H1995" s="77" t="s">
        <v>127</v>
      </c>
      <c r="I1995" s="77" t="s">
        <v>84</v>
      </c>
      <c r="J1995" s="76">
        <v>7.9476813317479189E-4</v>
      </c>
    </row>
    <row r="1996" spans="1:10" x14ac:dyDescent="0.35">
      <c r="A1996" t="s">
        <v>14</v>
      </c>
      <c r="B1996" t="s">
        <v>33</v>
      </c>
      <c r="C1996" s="77" t="s">
        <v>90</v>
      </c>
      <c r="D1996" t="s">
        <v>81</v>
      </c>
      <c r="E1996" s="77" t="s">
        <v>126</v>
      </c>
      <c r="F1996" s="77" t="s">
        <v>73</v>
      </c>
      <c r="G1996" s="77" t="s">
        <v>74</v>
      </c>
      <c r="H1996" s="77" t="s">
        <v>127</v>
      </c>
      <c r="I1996" s="77" t="s">
        <v>84</v>
      </c>
      <c r="J1996" s="76">
        <v>8.4821183458843076E-3</v>
      </c>
    </row>
    <row r="1997" spans="1:10" x14ac:dyDescent="0.35">
      <c r="A1997" t="s">
        <v>14</v>
      </c>
      <c r="B1997" t="s">
        <v>33</v>
      </c>
      <c r="C1997" s="77" t="s">
        <v>90</v>
      </c>
      <c r="D1997" t="s">
        <v>81</v>
      </c>
      <c r="E1997" s="77" t="s">
        <v>101</v>
      </c>
      <c r="F1997" s="77" t="s">
        <v>73</v>
      </c>
      <c r="G1997" s="77" t="s">
        <v>74</v>
      </c>
      <c r="H1997" s="77" t="s">
        <v>127</v>
      </c>
      <c r="I1997" s="77" t="s">
        <v>84</v>
      </c>
      <c r="J1997" s="76">
        <v>0</v>
      </c>
    </row>
    <row r="1998" spans="1:10" x14ac:dyDescent="0.35">
      <c r="A1998" t="s">
        <v>14</v>
      </c>
      <c r="B1998" t="s">
        <v>33</v>
      </c>
      <c r="C1998" s="77" t="s">
        <v>90</v>
      </c>
      <c r="D1998" t="s">
        <v>81</v>
      </c>
      <c r="E1998" s="77" t="s">
        <v>104</v>
      </c>
      <c r="F1998" s="77" t="s">
        <v>73</v>
      </c>
      <c r="G1998" s="77" t="s">
        <v>74</v>
      </c>
      <c r="H1998" s="77" t="s">
        <v>127</v>
      </c>
      <c r="I1998" s="77" t="s">
        <v>84</v>
      </c>
      <c r="J1998" s="76">
        <v>0</v>
      </c>
    </row>
    <row r="1999" spans="1:10" x14ac:dyDescent="0.35">
      <c r="A1999" t="s">
        <v>14</v>
      </c>
      <c r="B1999" t="s">
        <v>33</v>
      </c>
      <c r="C1999" s="77" t="s">
        <v>90</v>
      </c>
      <c r="D1999" t="s">
        <v>81</v>
      </c>
      <c r="E1999" s="77" t="s">
        <v>106</v>
      </c>
      <c r="F1999" s="77" t="s">
        <v>73</v>
      </c>
      <c r="G1999" s="77" t="s">
        <v>74</v>
      </c>
      <c r="H1999" s="77" t="s">
        <v>127</v>
      </c>
      <c r="I1999" s="77" t="s">
        <v>84</v>
      </c>
      <c r="J1999" s="76">
        <v>0</v>
      </c>
    </row>
    <row r="2000" spans="1:10" x14ac:dyDescent="0.35">
      <c r="A2000" t="s">
        <v>14</v>
      </c>
      <c r="B2000" t="s">
        <v>33</v>
      </c>
      <c r="C2000" s="77" t="s">
        <v>91</v>
      </c>
      <c r="D2000" t="s">
        <v>81</v>
      </c>
      <c r="E2000" s="77" t="s">
        <v>119</v>
      </c>
      <c r="F2000" s="77" t="s">
        <v>73</v>
      </c>
      <c r="G2000" s="77" t="s">
        <v>74</v>
      </c>
      <c r="H2000" s="77" t="s">
        <v>127</v>
      </c>
      <c r="I2000" s="77" t="s">
        <v>84</v>
      </c>
      <c r="J2000" s="76">
        <f>'SUT_EU27 total'!$M$73</f>
        <v>0.15097500908393557</v>
      </c>
    </row>
    <row r="2001" spans="1:10" x14ac:dyDescent="0.35">
      <c r="A2001" t="s">
        <v>14</v>
      </c>
      <c r="B2001" t="s">
        <v>33</v>
      </c>
      <c r="C2001" s="77" t="s">
        <v>91</v>
      </c>
      <c r="D2001" t="s">
        <v>81</v>
      </c>
      <c r="E2001" s="77" t="s">
        <v>124</v>
      </c>
      <c r="F2001" s="77" t="s">
        <v>73</v>
      </c>
      <c r="G2001" s="77" t="s">
        <v>74</v>
      </c>
      <c r="H2001" s="77" t="s">
        <v>127</v>
      </c>
      <c r="I2001" s="77" t="s">
        <v>84</v>
      </c>
      <c r="J2001" s="76" cm="1">
        <f t="array" ref="J2001:J2009">'SUT_EU27 total'!$M$77:$M$85</f>
        <v>6.7728942399646885E-5</v>
      </c>
    </row>
    <row r="2002" spans="1:10" x14ac:dyDescent="0.35">
      <c r="A2002" t="s">
        <v>14</v>
      </c>
      <c r="B2002" t="s">
        <v>33</v>
      </c>
      <c r="C2002" s="77" t="s">
        <v>91</v>
      </c>
      <c r="D2002" t="s">
        <v>81</v>
      </c>
      <c r="E2002" s="77" t="s">
        <v>117</v>
      </c>
      <c r="F2002" s="77" t="s">
        <v>73</v>
      </c>
      <c r="G2002" s="77" t="s">
        <v>74</v>
      </c>
      <c r="H2002" s="77" t="s">
        <v>127</v>
      </c>
      <c r="I2002" s="77" t="s">
        <v>84</v>
      </c>
      <c r="J2002" s="76">
        <v>5.6233849622410815E-3</v>
      </c>
    </row>
    <row r="2003" spans="1:10" x14ac:dyDescent="0.35">
      <c r="A2003" t="s">
        <v>14</v>
      </c>
      <c r="B2003" t="s">
        <v>33</v>
      </c>
      <c r="C2003" s="77" t="s">
        <v>91</v>
      </c>
      <c r="D2003" t="s">
        <v>81</v>
      </c>
      <c r="E2003" s="77" t="s">
        <v>82</v>
      </c>
      <c r="F2003" s="77" t="s">
        <v>73</v>
      </c>
      <c r="G2003" s="77" t="s">
        <v>74</v>
      </c>
      <c r="H2003" s="77" t="s">
        <v>127</v>
      </c>
      <c r="I2003" s="77" t="s">
        <v>84</v>
      </c>
      <c r="J2003" s="76">
        <v>1.8068055269127655E-3</v>
      </c>
    </row>
    <row r="2004" spans="1:10" x14ac:dyDescent="0.35">
      <c r="A2004" t="s">
        <v>14</v>
      </c>
      <c r="B2004" t="s">
        <v>33</v>
      </c>
      <c r="C2004" s="77" t="s">
        <v>91</v>
      </c>
      <c r="D2004" t="s">
        <v>81</v>
      </c>
      <c r="E2004" s="77" t="s">
        <v>125</v>
      </c>
      <c r="F2004" s="77" t="s">
        <v>73</v>
      </c>
      <c r="G2004" s="77" t="s">
        <v>74</v>
      </c>
      <c r="H2004" s="77" t="s">
        <v>127</v>
      </c>
      <c r="I2004" s="77" t="s">
        <v>84</v>
      </c>
      <c r="J2004" s="76">
        <v>5.6492118062760293E-6</v>
      </c>
    </row>
    <row r="2005" spans="1:10" x14ac:dyDescent="0.35">
      <c r="A2005" t="s">
        <v>14</v>
      </c>
      <c r="B2005" t="s">
        <v>33</v>
      </c>
      <c r="C2005" s="77" t="s">
        <v>91</v>
      </c>
      <c r="D2005" t="s">
        <v>81</v>
      </c>
      <c r="E2005" s="77" t="s">
        <v>122</v>
      </c>
      <c r="F2005" s="77" t="s">
        <v>73</v>
      </c>
      <c r="G2005" s="77" t="s">
        <v>74</v>
      </c>
      <c r="H2005" s="77" t="s">
        <v>127</v>
      </c>
      <c r="I2005" s="77" t="s">
        <v>84</v>
      </c>
      <c r="J2005" s="76">
        <v>0</v>
      </c>
    </row>
    <row r="2006" spans="1:10" x14ac:dyDescent="0.35">
      <c r="A2006" t="s">
        <v>14</v>
      </c>
      <c r="B2006" t="s">
        <v>33</v>
      </c>
      <c r="C2006" s="77" t="s">
        <v>91</v>
      </c>
      <c r="D2006" t="s">
        <v>81</v>
      </c>
      <c r="E2006" s="77" t="s">
        <v>126</v>
      </c>
      <c r="F2006" s="77" t="s">
        <v>73</v>
      </c>
      <c r="G2006" s="77" t="s">
        <v>74</v>
      </c>
      <c r="H2006" s="77" t="s">
        <v>127</v>
      </c>
      <c r="I2006" s="77" t="s">
        <v>84</v>
      </c>
      <c r="J2006" s="76">
        <v>8.1093795177776388E-4</v>
      </c>
    </row>
    <row r="2007" spans="1:10" x14ac:dyDescent="0.35">
      <c r="A2007" t="s">
        <v>14</v>
      </c>
      <c r="B2007" t="s">
        <v>33</v>
      </c>
      <c r="C2007" s="77" t="s">
        <v>91</v>
      </c>
      <c r="D2007" t="s">
        <v>81</v>
      </c>
      <c r="E2007" s="77" t="s">
        <v>101</v>
      </c>
      <c r="F2007" s="77" t="s">
        <v>73</v>
      </c>
      <c r="G2007" s="77" t="s">
        <v>74</v>
      </c>
      <c r="H2007" s="77" t="s">
        <v>127</v>
      </c>
      <c r="I2007" s="77" t="s">
        <v>84</v>
      </c>
      <c r="J2007" s="76">
        <v>0</v>
      </c>
    </row>
    <row r="2008" spans="1:10" x14ac:dyDescent="0.35">
      <c r="A2008" t="s">
        <v>14</v>
      </c>
      <c r="B2008" t="s">
        <v>33</v>
      </c>
      <c r="C2008" s="77" t="s">
        <v>91</v>
      </c>
      <c r="D2008" t="s">
        <v>81</v>
      </c>
      <c r="E2008" s="77" t="s">
        <v>104</v>
      </c>
      <c r="F2008" s="77" t="s">
        <v>73</v>
      </c>
      <c r="G2008" s="77" t="s">
        <v>74</v>
      </c>
      <c r="H2008" s="77" t="s">
        <v>127</v>
      </c>
      <c r="I2008" s="77" t="s">
        <v>84</v>
      </c>
      <c r="J2008" s="76">
        <v>0</v>
      </c>
    </row>
    <row r="2009" spans="1:10" x14ac:dyDescent="0.35">
      <c r="A2009" t="s">
        <v>14</v>
      </c>
      <c r="B2009" t="s">
        <v>33</v>
      </c>
      <c r="C2009" s="77" t="s">
        <v>91</v>
      </c>
      <c r="D2009" t="s">
        <v>81</v>
      </c>
      <c r="E2009" s="77" t="s">
        <v>106</v>
      </c>
      <c r="F2009" s="77" t="s">
        <v>73</v>
      </c>
      <c r="G2009" s="77" t="s">
        <v>74</v>
      </c>
      <c r="H2009" s="77" t="s">
        <v>127</v>
      </c>
      <c r="I2009" s="77" t="s">
        <v>84</v>
      </c>
      <c r="J2009" s="76">
        <v>0</v>
      </c>
    </row>
    <row r="2010" spans="1:10" x14ac:dyDescent="0.35">
      <c r="A2010" t="s">
        <v>14</v>
      </c>
      <c r="B2010" t="s">
        <v>33</v>
      </c>
      <c r="C2010" s="77" t="s">
        <v>92</v>
      </c>
      <c r="D2010" t="s">
        <v>81</v>
      </c>
      <c r="E2010" s="77" t="s">
        <v>119</v>
      </c>
      <c r="F2010" s="77" t="s">
        <v>73</v>
      </c>
      <c r="G2010" s="77" t="s">
        <v>74</v>
      </c>
      <c r="H2010" s="77" t="s">
        <v>127</v>
      </c>
      <c r="I2010" s="77" t="s">
        <v>84</v>
      </c>
      <c r="J2010" s="76">
        <f>'SUT_EU27 total'!$M$90</f>
        <v>0.13886309499777949</v>
      </c>
    </row>
    <row r="2011" spans="1:10" x14ac:dyDescent="0.35">
      <c r="A2011" t="s">
        <v>14</v>
      </c>
      <c r="B2011" t="s">
        <v>33</v>
      </c>
      <c r="C2011" s="77" t="s">
        <v>92</v>
      </c>
      <c r="D2011" t="s">
        <v>81</v>
      </c>
      <c r="E2011" s="77" t="s">
        <v>124</v>
      </c>
      <c r="F2011" s="77" t="s">
        <v>73</v>
      </c>
      <c r="G2011" s="77" t="s">
        <v>74</v>
      </c>
      <c r="H2011" s="77" t="s">
        <v>127</v>
      </c>
      <c r="I2011" s="77" t="s">
        <v>84</v>
      </c>
      <c r="J2011" s="76" cm="1">
        <f t="array" ref="J2011:J2019">'SUT_EU27 total'!$M$94:$M$102</f>
        <v>9.2968907089085616E-5</v>
      </c>
    </row>
    <row r="2012" spans="1:10" x14ac:dyDescent="0.35">
      <c r="A2012" t="s">
        <v>14</v>
      </c>
      <c r="B2012" t="s">
        <v>33</v>
      </c>
      <c r="C2012" s="77" t="s">
        <v>92</v>
      </c>
      <c r="D2012" t="s">
        <v>81</v>
      </c>
      <c r="E2012" s="77" t="s">
        <v>117</v>
      </c>
      <c r="F2012" s="77" t="s">
        <v>73</v>
      </c>
      <c r="G2012" s="77" t="s">
        <v>74</v>
      </c>
      <c r="H2012" s="77" t="s">
        <v>127</v>
      </c>
      <c r="I2012" s="77" t="s">
        <v>84</v>
      </c>
      <c r="J2012" s="76">
        <v>0</v>
      </c>
    </row>
    <row r="2013" spans="1:10" x14ac:dyDescent="0.35">
      <c r="A2013" t="s">
        <v>14</v>
      </c>
      <c r="B2013" t="s">
        <v>33</v>
      </c>
      <c r="C2013" s="77" t="s">
        <v>92</v>
      </c>
      <c r="D2013" t="s">
        <v>81</v>
      </c>
      <c r="E2013" s="77" t="s">
        <v>82</v>
      </c>
      <c r="F2013" s="77" t="s">
        <v>73</v>
      </c>
      <c r="G2013" s="77" t="s">
        <v>74</v>
      </c>
      <c r="H2013" s="77" t="s">
        <v>127</v>
      </c>
      <c r="I2013" s="77" t="s">
        <v>84</v>
      </c>
      <c r="J2013" s="76">
        <v>1.1251392039595793E-3</v>
      </c>
    </row>
    <row r="2014" spans="1:10" x14ac:dyDescent="0.35">
      <c r="A2014" t="s">
        <v>14</v>
      </c>
      <c r="B2014" t="s">
        <v>33</v>
      </c>
      <c r="C2014" s="77" t="s">
        <v>92</v>
      </c>
      <c r="D2014" t="s">
        <v>81</v>
      </c>
      <c r="E2014" s="77" t="s">
        <v>125</v>
      </c>
      <c r="F2014" s="77" t="s">
        <v>73</v>
      </c>
      <c r="G2014" s="77" t="s">
        <v>74</v>
      </c>
      <c r="H2014" s="77" t="s">
        <v>127</v>
      </c>
      <c r="I2014" s="77" t="s">
        <v>84</v>
      </c>
      <c r="J2014" s="76">
        <v>5.0048817841215026E-7</v>
      </c>
    </row>
    <row r="2015" spans="1:10" x14ac:dyDescent="0.35">
      <c r="A2015" t="s">
        <v>14</v>
      </c>
      <c r="B2015" t="s">
        <v>33</v>
      </c>
      <c r="C2015" s="77" t="s">
        <v>92</v>
      </c>
      <c r="D2015" t="s">
        <v>81</v>
      </c>
      <c r="E2015" s="77" t="s">
        <v>122</v>
      </c>
      <c r="F2015" s="77" t="s">
        <v>73</v>
      </c>
      <c r="G2015" s="77" t="s">
        <v>74</v>
      </c>
      <c r="H2015" s="77" t="s">
        <v>127</v>
      </c>
      <c r="I2015" s="77" t="s">
        <v>84</v>
      </c>
      <c r="J2015" s="76">
        <v>0</v>
      </c>
    </row>
    <row r="2016" spans="1:10" x14ac:dyDescent="0.35">
      <c r="A2016" t="s">
        <v>14</v>
      </c>
      <c r="B2016" t="s">
        <v>33</v>
      </c>
      <c r="C2016" s="77" t="s">
        <v>92</v>
      </c>
      <c r="D2016" t="s">
        <v>81</v>
      </c>
      <c r="E2016" s="77" t="s">
        <v>126</v>
      </c>
      <c r="F2016" s="77" t="s">
        <v>73</v>
      </c>
      <c r="G2016" s="77" t="s">
        <v>74</v>
      </c>
      <c r="H2016" s="77" t="s">
        <v>127</v>
      </c>
      <c r="I2016" s="77" t="s">
        <v>84</v>
      </c>
      <c r="J2016" s="76">
        <v>0</v>
      </c>
    </row>
    <row r="2017" spans="1:10" x14ac:dyDescent="0.35">
      <c r="A2017" t="s">
        <v>14</v>
      </c>
      <c r="B2017" t="s">
        <v>33</v>
      </c>
      <c r="C2017" s="77" t="s">
        <v>92</v>
      </c>
      <c r="D2017" t="s">
        <v>81</v>
      </c>
      <c r="E2017" s="77" t="s">
        <v>101</v>
      </c>
      <c r="F2017" s="77" t="s">
        <v>73</v>
      </c>
      <c r="G2017" s="77" t="s">
        <v>74</v>
      </c>
      <c r="H2017" s="77" t="s">
        <v>127</v>
      </c>
      <c r="I2017" s="77" t="s">
        <v>84</v>
      </c>
      <c r="J2017" s="76">
        <v>0</v>
      </c>
    </row>
    <row r="2018" spans="1:10" x14ac:dyDescent="0.35">
      <c r="A2018" t="s">
        <v>14</v>
      </c>
      <c r="B2018" t="s">
        <v>33</v>
      </c>
      <c r="C2018" s="77" t="s">
        <v>92</v>
      </c>
      <c r="D2018" t="s">
        <v>81</v>
      </c>
      <c r="E2018" s="77" t="s">
        <v>104</v>
      </c>
      <c r="F2018" s="77" t="s">
        <v>73</v>
      </c>
      <c r="G2018" s="77" t="s">
        <v>74</v>
      </c>
      <c r="H2018" s="77" t="s">
        <v>127</v>
      </c>
      <c r="I2018" s="77" t="s">
        <v>84</v>
      </c>
      <c r="J2018" s="76">
        <v>0</v>
      </c>
    </row>
    <row r="2019" spans="1:10" x14ac:dyDescent="0.35">
      <c r="A2019" t="s">
        <v>14</v>
      </c>
      <c r="B2019" t="s">
        <v>33</v>
      </c>
      <c r="C2019" s="77" t="s">
        <v>92</v>
      </c>
      <c r="D2019" t="s">
        <v>81</v>
      </c>
      <c r="E2019" s="77" t="s">
        <v>106</v>
      </c>
      <c r="F2019" s="77" t="s">
        <v>73</v>
      </c>
      <c r="G2019" s="77" t="s">
        <v>74</v>
      </c>
      <c r="H2019" s="77" t="s">
        <v>127</v>
      </c>
      <c r="I2019" s="77" t="s">
        <v>84</v>
      </c>
      <c r="J2019" s="76">
        <v>0</v>
      </c>
    </row>
    <row r="2020" spans="1:10" x14ac:dyDescent="0.35">
      <c r="A2020" t="s">
        <v>14</v>
      </c>
      <c r="B2020" t="s">
        <v>33</v>
      </c>
      <c r="C2020" s="77" t="s">
        <v>93</v>
      </c>
      <c r="D2020" t="s">
        <v>81</v>
      </c>
      <c r="E2020" s="77" t="s">
        <v>119</v>
      </c>
      <c r="F2020" s="77" t="s">
        <v>73</v>
      </c>
      <c r="G2020" s="77" t="s">
        <v>74</v>
      </c>
      <c r="H2020" s="77" t="s">
        <v>127</v>
      </c>
      <c r="I2020" s="77" t="s">
        <v>84</v>
      </c>
      <c r="J2020" s="76">
        <f>'SUT_EU27 total'!$M$107</f>
        <v>1.0000807460939076</v>
      </c>
    </row>
    <row r="2021" spans="1:10" x14ac:dyDescent="0.35">
      <c r="A2021" t="s">
        <v>14</v>
      </c>
      <c r="B2021" t="s">
        <v>33</v>
      </c>
      <c r="C2021" s="77" t="s">
        <v>93</v>
      </c>
      <c r="D2021" t="s">
        <v>81</v>
      </c>
      <c r="E2021" s="77" t="s">
        <v>124</v>
      </c>
      <c r="F2021" s="77" t="s">
        <v>73</v>
      </c>
      <c r="G2021" s="77" t="s">
        <v>74</v>
      </c>
      <c r="H2021" s="77" t="s">
        <v>127</v>
      </c>
      <c r="I2021" s="77" t="s">
        <v>84</v>
      </c>
      <c r="J2021" s="76" cm="1">
        <f t="array" ref="J2021:J2029">'SUT_EU27 total'!$M$111:$M$119</f>
        <v>3.7052409430862396E-4</v>
      </c>
    </row>
    <row r="2022" spans="1:10" x14ac:dyDescent="0.35">
      <c r="A2022" t="s">
        <v>14</v>
      </c>
      <c r="B2022" t="s">
        <v>33</v>
      </c>
      <c r="C2022" s="77" t="s">
        <v>93</v>
      </c>
      <c r="D2022" t="s">
        <v>81</v>
      </c>
      <c r="E2022" s="77" t="s">
        <v>117</v>
      </c>
      <c r="F2022" s="77" t="s">
        <v>73</v>
      </c>
      <c r="G2022" s="77" t="s">
        <v>74</v>
      </c>
      <c r="H2022" s="77" t="s">
        <v>127</v>
      </c>
      <c r="I2022" s="77" t="s">
        <v>84</v>
      </c>
      <c r="J2022" s="76">
        <v>5.8414042458127093E-3</v>
      </c>
    </row>
    <row r="2023" spans="1:10" x14ac:dyDescent="0.35">
      <c r="A2023" t="s">
        <v>14</v>
      </c>
      <c r="B2023" t="s">
        <v>33</v>
      </c>
      <c r="C2023" s="77" t="s">
        <v>93</v>
      </c>
      <c r="D2023" t="s">
        <v>81</v>
      </c>
      <c r="E2023" s="77" t="s">
        <v>82</v>
      </c>
      <c r="F2023" s="77" t="s">
        <v>73</v>
      </c>
      <c r="G2023" s="77" t="s">
        <v>74</v>
      </c>
      <c r="H2023" s="77" t="s">
        <v>127</v>
      </c>
      <c r="I2023" s="77" t="s">
        <v>84</v>
      </c>
      <c r="J2023" s="76">
        <v>5.0319447308723453E-3</v>
      </c>
    </row>
    <row r="2024" spans="1:10" x14ac:dyDescent="0.35">
      <c r="A2024" t="s">
        <v>14</v>
      </c>
      <c r="B2024" t="s">
        <v>33</v>
      </c>
      <c r="C2024" s="77" t="s">
        <v>93</v>
      </c>
      <c r="D2024" t="s">
        <v>81</v>
      </c>
      <c r="E2024" s="77" t="s">
        <v>125</v>
      </c>
      <c r="F2024" s="77" t="s">
        <v>73</v>
      </c>
      <c r="G2024" s="77" t="s">
        <v>74</v>
      </c>
      <c r="H2024" s="77" t="s">
        <v>127</v>
      </c>
      <c r="I2024" s="77" t="s">
        <v>84</v>
      </c>
      <c r="J2024" s="76">
        <v>4.336096678710085E-4</v>
      </c>
    </row>
    <row r="2025" spans="1:10" x14ac:dyDescent="0.35">
      <c r="A2025" t="s">
        <v>14</v>
      </c>
      <c r="B2025" t="s">
        <v>33</v>
      </c>
      <c r="C2025" s="77" t="s">
        <v>93</v>
      </c>
      <c r="D2025" t="s">
        <v>81</v>
      </c>
      <c r="E2025" s="77" t="s">
        <v>122</v>
      </c>
      <c r="F2025" s="77" t="s">
        <v>73</v>
      </c>
      <c r="G2025" s="77" t="s">
        <v>74</v>
      </c>
      <c r="H2025" s="77" t="s">
        <v>127</v>
      </c>
      <c r="I2025" s="77" t="s">
        <v>84</v>
      </c>
      <c r="J2025" s="76">
        <v>2.7129607609988112E-3</v>
      </c>
    </row>
    <row r="2026" spans="1:10" x14ac:dyDescent="0.35">
      <c r="A2026" t="s">
        <v>14</v>
      </c>
      <c r="B2026" t="s">
        <v>33</v>
      </c>
      <c r="C2026" s="77" t="s">
        <v>93</v>
      </c>
      <c r="D2026" t="s">
        <v>81</v>
      </c>
      <c r="E2026" s="77" t="s">
        <v>126</v>
      </c>
      <c r="F2026" s="77" t="s">
        <v>73</v>
      </c>
      <c r="G2026" s="77" t="s">
        <v>74</v>
      </c>
      <c r="H2026" s="77" t="s">
        <v>127</v>
      </c>
      <c r="I2026" s="77" t="s">
        <v>84</v>
      </c>
      <c r="J2026" s="76">
        <v>4.3855511603587784E-2</v>
      </c>
    </row>
    <row r="2027" spans="1:10" x14ac:dyDescent="0.35">
      <c r="A2027" t="s">
        <v>14</v>
      </c>
      <c r="B2027" t="s">
        <v>33</v>
      </c>
      <c r="C2027" s="77" t="s">
        <v>93</v>
      </c>
      <c r="D2027" t="s">
        <v>81</v>
      </c>
      <c r="E2027" s="77" t="s">
        <v>101</v>
      </c>
      <c r="F2027" s="77" t="s">
        <v>73</v>
      </c>
      <c r="G2027" s="77" t="s">
        <v>74</v>
      </c>
      <c r="H2027" s="77" t="s">
        <v>127</v>
      </c>
      <c r="I2027" s="77" t="s">
        <v>84</v>
      </c>
      <c r="J2027" s="76">
        <v>0</v>
      </c>
    </row>
    <row r="2028" spans="1:10" x14ac:dyDescent="0.35">
      <c r="A2028" t="s">
        <v>14</v>
      </c>
      <c r="B2028" t="s">
        <v>33</v>
      </c>
      <c r="C2028" s="77" t="s">
        <v>93</v>
      </c>
      <c r="D2028" t="s">
        <v>81</v>
      </c>
      <c r="E2028" s="77" t="s">
        <v>104</v>
      </c>
      <c r="F2028" s="77" t="s">
        <v>73</v>
      </c>
      <c r="G2028" s="77" t="s">
        <v>74</v>
      </c>
      <c r="H2028" s="77" t="s">
        <v>127</v>
      </c>
      <c r="I2028" s="77" t="s">
        <v>84</v>
      </c>
      <c r="J2028" s="76">
        <v>0</v>
      </c>
    </row>
    <row r="2029" spans="1:10" x14ac:dyDescent="0.35">
      <c r="A2029" t="s">
        <v>14</v>
      </c>
      <c r="B2029" t="s">
        <v>33</v>
      </c>
      <c r="C2029" s="77" t="s">
        <v>93</v>
      </c>
      <c r="D2029" t="s">
        <v>81</v>
      </c>
      <c r="E2029" s="77" t="s">
        <v>106</v>
      </c>
      <c r="F2029" s="77" t="s">
        <v>73</v>
      </c>
      <c r="G2029" s="77" t="s">
        <v>74</v>
      </c>
      <c r="H2029" s="77" t="s">
        <v>127</v>
      </c>
      <c r="I2029" s="77" t="s">
        <v>84</v>
      </c>
      <c r="J2029" s="76">
        <v>0</v>
      </c>
    </row>
    <row r="2030" spans="1:10" x14ac:dyDescent="0.35">
      <c r="A2030" t="s">
        <v>14</v>
      </c>
      <c r="B2030" t="s">
        <v>33</v>
      </c>
      <c r="C2030" s="77" t="s">
        <v>73</v>
      </c>
      <c r="D2030" t="s">
        <v>81</v>
      </c>
      <c r="E2030" s="77" t="s">
        <v>82</v>
      </c>
      <c r="F2030" s="77" t="s">
        <v>73</v>
      </c>
      <c r="G2030" s="77" t="s">
        <v>74</v>
      </c>
      <c r="H2030" s="77" t="s">
        <v>128</v>
      </c>
      <c r="I2030" s="77" t="s">
        <v>84</v>
      </c>
      <c r="J2030" s="465" cm="1">
        <f t="array" ref="J2030:J2053">Sensitivity!J18:J41</f>
        <v>2.6760974214171465E-4</v>
      </c>
    </row>
    <row r="2031" spans="1:10" x14ac:dyDescent="0.35">
      <c r="A2031" t="s">
        <v>14</v>
      </c>
      <c r="B2031" t="s">
        <v>33</v>
      </c>
      <c r="C2031" s="77" t="s">
        <v>73</v>
      </c>
      <c r="D2031" t="s">
        <v>81</v>
      </c>
      <c r="E2031" s="77" t="s">
        <v>86</v>
      </c>
      <c r="F2031" s="77" t="s">
        <v>73</v>
      </c>
      <c r="G2031" s="77" t="s">
        <v>74</v>
      </c>
      <c r="H2031" s="77" t="s">
        <v>128</v>
      </c>
      <c r="I2031" s="77" t="s">
        <v>84</v>
      </c>
      <c r="J2031" s="465">
        <v>3.7016175236971698E-3</v>
      </c>
    </row>
    <row r="2032" spans="1:10" x14ac:dyDescent="0.35">
      <c r="A2032" t="s">
        <v>14</v>
      </c>
      <c r="B2032" t="s">
        <v>33</v>
      </c>
      <c r="C2032" s="77" t="s">
        <v>88</v>
      </c>
      <c r="D2032" t="s">
        <v>81</v>
      </c>
      <c r="E2032" s="77" t="s">
        <v>82</v>
      </c>
      <c r="F2032" s="77" t="s">
        <v>73</v>
      </c>
      <c r="G2032" s="77" t="s">
        <v>74</v>
      </c>
      <c r="H2032" s="77" t="s">
        <v>128</v>
      </c>
      <c r="I2032" s="77" t="s">
        <v>84</v>
      </c>
      <c r="J2032" s="465">
        <v>1.6846497285095353E-4</v>
      </c>
    </row>
    <row r="2033" spans="1:10" x14ac:dyDescent="0.35">
      <c r="A2033" t="s">
        <v>14</v>
      </c>
      <c r="B2033" t="s">
        <v>33</v>
      </c>
      <c r="C2033" s="77" t="s">
        <v>88</v>
      </c>
      <c r="D2033" t="s">
        <v>81</v>
      </c>
      <c r="E2033" s="77" t="s">
        <v>86</v>
      </c>
      <c r="F2033" s="77" t="s">
        <v>73</v>
      </c>
      <c r="G2033" s="77" t="s">
        <v>74</v>
      </c>
      <c r="H2033" s="77" t="s">
        <v>128</v>
      </c>
      <c r="I2033" s="77" t="s">
        <v>84</v>
      </c>
      <c r="J2033" s="465">
        <v>8.3841145981034843E-2</v>
      </c>
    </row>
    <row r="2034" spans="1:10" x14ac:dyDescent="0.35">
      <c r="A2034" t="s">
        <v>14</v>
      </c>
      <c r="B2034" t="s">
        <v>33</v>
      </c>
      <c r="C2034" s="77" t="s">
        <v>90</v>
      </c>
      <c r="D2034" t="s">
        <v>81</v>
      </c>
      <c r="E2034" s="77" t="s">
        <v>82</v>
      </c>
      <c r="F2034" s="77" t="s">
        <v>73</v>
      </c>
      <c r="G2034" s="77" t="s">
        <v>74</v>
      </c>
      <c r="H2034" s="77" t="s">
        <v>128</v>
      </c>
      <c r="I2034" s="77" t="s">
        <v>84</v>
      </c>
      <c r="J2034" s="465">
        <v>4.0529696913112775E-8</v>
      </c>
    </row>
    <row r="2035" spans="1:10" x14ac:dyDescent="0.35">
      <c r="A2035" t="s">
        <v>14</v>
      </c>
      <c r="B2035" t="s">
        <v>33</v>
      </c>
      <c r="C2035" s="77" t="s">
        <v>90</v>
      </c>
      <c r="D2035" t="s">
        <v>81</v>
      </c>
      <c r="E2035" s="77" t="s">
        <v>86</v>
      </c>
      <c r="F2035" s="77" t="s">
        <v>73</v>
      </c>
      <c r="G2035" s="77" t="s">
        <v>74</v>
      </c>
      <c r="H2035" s="77" t="s">
        <v>128</v>
      </c>
      <c r="I2035" s="77" t="s">
        <v>84</v>
      </c>
      <c r="J2035" s="465">
        <v>1.0973937716142008E-2</v>
      </c>
    </row>
    <row r="2036" spans="1:10" x14ac:dyDescent="0.35">
      <c r="A2036" t="s">
        <v>14</v>
      </c>
      <c r="B2036" t="s">
        <v>33</v>
      </c>
      <c r="C2036" s="77" t="s">
        <v>91</v>
      </c>
      <c r="D2036" t="s">
        <v>81</v>
      </c>
      <c r="E2036" s="77" t="s">
        <v>82</v>
      </c>
      <c r="F2036" s="77" t="s">
        <v>73</v>
      </c>
      <c r="G2036" s="77" t="s">
        <v>74</v>
      </c>
      <c r="H2036" s="77" t="s">
        <v>128</v>
      </c>
      <c r="I2036" s="77" t="s">
        <v>84</v>
      </c>
      <c r="J2036" s="465">
        <v>7.8859787450203447E-6</v>
      </c>
    </row>
    <row r="2037" spans="1:10" x14ac:dyDescent="0.35">
      <c r="A2037" t="s">
        <v>14</v>
      </c>
      <c r="B2037" t="s">
        <v>33</v>
      </c>
      <c r="C2037" s="77" t="s">
        <v>91</v>
      </c>
      <c r="D2037" t="s">
        <v>81</v>
      </c>
      <c r="E2037" s="77" t="s">
        <v>86</v>
      </c>
      <c r="F2037" s="77" t="s">
        <v>73</v>
      </c>
      <c r="G2037" s="77" t="s">
        <v>74</v>
      </c>
      <c r="H2037" s="77" t="s">
        <v>128</v>
      </c>
      <c r="I2037" s="77" t="s">
        <v>84</v>
      </c>
      <c r="J2037" s="465">
        <v>1.3654419371233061E-2</v>
      </c>
    </row>
    <row r="2038" spans="1:10" x14ac:dyDescent="0.35">
      <c r="A2038" t="s">
        <v>14</v>
      </c>
      <c r="B2038" t="s">
        <v>33</v>
      </c>
      <c r="C2038" s="77" t="s">
        <v>92</v>
      </c>
      <c r="D2038" t="s">
        <v>81</v>
      </c>
      <c r="E2038" s="77" t="s">
        <v>82</v>
      </c>
      <c r="F2038" s="77" t="s">
        <v>73</v>
      </c>
      <c r="G2038" s="77" t="s">
        <v>74</v>
      </c>
      <c r="H2038" s="77" t="s">
        <v>128</v>
      </c>
      <c r="I2038" s="77" t="s">
        <v>84</v>
      </c>
      <c r="J2038" s="465">
        <v>1.0947328811186329E-5</v>
      </c>
    </row>
    <row r="2039" spans="1:10" x14ac:dyDescent="0.35">
      <c r="A2039" t="s">
        <v>14</v>
      </c>
      <c r="B2039" t="s">
        <v>33</v>
      </c>
      <c r="C2039" s="77" t="s">
        <v>92</v>
      </c>
      <c r="D2039" t="s">
        <v>81</v>
      </c>
      <c r="E2039" s="77" t="s">
        <v>86</v>
      </c>
      <c r="F2039" s="77" t="s">
        <v>73</v>
      </c>
      <c r="G2039" s="77" t="s">
        <v>74</v>
      </c>
      <c r="H2039" s="77" t="s">
        <v>128</v>
      </c>
      <c r="I2039" s="77" t="s">
        <v>84</v>
      </c>
      <c r="J2039" s="465">
        <v>8.5029198289701558E-3</v>
      </c>
    </row>
    <row r="2040" spans="1:10" x14ac:dyDescent="0.35">
      <c r="A2040" t="s">
        <v>14</v>
      </c>
      <c r="B2040" t="s">
        <v>33</v>
      </c>
      <c r="C2040" s="77" t="s">
        <v>93</v>
      </c>
      <c r="D2040" t="s">
        <v>81</v>
      </c>
      <c r="E2040" s="77" t="s">
        <v>82</v>
      </c>
      <c r="F2040" s="77" t="s">
        <v>73</v>
      </c>
      <c r="G2040" s="77" t="s">
        <v>74</v>
      </c>
      <c r="H2040" s="77" t="s">
        <v>128</v>
      </c>
      <c r="I2040" s="77" t="s">
        <v>84</v>
      </c>
      <c r="J2040" s="465">
        <v>4.5375221154525037E-5</v>
      </c>
    </row>
    <row r="2041" spans="1:10" x14ac:dyDescent="0.35">
      <c r="A2041" t="s">
        <v>14</v>
      </c>
      <c r="B2041" t="s">
        <v>33</v>
      </c>
      <c r="C2041" s="77" t="s">
        <v>93</v>
      </c>
      <c r="D2041" t="s">
        <v>81</v>
      </c>
      <c r="E2041" s="77" t="s">
        <v>86</v>
      </c>
      <c r="F2041" s="77" t="s">
        <v>73</v>
      </c>
      <c r="G2041" s="77" t="s">
        <v>74</v>
      </c>
      <c r="H2041" s="77" t="s">
        <v>128</v>
      </c>
      <c r="I2041" s="77" t="s">
        <v>84</v>
      </c>
      <c r="J2041" s="465">
        <v>3.8027492491456601E-2</v>
      </c>
    </row>
    <row r="2042" spans="1:10" x14ac:dyDescent="0.35">
      <c r="A2042" t="s">
        <v>14</v>
      </c>
      <c r="B2042" t="s">
        <v>33</v>
      </c>
      <c r="C2042" s="77" t="s">
        <v>73</v>
      </c>
      <c r="D2042" t="s">
        <v>81</v>
      </c>
      <c r="E2042" s="77" t="s">
        <v>82</v>
      </c>
      <c r="F2042" s="77" t="s">
        <v>73</v>
      </c>
      <c r="G2042" s="77" t="s">
        <v>74</v>
      </c>
      <c r="H2042" s="77" t="s">
        <v>129</v>
      </c>
      <c r="I2042" s="77" t="s">
        <v>84</v>
      </c>
      <c r="J2042" s="465">
        <v>2.6760974214171465E-4</v>
      </c>
    </row>
    <row r="2043" spans="1:10" x14ac:dyDescent="0.35">
      <c r="A2043" t="s">
        <v>14</v>
      </c>
      <c r="B2043" t="s">
        <v>33</v>
      </c>
      <c r="C2043" s="77" t="s">
        <v>73</v>
      </c>
      <c r="D2043" t="s">
        <v>81</v>
      </c>
      <c r="E2043" s="77" t="s">
        <v>86</v>
      </c>
      <c r="F2043" s="77" t="s">
        <v>73</v>
      </c>
      <c r="G2043" s="77" t="s">
        <v>74</v>
      </c>
      <c r="H2043" s="77" t="s">
        <v>129</v>
      </c>
      <c r="I2043" s="77" t="s">
        <v>84</v>
      </c>
      <c r="J2043" s="465">
        <v>3.7016175236971698E-3</v>
      </c>
    </row>
    <row r="2044" spans="1:10" x14ac:dyDescent="0.35">
      <c r="A2044" t="s">
        <v>14</v>
      </c>
      <c r="B2044" t="s">
        <v>33</v>
      </c>
      <c r="C2044" s="77" t="s">
        <v>88</v>
      </c>
      <c r="D2044" t="s">
        <v>81</v>
      </c>
      <c r="E2044" s="77" t="s">
        <v>82</v>
      </c>
      <c r="F2044" s="77" t="s">
        <v>73</v>
      </c>
      <c r="G2044" s="77" t="s">
        <v>74</v>
      </c>
      <c r="H2044" s="77" t="s">
        <v>129</v>
      </c>
      <c r="I2044" s="77" t="s">
        <v>84</v>
      </c>
      <c r="J2044" s="465">
        <v>1.6846497285095353E-4</v>
      </c>
    </row>
    <row r="2045" spans="1:10" x14ac:dyDescent="0.35">
      <c r="A2045" t="s">
        <v>14</v>
      </c>
      <c r="B2045" t="s">
        <v>33</v>
      </c>
      <c r="C2045" s="77" t="s">
        <v>88</v>
      </c>
      <c r="D2045" t="s">
        <v>81</v>
      </c>
      <c r="E2045" s="77" t="s">
        <v>86</v>
      </c>
      <c r="F2045" s="77" t="s">
        <v>73</v>
      </c>
      <c r="G2045" s="77" t="s">
        <v>74</v>
      </c>
      <c r="H2045" s="77" t="s">
        <v>129</v>
      </c>
      <c r="I2045" s="77" t="s">
        <v>84</v>
      </c>
      <c r="J2045" s="465">
        <v>8.3841145981034843E-2</v>
      </c>
    </row>
    <row r="2046" spans="1:10" x14ac:dyDescent="0.35">
      <c r="A2046" t="s">
        <v>14</v>
      </c>
      <c r="B2046" t="s">
        <v>33</v>
      </c>
      <c r="C2046" s="77" t="s">
        <v>90</v>
      </c>
      <c r="D2046" t="s">
        <v>81</v>
      </c>
      <c r="E2046" s="77" t="s">
        <v>82</v>
      </c>
      <c r="F2046" s="77" t="s">
        <v>73</v>
      </c>
      <c r="G2046" s="77" t="s">
        <v>74</v>
      </c>
      <c r="H2046" s="77" t="s">
        <v>129</v>
      </c>
      <c r="I2046" s="77" t="s">
        <v>84</v>
      </c>
      <c r="J2046" s="465">
        <v>4.0529696913112775E-8</v>
      </c>
    </row>
    <row r="2047" spans="1:10" x14ac:dyDescent="0.35">
      <c r="A2047" t="s">
        <v>14</v>
      </c>
      <c r="B2047" t="s">
        <v>33</v>
      </c>
      <c r="C2047" s="77" t="s">
        <v>90</v>
      </c>
      <c r="D2047" t="s">
        <v>81</v>
      </c>
      <c r="E2047" s="77" t="s">
        <v>86</v>
      </c>
      <c r="F2047" s="77" t="s">
        <v>73</v>
      </c>
      <c r="G2047" s="77" t="s">
        <v>74</v>
      </c>
      <c r="H2047" s="77" t="s">
        <v>129</v>
      </c>
      <c r="I2047" s="77" t="s">
        <v>84</v>
      </c>
      <c r="J2047" s="465">
        <v>1.0973937716142008E-2</v>
      </c>
    </row>
    <row r="2048" spans="1:10" x14ac:dyDescent="0.35">
      <c r="A2048" t="s">
        <v>14</v>
      </c>
      <c r="B2048" t="s">
        <v>33</v>
      </c>
      <c r="C2048" s="77" t="s">
        <v>91</v>
      </c>
      <c r="D2048" t="s">
        <v>81</v>
      </c>
      <c r="E2048" s="77" t="s">
        <v>82</v>
      </c>
      <c r="F2048" s="77" t="s">
        <v>73</v>
      </c>
      <c r="G2048" s="77" t="s">
        <v>74</v>
      </c>
      <c r="H2048" s="77" t="s">
        <v>129</v>
      </c>
      <c r="I2048" s="77" t="s">
        <v>84</v>
      </c>
      <c r="J2048" s="465">
        <v>7.8859787450203447E-6</v>
      </c>
    </row>
    <row r="2049" spans="1:10" x14ac:dyDescent="0.35">
      <c r="A2049" t="s">
        <v>14</v>
      </c>
      <c r="B2049" t="s">
        <v>33</v>
      </c>
      <c r="C2049" s="77" t="s">
        <v>91</v>
      </c>
      <c r="D2049" t="s">
        <v>81</v>
      </c>
      <c r="E2049" s="77" t="s">
        <v>86</v>
      </c>
      <c r="F2049" s="77" t="s">
        <v>73</v>
      </c>
      <c r="G2049" s="77" t="s">
        <v>74</v>
      </c>
      <c r="H2049" s="77" t="s">
        <v>129</v>
      </c>
      <c r="I2049" s="77" t="s">
        <v>84</v>
      </c>
      <c r="J2049" s="465">
        <v>1.3654419371233061E-2</v>
      </c>
    </row>
    <row r="2050" spans="1:10" x14ac:dyDescent="0.35">
      <c r="A2050" t="s">
        <v>14</v>
      </c>
      <c r="B2050" t="s">
        <v>33</v>
      </c>
      <c r="C2050" s="77" t="s">
        <v>92</v>
      </c>
      <c r="D2050" t="s">
        <v>81</v>
      </c>
      <c r="E2050" s="77" t="s">
        <v>82</v>
      </c>
      <c r="F2050" s="77" t="s">
        <v>73</v>
      </c>
      <c r="G2050" s="77" t="s">
        <v>74</v>
      </c>
      <c r="H2050" s="77" t="s">
        <v>129</v>
      </c>
      <c r="I2050" s="77" t="s">
        <v>84</v>
      </c>
      <c r="J2050" s="465">
        <v>1.0947328811186329E-5</v>
      </c>
    </row>
    <row r="2051" spans="1:10" x14ac:dyDescent="0.35">
      <c r="A2051" t="s">
        <v>14</v>
      </c>
      <c r="B2051" t="s">
        <v>33</v>
      </c>
      <c r="C2051" s="77" t="s">
        <v>92</v>
      </c>
      <c r="D2051" t="s">
        <v>81</v>
      </c>
      <c r="E2051" s="77" t="s">
        <v>86</v>
      </c>
      <c r="F2051" s="77" t="s">
        <v>73</v>
      </c>
      <c r="G2051" s="77" t="s">
        <v>74</v>
      </c>
      <c r="H2051" s="77" t="s">
        <v>129</v>
      </c>
      <c r="I2051" s="77" t="s">
        <v>84</v>
      </c>
      <c r="J2051" s="465">
        <v>8.5029198289701558E-3</v>
      </c>
    </row>
    <row r="2052" spans="1:10" x14ac:dyDescent="0.35">
      <c r="A2052" t="s">
        <v>14</v>
      </c>
      <c r="B2052" t="s">
        <v>33</v>
      </c>
      <c r="C2052" s="77" t="s">
        <v>93</v>
      </c>
      <c r="D2052" t="s">
        <v>81</v>
      </c>
      <c r="E2052" s="77" t="s">
        <v>82</v>
      </c>
      <c r="F2052" s="77" t="s">
        <v>73</v>
      </c>
      <c r="G2052" s="77" t="s">
        <v>74</v>
      </c>
      <c r="H2052" s="77" t="s">
        <v>129</v>
      </c>
      <c r="I2052" s="77" t="s">
        <v>84</v>
      </c>
      <c r="J2052" s="465">
        <v>4.5375221154525037E-5</v>
      </c>
    </row>
    <row r="2053" spans="1:10" x14ac:dyDescent="0.35">
      <c r="A2053" t="s">
        <v>14</v>
      </c>
      <c r="B2053" t="s">
        <v>33</v>
      </c>
      <c r="C2053" s="77" t="s">
        <v>93</v>
      </c>
      <c r="D2053" t="s">
        <v>81</v>
      </c>
      <c r="E2053" s="77" t="s">
        <v>86</v>
      </c>
      <c r="F2053" s="77" t="s">
        <v>73</v>
      </c>
      <c r="G2053" s="77" t="s">
        <v>74</v>
      </c>
      <c r="H2053" s="77" t="s">
        <v>129</v>
      </c>
      <c r="I2053" s="77" t="s">
        <v>84</v>
      </c>
      <c r="J2053" s="465">
        <v>3.8027492491456601E-2</v>
      </c>
    </row>
    <row r="2054" spans="1:10" x14ac:dyDescent="0.35">
      <c r="A2054" t="s">
        <v>14</v>
      </c>
      <c r="B2054" t="s">
        <v>33</v>
      </c>
      <c r="C2054" s="77" t="s">
        <v>73</v>
      </c>
      <c r="D2054" t="s">
        <v>81</v>
      </c>
      <c r="E2054" s="77" t="s">
        <v>82</v>
      </c>
      <c r="F2054" s="77" t="s">
        <v>73</v>
      </c>
      <c r="G2054" s="77" t="s">
        <v>74</v>
      </c>
      <c r="H2054" s="77" t="s">
        <v>130</v>
      </c>
      <c r="I2054" s="77" t="s">
        <v>84</v>
      </c>
      <c r="J2054" s="76">
        <f>'SUT_EU27 total'!$Q$28</f>
        <v>7.0611384178638645E-2</v>
      </c>
    </row>
    <row r="2055" spans="1:10" x14ac:dyDescent="0.35">
      <c r="A2055" t="s">
        <v>14</v>
      </c>
      <c r="B2055" t="s">
        <v>33</v>
      </c>
      <c r="C2055" s="77" t="s">
        <v>88</v>
      </c>
      <c r="D2055" t="s">
        <v>81</v>
      </c>
      <c r="E2055" s="77" t="s">
        <v>82</v>
      </c>
      <c r="F2055" s="77" t="s">
        <v>73</v>
      </c>
      <c r="G2055" s="77" t="s">
        <v>74</v>
      </c>
      <c r="H2055" s="77" t="s">
        <v>130</v>
      </c>
      <c r="I2055" s="77" t="s">
        <v>84</v>
      </c>
      <c r="J2055" s="76">
        <f>'SUT_EU27 total'!$Q$45</f>
        <v>4.4451090694311274E-2</v>
      </c>
    </row>
    <row r="2056" spans="1:10" x14ac:dyDescent="0.35">
      <c r="A2056" t="s">
        <v>14</v>
      </c>
      <c r="B2056" t="s">
        <v>33</v>
      </c>
      <c r="C2056" s="77" t="s">
        <v>90</v>
      </c>
      <c r="D2056" t="s">
        <v>81</v>
      </c>
      <c r="E2056" s="77" t="s">
        <v>82</v>
      </c>
      <c r="F2056" s="77" t="s">
        <v>73</v>
      </c>
      <c r="G2056" s="77" t="s">
        <v>74</v>
      </c>
      <c r="H2056" s="77" t="s">
        <v>130</v>
      </c>
      <c r="I2056" s="77" t="s">
        <v>84</v>
      </c>
      <c r="J2056" s="76">
        <f>'SUT_EU27 total'!$Q$62</f>
        <v>1.0694147292515508E-5</v>
      </c>
    </row>
    <row r="2057" spans="1:10" x14ac:dyDescent="0.35">
      <c r="A2057" t="s">
        <v>14</v>
      </c>
      <c r="B2057" t="s">
        <v>33</v>
      </c>
      <c r="C2057" s="77" t="s">
        <v>91</v>
      </c>
      <c r="D2057" t="s">
        <v>81</v>
      </c>
      <c r="E2057" s="77" t="s">
        <v>82</v>
      </c>
      <c r="F2057" s="77" t="s">
        <v>73</v>
      </c>
      <c r="G2057" s="77" t="s">
        <v>74</v>
      </c>
      <c r="H2057" s="77" t="s">
        <v>130</v>
      </c>
      <c r="I2057" s="77" t="s">
        <v>84</v>
      </c>
      <c r="J2057" s="76">
        <f>'SUT_EU27 total'!$Q$79</f>
        <v>2.0807907452574416E-3</v>
      </c>
    </row>
    <row r="2058" spans="1:10" x14ac:dyDescent="0.35">
      <c r="A2058" t="s">
        <v>14</v>
      </c>
      <c r="B2058" t="s">
        <v>33</v>
      </c>
      <c r="C2058" s="77" t="s">
        <v>92</v>
      </c>
      <c r="D2058" t="s">
        <v>81</v>
      </c>
      <c r="E2058" s="77" t="s">
        <v>82</v>
      </c>
      <c r="F2058" s="77" t="s">
        <v>73</v>
      </c>
      <c r="G2058" s="77" t="s">
        <v>74</v>
      </c>
      <c r="H2058" s="77" t="s">
        <v>130</v>
      </c>
      <c r="I2058" s="77" t="s">
        <v>84</v>
      </c>
      <c r="J2058" s="76">
        <f>'SUT_EU27 total'!$Q$96</f>
        <v>2.8885571737041122E-3</v>
      </c>
    </row>
    <row r="2059" spans="1:10" x14ac:dyDescent="0.35">
      <c r="A2059" t="s">
        <v>14</v>
      </c>
      <c r="B2059" t="s">
        <v>33</v>
      </c>
      <c r="C2059" s="77" t="s">
        <v>93</v>
      </c>
      <c r="D2059" t="s">
        <v>81</v>
      </c>
      <c r="E2059" s="77" t="s">
        <v>82</v>
      </c>
      <c r="F2059" s="77" t="s">
        <v>73</v>
      </c>
      <c r="G2059" s="77" t="s">
        <v>74</v>
      </c>
      <c r="H2059" s="77" t="s">
        <v>130</v>
      </c>
      <c r="I2059" s="77" t="s">
        <v>84</v>
      </c>
      <c r="J2059" s="76">
        <f>'SUT_EU27 total'!$Q$113</f>
        <v>1.1972685102906883E-2</v>
      </c>
    </row>
    <row r="2060" spans="1:10" x14ac:dyDescent="0.35">
      <c r="A2060" t="s">
        <v>14</v>
      </c>
      <c r="B2060" t="s">
        <v>33</v>
      </c>
      <c r="C2060" s="77" t="s">
        <v>73</v>
      </c>
      <c r="D2060" t="s">
        <v>81</v>
      </c>
      <c r="E2060" s="77" t="s">
        <v>131</v>
      </c>
      <c r="F2060" s="77" t="s">
        <v>73</v>
      </c>
      <c r="G2060" s="77" t="s">
        <v>74</v>
      </c>
      <c r="H2060" s="77" t="s">
        <v>112</v>
      </c>
      <c r="I2060" s="77" t="s">
        <v>84</v>
      </c>
      <c r="J2060" s="76">
        <f>'SUT_EU27 total'!$R$24</f>
        <v>4.0146105919003111E-8</v>
      </c>
    </row>
    <row r="2061" spans="1:10" x14ac:dyDescent="0.35">
      <c r="A2061" t="s">
        <v>14</v>
      </c>
      <c r="B2061" t="s">
        <v>33</v>
      </c>
      <c r="C2061" s="77" t="s">
        <v>73</v>
      </c>
      <c r="D2061" t="s">
        <v>81</v>
      </c>
      <c r="E2061" s="77" t="s">
        <v>122</v>
      </c>
      <c r="F2061" s="77" t="s">
        <v>73</v>
      </c>
      <c r="G2061" s="77" t="s">
        <v>74</v>
      </c>
      <c r="H2061" s="77" t="s">
        <v>112</v>
      </c>
      <c r="I2061" s="77" t="s">
        <v>84</v>
      </c>
      <c r="J2061" s="76">
        <f>'SUT_EU27 total'!$R$30</f>
        <v>3.9708116569218732E-4</v>
      </c>
    </row>
    <row r="2062" spans="1:10" x14ac:dyDescent="0.35">
      <c r="A2062" t="s">
        <v>14</v>
      </c>
      <c r="B2062" t="s">
        <v>33</v>
      </c>
      <c r="C2062" s="77" t="s">
        <v>73</v>
      </c>
      <c r="D2062" t="s">
        <v>81</v>
      </c>
      <c r="E2062" s="77" t="s">
        <v>101</v>
      </c>
      <c r="F2062" s="77" t="s">
        <v>73</v>
      </c>
      <c r="G2062" s="77" t="s">
        <v>74</v>
      </c>
      <c r="H2062" s="77" t="s">
        <v>112</v>
      </c>
      <c r="I2062" s="77" t="s">
        <v>84</v>
      </c>
      <c r="J2062" s="76" cm="1">
        <f t="array" ref="J2062:J2064">'SUT_EU27 total'!$R$32:$R$34</f>
        <v>1.2183459827918709E-7</v>
      </c>
    </row>
    <row r="2063" spans="1:10" x14ac:dyDescent="0.35">
      <c r="A2063" t="s">
        <v>14</v>
      </c>
      <c r="B2063" t="s">
        <v>33</v>
      </c>
      <c r="C2063" s="77" t="s">
        <v>73</v>
      </c>
      <c r="D2063" t="s">
        <v>81</v>
      </c>
      <c r="E2063" s="77" t="s">
        <v>104</v>
      </c>
      <c r="F2063" s="77" t="s">
        <v>73</v>
      </c>
      <c r="G2063" s="77" t="s">
        <v>74</v>
      </c>
      <c r="H2063" s="77" t="s">
        <v>112</v>
      </c>
      <c r="I2063" s="77" t="s">
        <v>84</v>
      </c>
      <c r="J2063" s="76">
        <v>2.3068290654205609E-7</v>
      </c>
    </row>
    <row r="2064" spans="1:10" x14ac:dyDescent="0.35">
      <c r="A2064" t="s">
        <v>14</v>
      </c>
      <c r="B2064" t="s">
        <v>33</v>
      </c>
      <c r="C2064" s="77" t="s">
        <v>73</v>
      </c>
      <c r="D2064" t="s">
        <v>81</v>
      </c>
      <c r="E2064" s="77" t="s">
        <v>106</v>
      </c>
      <c r="F2064" s="77" t="s">
        <v>73</v>
      </c>
      <c r="G2064" s="77" t="s">
        <v>74</v>
      </c>
      <c r="H2064" s="77" t="s">
        <v>112</v>
      </c>
      <c r="I2064" s="77" t="s">
        <v>84</v>
      </c>
      <c r="J2064" s="76">
        <v>7.8463573653760568E-7</v>
      </c>
    </row>
    <row r="2065" spans="1:10" x14ac:dyDescent="0.35">
      <c r="A2065" t="s">
        <v>14</v>
      </c>
      <c r="B2065" t="s">
        <v>33</v>
      </c>
      <c r="C2065" s="77" t="s">
        <v>88</v>
      </c>
      <c r="D2065" t="s">
        <v>81</v>
      </c>
      <c r="E2065" s="77" t="s">
        <v>131</v>
      </c>
      <c r="F2065" s="77" t="s">
        <v>73</v>
      </c>
      <c r="G2065" s="77" t="s">
        <v>74</v>
      </c>
      <c r="H2065" s="77" t="s">
        <v>112</v>
      </c>
      <c r="I2065" s="77" t="s">
        <v>84</v>
      </c>
      <c r="J2065" s="76">
        <f>'SUT_EU27 total'!$R$41</f>
        <v>0</v>
      </c>
    </row>
    <row r="2066" spans="1:10" x14ac:dyDescent="0.35">
      <c r="A2066" t="s">
        <v>14</v>
      </c>
      <c r="B2066" t="s">
        <v>33</v>
      </c>
      <c r="C2066" s="77" t="s">
        <v>88</v>
      </c>
      <c r="D2066" t="s">
        <v>81</v>
      </c>
      <c r="E2066" s="77" t="s">
        <v>122</v>
      </c>
      <c r="F2066" s="77" t="s">
        <v>73</v>
      </c>
      <c r="G2066" s="77" t="s">
        <v>74</v>
      </c>
      <c r="H2066" s="77" t="s">
        <v>112</v>
      </c>
      <c r="I2066" s="77" t="s">
        <v>84</v>
      </c>
      <c r="J2066" s="76">
        <f>'SUT_EU27 total'!$R$47</f>
        <v>0</v>
      </c>
    </row>
    <row r="2067" spans="1:10" x14ac:dyDescent="0.35">
      <c r="A2067" t="s">
        <v>14</v>
      </c>
      <c r="B2067" t="s">
        <v>33</v>
      </c>
      <c r="C2067" s="77" t="s">
        <v>88</v>
      </c>
      <c r="D2067" t="s">
        <v>81</v>
      </c>
      <c r="E2067" s="77" t="s">
        <v>101</v>
      </c>
      <c r="F2067" s="77" t="s">
        <v>73</v>
      </c>
      <c r="G2067" s="77" t="s">
        <v>74</v>
      </c>
      <c r="H2067" s="77" t="s">
        <v>112</v>
      </c>
      <c r="I2067" s="77" t="s">
        <v>84</v>
      </c>
      <c r="J2067" s="76" cm="1">
        <f t="array" ref="J2067:J2069">'SUT_EU27 total'!$R$49:$R$51</f>
        <v>0</v>
      </c>
    </row>
    <row r="2068" spans="1:10" x14ac:dyDescent="0.35">
      <c r="A2068" t="s">
        <v>14</v>
      </c>
      <c r="B2068" t="s">
        <v>33</v>
      </c>
      <c r="C2068" s="77" t="s">
        <v>88</v>
      </c>
      <c r="D2068" t="s">
        <v>81</v>
      </c>
      <c r="E2068" s="77" t="s">
        <v>104</v>
      </c>
      <c r="F2068" s="77" t="s">
        <v>73</v>
      </c>
      <c r="G2068" s="77" t="s">
        <v>74</v>
      </c>
      <c r="H2068" s="77" t="s">
        <v>112</v>
      </c>
      <c r="I2068" s="77" t="s">
        <v>84</v>
      </c>
      <c r="J2068" s="76">
        <v>0</v>
      </c>
    </row>
    <row r="2069" spans="1:10" x14ac:dyDescent="0.35">
      <c r="A2069" t="s">
        <v>14</v>
      </c>
      <c r="B2069" t="s">
        <v>33</v>
      </c>
      <c r="C2069" s="77" t="s">
        <v>88</v>
      </c>
      <c r="D2069" t="s">
        <v>81</v>
      </c>
      <c r="E2069" s="77" t="s">
        <v>106</v>
      </c>
      <c r="F2069" s="77" t="s">
        <v>73</v>
      </c>
      <c r="G2069" s="77" t="s">
        <v>74</v>
      </c>
      <c r="H2069" s="77" t="s">
        <v>112</v>
      </c>
      <c r="I2069" s="77" t="s">
        <v>84</v>
      </c>
      <c r="J2069" s="76">
        <v>0</v>
      </c>
    </row>
    <row r="2070" spans="1:10" x14ac:dyDescent="0.35">
      <c r="A2070" t="s">
        <v>14</v>
      </c>
      <c r="B2070" t="s">
        <v>33</v>
      </c>
      <c r="C2070" s="77" t="s">
        <v>90</v>
      </c>
      <c r="D2070" t="s">
        <v>81</v>
      </c>
      <c r="E2070" s="77" t="s">
        <v>131</v>
      </c>
      <c r="F2070" s="77" t="s">
        <v>73</v>
      </c>
      <c r="G2070" s="77" t="s">
        <v>74</v>
      </c>
      <c r="H2070" s="77" t="s">
        <v>112</v>
      </c>
      <c r="I2070" s="77" t="s">
        <v>84</v>
      </c>
      <c r="J2070" s="76">
        <f>'SUT_EU27 total'!$R$58</f>
        <v>0</v>
      </c>
    </row>
    <row r="2071" spans="1:10" x14ac:dyDescent="0.35">
      <c r="A2071" t="s">
        <v>14</v>
      </c>
      <c r="B2071" t="s">
        <v>33</v>
      </c>
      <c r="C2071" s="77" t="s">
        <v>90</v>
      </c>
      <c r="D2071" t="s">
        <v>81</v>
      </c>
      <c r="E2071" s="77" t="s">
        <v>122</v>
      </c>
      <c r="F2071" s="77" t="s">
        <v>73</v>
      </c>
      <c r="G2071" s="77" t="s">
        <v>74</v>
      </c>
      <c r="H2071" s="77" t="s">
        <v>112</v>
      </c>
      <c r="I2071" s="77" t="s">
        <v>84</v>
      </c>
      <c r="J2071" s="76">
        <f>'SUT_EU27 total'!$R$64</f>
        <v>6.4108466461028498E-4</v>
      </c>
    </row>
    <row r="2072" spans="1:10" x14ac:dyDescent="0.35">
      <c r="A2072" t="s">
        <v>14</v>
      </c>
      <c r="B2072" t="s">
        <v>33</v>
      </c>
      <c r="C2072" s="77" t="s">
        <v>90</v>
      </c>
      <c r="D2072" t="s">
        <v>81</v>
      </c>
      <c r="E2072" s="77" t="s">
        <v>101</v>
      </c>
      <c r="F2072" s="77" t="s">
        <v>73</v>
      </c>
      <c r="G2072" s="77" t="s">
        <v>74</v>
      </c>
      <c r="H2072" s="77" t="s">
        <v>112</v>
      </c>
      <c r="I2072" s="77" t="s">
        <v>84</v>
      </c>
      <c r="J2072" s="76" cm="1">
        <f t="array" ref="J2072:J2074">'SUT_EU27 total'!$R$66:$R$68</f>
        <v>0</v>
      </c>
    </row>
    <row r="2073" spans="1:10" x14ac:dyDescent="0.35">
      <c r="A2073" t="s">
        <v>14</v>
      </c>
      <c r="B2073" t="s">
        <v>33</v>
      </c>
      <c r="C2073" s="77" t="s">
        <v>90</v>
      </c>
      <c r="D2073" t="s">
        <v>81</v>
      </c>
      <c r="E2073" s="77" t="s">
        <v>104</v>
      </c>
      <c r="F2073" s="77" t="s">
        <v>73</v>
      </c>
      <c r="G2073" s="77" t="s">
        <v>74</v>
      </c>
      <c r="H2073" s="77" t="s">
        <v>112</v>
      </c>
      <c r="I2073" s="77" t="s">
        <v>84</v>
      </c>
      <c r="J2073" s="76">
        <v>0</v>
      </c>
    </row>
    <row r="2074" spans="1:10" x14ac:dyDescent="0.35">
      <c r="A2074" t="s">
        <v>14</v>
      </c>
      <c r="B2074" t="s">
        <v>33</v>
      </c>
      <c r="C2074" s="77" t="s">
        <v>90</v>
      </c>
      <c r="D2074" t="s">
        <v>81</v>
      </c>
      <c r="E2074" s="77" t="s">
        <v>106</v>
      </c>
      <c r="F2074" s="77" t="s">
        <v>73</v>
      </c>
      <c r="G2074" s="77" t="s">
        <v>74</v>
      </c>
      <c r="H2074" s="77" t="s">
        <v>112</v>
      </c>
      <c r="I2074" s="77" t="s">
        <v>84</v>
      </c>
      <c r="J2074" s="76">
        <v>0</v>
      </c>
    </row>
    <row r="2075" spans="1:10" x14ac:dyDescent="0.35">
      <c r="A2075" t="s">
        <v>14</v>
      </c>
      <c r="B2075" t="s">
        <v>33</v>
      </c>
      <c r="C2075" s="77" t="s">
        <v>91</v>
      </c>
      <c r="D2075" t="s">
        <v>81</v>
      </c>
      <c r="E2075" s="77" t="s">
        <v>131</v>
      </c>
      <c r="F2075" s="77" t="s">
        <v>73</v>
      </c>
      <c r="G2075" s="77" t="s">
        <v>74</v>
      </c>
      <c r="H2075" s="77" t="s">
        <v>112</v>
      </c>
      <c r="I2075" s="77" t="s">
        <v>84</v>
      </c>
      <c r="J2075" s="76">
        <f>'SUT_EU27 total'!$R$75</f>
        <v>0</v>
      </c>
    </row>
    <row r="2076" spans="1:10" x14ac:dyDescent="0.35">
      <c r="A2076" t="s">
        <v>14</v>
      </c>
      <c r="B2076" t="s">
        <v>33</v>
      </c>
      <c r="C2076" s="77" t="s">
        <v>91</v>
      </c>
      <c r="D2076" t="s">
        <v>81</v>
      </c>
      <c r="E2076" s="77" t="s">
        <v>122</v>
      </c>
      <c r="F2076" s="77" t="s">
        <v>73</v>
      </c>
      <c r="G2076" s="77" t="s">
        <v>74</v>
      </c>
      <c r="H2076" s="77" t="s">
        <v>112</v>
      </c>
      <c r="I2076" s="77" t="s">
        <v>84</v>
      </c>
      <c r="J2076" s="76">
        <f>'SUT_EU27 total'!$R$81</f>
        <v>0</v>
      </c>
    </row>
    <row r="2077" spans="1:10" x14ac:dyDescent="0.35">
      <c r="A2077" t="s">
        <v>14</v>
      </c>
      <c r="B2077" t="s">
        <v>33</v>
      </c>
      <c r="C2077" s="77" t="s">
        <v>91</v>
      </c>
      <c r="D2077" t="s">
        <v>81</v>
      </c>
      <c r="E2077" s="77" t="s">
        <v>101</v>
      </c>
      <c r="F2077" s="77" t="s">
        <v>73</v>
      </c>
      <c r="G2077" s="77" t="s">
        <v>74</v>
      </c>
      <c r="H2077" s="77" t="s">
        <v>112</v>
      </c>
      <c r="I2077" s="77" t="s">
        <v>84</v>
      </c>
      <c r="J2077" s="76" cm="1">
        <f t="array" ref="J2077:J2079">'SUT_EU27 total'!$R$83:$R$85</f>
        <v>0</v>
      </c>
    </row>
    <row r="2078" spans="1:10" x14ac:dyDescent="0.35">
      <c r="A2078" t="s">
        <v>14</v>
      </c>
      <c r="B2078" t="s">
        <v>33</v>
      </c>
      <c r="C2078" s="77" t="s">
        <v>91</v>
      </c>
      <c r="D2078" t="s">
        <v>81</v>
      </c>
      <c r="E2078" s="77" t="s">
        <v>104</v>
      </c>
      <c r="F2078" s="77" t="s">
        <v>73</v>
      </c>
      <c r="G2078" s="77" t="s">
        <v>74</v>
      </c>
      <c r="H2078" s="77" t="s">
        <v>112</v>
      </c>
      <c r="I2078" s="77" t="s">
        <v>84</v>
      </c>
      <c r="J2078" s="76">
        <v>0</v>
      </c>
    </row>
    <row r="2079" spans="1:10" x14ac:dyDescent="0.35">
      <c r="A2079" t="s">
        <v>14</v>
      </c>
      <c r="B2079" t="s">
        <v>33</v>
      </c>
      <c r="C2079" s="77" t="s">
        <v>91</v>
      </c>
      <c r="D2079" t="s">
        <v>81</v>
      </c>
      <c r="E2079" s="77" t="s">
        <v>106</v>
      </c>
      <c r="F2079" s="77" t="s">
        <v>73</v>
      </c>
      <c r="G2079" s="77" t="s">
        <v>74</v>
      </c>
      <c r="H2079" s="77" t="s">
        <v>112</v>
      </c>
      <c r="I2079" s="77" t="s">
        <v>84</v>
      </c>
      <c r="J2079" s="76">
        <v>0</v>
      </c>
    </row>
    <row r="2080" spans="1:10" x14ac:dyDescent="0.35">
      <c r="A2080" t="s">
        <v>14</v>
      </c>
      <c r="B2080" t="s">
        <v>33</v>
      </c>
      <c r="C2080" s="77" t="s">
        <v>92</v>
      </c>
      <c r="D2080" t="s">
        <v>81</v>
      </c>
      <c r="E2080" s="77" t="s">
        <v>131</v>
      </c>
      <c r="F2080" s="77" t="s">
        <v>73</v>
      </c>
      <c r="G2080" s="77" t="s">
        <v>74</v>
      </c>
      <c r="H2080" s="77" t="s">
        <v>112</v>
      </c>
      <c r="I2080" s="77" t="s">
        <v>84</v>
      </c>
      <c r="J2080" s="76">
        <f>'SUT_EU27 total'!$R$92</f>
        <v>0</v>
      </c>
    </row>
    <row r="2081" spans="1:10" x14ac:dyDescent="0.35">
      <c r="A2081" t="s">
        <v>14</v>
      </c>
      <c r="B2081" t="s">
        <v>33</v>
      </c>
      <c r="C2081" s="77" t="s">
        <v>92</v>
      </c>
      <c r="D2081" t="s">
        <v>81</v>
      </c>
      <c r="E2081" s="77" t="s">
        <v>122</v>
      </c>
      <c r="F2081" s="77" t="s">
        <v>73</v>
      </c>
      <c r="G2081" s="77" t="s">
        <v>74</v>
      </c>
      <c r="H2081" s="77" t="s">
        <v>112</v>
      </c>
      <c r="I2081" s="77" t="s">
        <v>84</v>
      </c>
      <c r="J2081" s="76">
        <f>'SUT_EU27 total'!$R$98</f>
        <v>0</v>
      </c>
    </row>
    <row r="2082" spans="1:10" x14ac:dyDescent="0.35">
      <c r="A2082" t="s">
        <v>14</v>
      </c>
      <c r="B2082" t="s">
        <v>33</v>
      </c>
      <c r="C2082" s="77" t="s">
        <v>92</v>
      </c>
      <c r="D2082" t="s">
        <v>81</v>
      </c>
      <c r="E2082" s="77" t="s">
        <v>101</v>
      </c>
      <c r="F2082" s="77" t="s">
        <v>73</v>
      </c>
      <c r="G2082" s="77" t="s">
        <v>74</v>
      </c>
      <c r="H2082" s="77" t="s">
        <v>112</v>
      </c>
      <c r="I2082" s="77" t="s">
        <v>84</v>
      </c>
      <c r="J2082" s="76" cm="1">
        <f t="array" ref="J2082:J2084">'SUT_EU27 total'!$R$100:$R$102</f>
        <v>0</v>
      </c>
    </row>
    <row r="2083" spans="1:10" x14ac:dyDescent="0.35">
      <c r="A2083" t="s">
        <v>14</v>
      </c>
      <c r="B2083" t="s">
        <v>33</v>
      </c>
      <c r="C2083" s="77" t="s">
        <v>92</v>
      </c>
      <c r="D2083" t="s">
        <v>81</v>
      </c>
      <c r="E2083" s="77" t="s">
        <v>104</v>
      </c>
      <c r="F2083" s="77" t="s">
        <v>73</v>
      </c>
      <c r="G2083" s="77" t="s">
        <v>74</v>
      </c>
      <c r="H2083" s="77" t="s">
        <v>112</v>
      </c>
      <c r="I2083" s="77" t="s">
        <v>84</v>
      </c>
      <c r="J2083" s="76">
        <v>0</v>
      </c>
    </row>
    <row r="2084" spans="1:10" x14ac:dyDescent="0.35">
      <c r="A2084" t="s">
        <v>14</v>
      </c>
      <c r="B2084" t="s">
        <v>33</v>
      </c>
      <c r="C2084" s="77" t="s">
        <v>92</v>
      </c>
      <c r="D2084" t="s">
        <v>81</v>
      </c>
      <c r="E2084" s="77" t="s">
        <v>106</v>
      </c>
      <c r="F2084" s="77" t="s">
        <v>73</v>
      </c>
      <c r="G2084" s="77" t="s">
        <v>74</v>
      </c>
      <c r="H2084" s="77" t="s">
        <v>112</v>
      </c>
      <c r="I2084" s="77" t="s">
        <v>84</v>
      </c>
      <c r="J2084" s="76">
        <v>0</v>
      </c>
    </row>
    <row r="2085" spans="1:10" x14ac:dyDescent="0.35">
      <c r="A2085" t="s">
        <v>14</v>
      </c>
      <c r="B2085" t="s">
        <v>33</v>
      </c>
      <c r="C2085" s="77" t="s">
        <v>93</v>
      </c>
      <c r="D2085" t="s">
        <v>81</v>
      </c>
      <c r="E2085" s="77" t="s">
        <v>131</v>
      </c>
      <c r="F2085" s="77" t="s">
        <v>73</v>
      </c>
      <c r="G2085" s="77" t="s">
        <v>74</v>
      </c>
      <c r="H2085" s="77" t="s">
        <v>112</v>
      </c>
      <c r="I2085" s="77" t="s">
        <v>84</v>
      </c>
      <c r="J2085" s="76">
        <f>'SUT_EU27 total'!$R$109</f>
        <v>0</v>
      </c>
    </row>
    <row r="2086" spans="1:10" x14ac:dyDescent="0.35">
      <c r="A2086" t="s">
        <v>14</v>
      </c>
      <c r="B2086" t="s">
        <v>33</v>
      </c>
      <c r="C2086" s="77" t="s">
        <v>93</v>
      </c>
      <c r="D2086" t="s">
        <v>81</v>
      </c>
      <c r="E2086" s="77" t="s">
        <v>122</v>
      </c>
      <c r="F2086" s="77" t="s">
        <v>73</v>
      </c>
      <c r="G2086" s="77" t="s">
        <v>74</v>
      </c>
      <c r="H2086" s="77" t="s">
        <v>112</v>
      </c>
      <c r="I2086" s="77" t="s">
        <v>84</v>
      </c>
      <c r="J2086" s="76">
        <f>'SUT_EU27 total'!$R$115</f>
        <v>2.188358424259166E-3</v>
      </c>
    </row>
    <row r="2087" spans="1:10" x14ac:dyDescent="0.35">
      <c r="A2087" t="s">
        <v>14</v>
      </c>
      <c r="B2087" t="s">
        <v>33</v>
      </c>
      <c r="C2087" s="77" t="s">
        <v>93</v>
      </c>
      <c r="D2087" t="s">
        <v>81</v>
      </c>
      <c r="E2087" s="77" t="s">
        <v>101</v>
      </c>
      <c r="F2087" s="77" t="s">
        <v>73</v>
      </c>
      <c r="G2087" s="77" t="s">
        <v>74</v>
      </c>
      <c r="H2087" s="77" t="s">
        <v>112</v>
      </c>
      <c r="I2087" s="77" t="s">
        <v>84</v>
      </c>
      <c r="J2087" s="76" cm="1">
        <f t="array" ref="J2087:J2089">'SUT_EU27 total'!$R$117:$R$119</f>
        <v>0</v>
      </c>
    </row>
    <row r="2088" spans="1:10" x14ac:dyDescent="0.35">
      <c r="A2088" t="s">
        <v>14</v>
      </c>
      <c r="B2088" t="s">
        <v>33</v>
      </c>
      <c r="C2088" s="77" t="s">
        <v>93</v>
      </c>
      <c r="D2088" t="s">
        <v>81</v>
      </c>
      <c r="E2088" s="77" t="s">
        <v>104</v>
      </c>
      <c r="F2088" s="77" t="s">
        <v>73</v>
      </c>
      <c r="G2088" s="77" t="s">
        <v>74</v>
      </c>
      <c r="H2088" s="77" t="s">
        <v>112</v>
      </c>
      <c r="I2088" s="77" t="s">
        <v>84</v>
      </c>
      <c r="J2088" s="76">
        <v>0</v>
      </c>
    </row>
    <row r="2089" spans="1:10" x14ac:dyDescent="0.35">
      <c r="A2089" t="s">
        <v>14</v>
      </c>
      <c r="B2089" t="s">
        <v>33</v>
      </c>
      <c r="C2089" s="77" t="s">
        <v>93</v>
      </c>
      <c r="D2089" t="s">
        <v>81</v>
      </c>
      <c r="E2089" s="77" t="s">
        <v>106</v>
      </c>
      <c r="F2089" s="77" t="s">
        <v>73</v>
      </c>
      <c r="G2089" s="77" t="s">
        <v>74</v>
      </c>
      <c r="H2089" s="77" t="s">
        <v>112</v>
      </c>
      <c r="I2089" s="77" t="s">
        <v>84</v>
      </c>
      <c r="J2089" s="76">
        <v>0</v>
      </c>
    </row>
    <row r="2090" spans="1:10" x14ac:dyDescent="0.35">
      <c r="A2090" t="s">
        <v>14</v>
      </c>
      <c r="B2090" t="s">
        <v>33</v>
      </c>
      <c r="C2090" s="77" t="s">
        <v>73</v>
      </c>
      <c r="D2090" t="s">
        <v>81</v>
      </c>
      <c r="E2090" s="77" t="s">
        <v>131</v>
      </c>
      <c r="F2090" s="77" t="s">
        <v>73</v>
      </c>
      <c r="G2090" s="77" t="s">
        <v>74</v>
      </c>
      <c r="H2090" s="77" t="s">
        <v>113</v>
      </c>
      <c r="I2090" s="77" t="s">
        <v>84</v>
      </c>
      <c r="J2090" s="76">
        <f>'SUT_EU27 total'!$S$24</f>
        <v>5.0294789999999994E-8</v>
      </c>
    </row>
    <row r="2091" spans="1:10" x14ac:dyDescent="0.35">
      <c r="A2091" t="s">
        <v>14</v>
      </c>
      <c r="B2091" t="s">
        <v>33</v>
      </c>
      <c r="C2091" s="77" t="s">
        <v>73</v>
      </c>
      <c r="D2091" t="s">
        <v>81</v>
      </c>
      <c r="E2091" s="77" t="s">
        <v>101</v>
      </c>
      <c r="F2091" s="77" t="s">
        <v>73</v>
      </c>
      <c r="G2091" s="77" t="s">
        <v>74</v>
      </c>
      <c r="H2091" s="77" t="s">
        <v>113</v>
      </c>
      <c r="I2091" s="77" t="s">
        <v>84</v>
      </c>
      <c r="J2091" s="76" cm="1">
        <f t="array" ref="J2091:J2093">'SUT_EU27 total'!$S$32:$S$34</f>
        <v>1.7883556705882356E-5</v>
      </c>
    </row>
    <row r="2092" spans="1:10" x14ac:dyDescent="0.35">
      <c r="A2092" t="s">
        <v>14</v>
      </c>
      <c r="B2092" t="s">
        <v>33</v>
      </c>
      <c r="C2092" s="77" t="s">
        <v>73</v>
      </c>
      <c r="D2092" t="s">
        <v>81</v>
      </c>
      <c r="E2092" s="77" t="s">
        <v>104</v>
      </c>
      <c r="F2092" s="77" t="s">
        <v>73</v>
      </c>
      <c r="G2092" s="77" t="s">
        <v>74</v>
      </c>
      <c r="H2092" s="77" t="s">
        <v>113</v>
      </c>
      <c r="I2092" s="77" t="s">
        <v>84</v>
      </c>
      <c r="J2092" s="76">
        <v>3.3860913882352942E-5</v>
      </c>
    </row>
    <row r="2093" spans="1:10" x14ac:dyDescent="0.35">
      <c r="A2093" t="s">
        <v>14</v>
      </c>
      <c r="B2093" t="s">
        <v>33</v>
      </c>
      <c r="C2093" s="77" t="s">
        <v>73</v>
      </c>
      <c r="D2093" t="s">
        <v>81</v>
      </c>
      <c r="E2093" s="77" t="s">
        <v>106</v>
      </c>
      <c r="F2093" s="77" t="s">
        <v>73</v>
      </c>
      <c r="G2093" s="77" t="s">
        <v>74</v>
      </c>
      <c r="H2093" s="77" t="s">
        <v>113</v>
      </c>
      <c r="I2093" s="77" t="s">
        <v>84</v>
      </c>
      <c r="J2093" s="76">
        <v>1.1517317647058823E-4</v>
      </c>
    </row>
    <row r="2094" spans="1:10" x14ac:dyDescent="0.35">
      <c r="A2094" t="s">
        <v>14</v>
      </c>
      <c r="B2094" t="s">
        <v>33</v>
      </c>
      <c r="C2094" s="77" t="s">
        <v>88</v>
      </c>
      <c r="D2094" t="s">
        <v>81</v>
      </c>
      <c r="E2094" s="77" t="s">
        <v>131</v>
      </c>
      <c r="F2094" s="77" t="s">
        <v>73</v>
      </c>
      <c r="G2094" s="77" t="s">
        <v>74</v>
      </c>
      <c r="H2094" s="77" t="s">
        <v>113</v>
      </c>
      <c r="I2094" s="77" t="s">
        <v>84</v>
      </c>
      <c r="J2094" s="76">
        <f>'SUT_EU27 total'!$S$41</f>
        <v>0</v>
      </c>
    </row>
    <row r="2095" spans="1:10" x14ac:dyDescent="0.35">
      <c r="A2095" t="s">
        <v>14</v>
      </c>
      <c r="B2095" t="s">
        <v>33</v>
      </c>
      <c r="C2095" s="77" t="s">
        <v>88</v>
      </c>
      <c r="D2095" t="s">
        <v>81</v>
      </c>
      <c r="E2095" s="77" t="s">
        <v>101</v>
      </c>
      <c r="F2095" s="77" t="s">
        <v>73</v>
      </c>
      <c r="G2095" s="77" t="s">
        <v>74</v>
      </c>
      <c r="H2095" s="77" t="s">
        <v>113</v>
      </c>
      <c r="I2095" s="77" t="s">
        <v>84</v>
      </c>
      <c r="J2095" s="76" cm="1">
        <f t="array" ref="J2095:J2097">'SUT_EU27 total'!$S$49:$S$51</f>
        <v>0</v>
      </c>
    </row>
    <row r="2096" spans="1:10" x14ac:dyDescent="0.35">
      <c r="A2096" t="s">
        <v>14</v>
      </c>
      <c r="B2096" t="s">
        <v>33</v>
      </c>
      <c r="C2096" s="77" t="s">
        <v>88</v>
      </c>
      <c r="D2096" t="s">
        <v>81</v>
      </c>
      <c r="E2096" s="77" t="s">
        <v>104</v>
      </c>
      <c r="F2096" s="77" t="s">
        <v>73</v>
      </c>
      <c r="G2096" s="77" t="s">
        <v>74</v>
      </c>
      <c r="H2096" s="77" t="s">
        <v>113</v>
      </c>
      <c r="I2096" s="77" t="s">
        <v>84</v>
      </c>
      <c r="J2096" s="76">
        <v>0</v>
      </c>
    </row>
    <row r="2097" spans="1:10" x14ac:dyDescent="0.35">
      <c r="A2097" t="s">
        <v>14</v>
      </c>
      <c r="B2097" t="s">
        <v>33</v>
      </c>
      <c r="C2097" s="77" t="s">
        <v>88</v>
      </c>
      <c r="D2097" t="s">
        <v>81</v>
      </c>
      <c r="E2097" s="77" t="s">
        <v>106</v>
      </c>
      <c r="F2097" s="77" t="s">
        <v>73</v>
      </c>
      <c r="G2097" s="77" t="s">
        <v>74</v>
      </c>
      <c r="H2097" s="77" t="s">
        <v>113</v>
      </c>
      <c r="I2097" s="77" t="s">
        <v>84</v>
      </c>
      <c r="J2097" s="76">
        <v>0</v>
      </c>
    </row>
    <row r="2098" spans="1:10" x14ac:dyDescent="0.35">
      <c r="A2098" t="s">
        <v>14</v>
      </c>
      <c r="B2098" t="s">
        <v>33</v>
      </c>
      <c r="C2098" s="77" t="s">
        <v>90</v>
      </c>
      <c r="D2098" t="s">
        <v>81</v>
      </c>
      <c r="E2098" s="77" t="s">
        <v>131</v>
      </c>
      <c r="F2098" s="77" t="s">
        <v>73</v>
      </c>
      <c r="G2098" s="77" t="s">
        <v>74</v>
      </c>
      <c r="H2098" s="77" t="s">
        <v>113</v>
      </c>
      <c r="I2098" s="77" t="s">
        <v>84</v>
      </c>
      <c r="J2098" s="76">
        <f>'SUT_EU27 total'!$S$58</f>
        <v>0</v>
      </c>
    </row>
    <row r="2099" spans="1:10" x14ac:dyDescent="0.35">
      <c r="A2099" t="s">
        <v>14</v>
      </c>
      <c r="B2099" t="s">
        <v>33</v>
      </c>
      <c r="C2099" s="77" t="s">
        <v>90</v>
      </c>
      <c r="D2099" t="s">
        <v>81</v>
      </c>
      <c r="E2099" s="77" t="s">
        <v>101</v>
      </c>
      <c r="F2099" s="77" t="s">
        <v>73</v>
      </c>
      <c r="G2099" s="77" t="s">
        <v>74</v>
      </c>
      <c r="H2099" s="77" t="s">
        <v>113</v>
      </c>
      <c r="I2099" s="77" t="s">
        <v>84</v>
      </c>
      <c r="J2099" s="76" cm="1">
        <f t="array" ref="J2099:J2101">'SUT_EU27 total'!$S$66:$S$68</f>
        <v>0</v>
      </c>
    </row>
    <row r="2100" spans="1:10" x14ac:dyDescent="0.35">
      <c r="A2100" t="s">
        <v>14</v>
      </c>
      <c r="B2100" t="s">
        <v>33</v>
      </c>
      <c r="C2100" s="77" t="s">
        <v>90</v>
      </c>
      <c r="D2100" t="s">
        <v>81</v>
      </c>
      <c r="E2100" s="77" t="s">
        <v>104</v>
      </c>
      <c r="F2100" s="77" t="s">
        <v>73</v>
      </c>
      <c r="G2100" s="77" t="s">
        <v>74</v>
      </c>
      <c r="H2100" s="77" t="s">
        <v>113</v>
      </c>
      <c r="I2100" s="77" t="s">
        <v>84</v>
      </c>
      <c r="J2100" s="76">
        <v>0</v>
      </c>
    </row>
    <row r="2101" spans="1:10" x14ac:dyDescent="0.35">
      <c r="A2101" t="s">
        <v>14</v>
      </c>
      <c r="B2101" t="s">
        <v>33</v>
      </c>
      <c r="C2101" s="77" t="s">
        <v>90</v>
      </c>
      <c r="D2101" t="s">
        <v>81</v>
      </c>
      <c r="E2101" s="77" t="s">
        <v>106</v>
      </c>
      <c r="F2101" s="77" t="s">
        <v>73</v>
      </c>
      <c r="G2101" s="77" t="s">
        <v>74</v>
      </c>
      <c r="H2101" s="77" t="s">
        <v>113</v>
      </c>
      <c r="I2101" s="77" t="s">
        <v>84</v>
      </c>
      <c r="J2101" s="76">
        <v>0</v>
      </c>
    </row>
    <row r="2102" spans="1:10" x14ac:dyDescent="0.35">
      <c r="A2102" t="s">
        <v>14</v>
      </c>
      <c r="B2102" t="s">
        <v>33</v>
      </c>
      <c r="C2102" s="77" t="s">
        <v>91</v>
      </c>
      <c r="D2102" t="s">
        <v>81</v>
      </c>
      <c r="E2102" s="77" t="s">
        <v>131</v>
      </c>
      <c r="F2102" s="77" t="s">
        <v>73</v>
      </c>
      <c r="G2102" s="77" t="s">
        <v>74</v>
      </c>
      <c r="H2102" s="77" t="s">
        <v>113</v>
      </c>
      <c r="I2102" s="77" t="s">
        <v>84</v>
      </c>
      <c r="J2102" s="76">
        <f>'SUT_EU27 total'!$S$75</f>
        <v>0</v>
      </c>
    </row>
    <row r="2103" spans="1:10" x14ac:dyDescent="0.35">
      <c r="A2103" t="s">
        <v>14</v>
      </c>
      <c r="B2103" t="s">
        <v>33</v>
      </c>
      <c r="C2103" s="77" t="s">
        <v>91</v>
      </c>
      <c r="D2103" t="s">
        <v>81</v>
      </c>
      <c r="E2103" s="77" t="s">
        <v>101</v>
      </c>
      <c r="F2103" s="77" t="s">
        <v>73</v>
      </c>
      <c r="G2103" s="77" t="s">
        <v>74</v>
      </c>
      <c r="H2103" s="77" t="s">
        <v>113</v>
      </c>
      <c r="I2103" s="77" t="s">
        <v>84</v>
      </c>
      <c r="J2103" s="76" cm="1">
        <f t="array" ref="J2103:J2105">'SUT_EU27 total'!$S$83:$S$85</f>
        <v>0</v>
      </c>
    </row>
    <row r="2104" spans="1:10" x14ac:dyDescent="0.35">
      <c r="A2104" t="s">
        <v>14</v>
      </c>
      <c r="B2104" t="s">
        <v>33</v>
      </c>
      <c r="C2104" s="77" t="s">
        <v>91</v>
      </c>
      <c r="D2104" t="s">
        <v>81</v>
      </c>
      <c r="E2104" s="77" t="s">
        <v>104</v>
      </c>
      <c r="F2104" s="77" t="s">
        <v>73</v>
      </c>
      <c r="G2104" s="77" t="s">
        <v>74</v>
      </c>
      <c r="H2104" s="77" t="s">
        <v>113</v>
      </c>
      <c r="I2104" s="77" t="s">
        <v>84</v>
      </c>
      <c r="J2104" s="76">
        <v>0</v>
      </c>
    </row>
    <row r="2105" spans="1:10" x14ac:dyDescent="0.35">
      <c r="A2105" t="s">
        <v>14</v>
      </c>
      <c r="B2105" t="s">
        <v>33</v>
      </c>
      <c r="C2105" s="77" t="s">
        <v>91</v>
      </c>
      <c r="D2105" t="s">
        <v>81</v>
      </c>
      <c r="E2105" s="77" t="s">
        <v>106</v>
      </c>
      <c r="F2105" s="77" t="s">
        <v>73</v>
      </c>
      <c r="G2105" s="77" t="s">
        <v>74</v>
      </c>
      <c r="H2105" s="77" t="s">
        <v>113</v>
      </c>
      <c r="I2105" s="77" t="s">
        <v>84</v>
      </c>
      <c r="J2105" s="76">
        <v>0</v>
      </c>
    </row>
    <row r="2106" spans="1:10" x14ac:dyDescent="0.35">
      <c r="A2106" t="s">
        <v>14</v>
      </c>
      <c r="B2106" t="s">
        <v>33</v>
      </c>
      <c r="C2106" s="77" t="s">
        <v>92</v>
      </c>
      <c r="D2106" t="s">
        <v>81</v>
      </c>
      <c r="E2106" s="77" t="s">
        <v>131</v>
      </c>
      <c r="F2106" s="77" t="s">
        <v>73</v>
      </c>
      <c r="G2106" s="77" t="s">
        <v>74</v>
      </c>
      <c r="H2106" s="77" t="s">
        <v>113</v>
      </c>
      <c r="I2106" s="77" t="s">
        <v>84</v>
      </c>
      <c r="J2106" s="76">
        <f>'SUT_EU27 total'!$S$92</f>
        <v>0</v>
      </c>
    </row>
    <row r="2107" spans="1:10" x14ac:dyDescent="0.35">
      <c r="A2107" t="s">
        <v>14</v>
      </c>
      <c r="B2107" t="s">
        <v>33</v>
      </c>
      <c r="C2107" s="77" t="s">
        <v>92</v>
      </c>
      <c r="D2107" t="s">
        <v>81</v>
      </c>
      <c r="E2107" s="77" t="s">
        <v>101</v>
      </c>
      <c r="F2107" s="77" t="s">
        <v>73</v>
      </c>
      <c r="G2107" s="77" t="s">
        <v>74</v>
      </c>
      <c r="H2107" s="77" t="s">
        <v>113</v>
      </c>
      <c r="I2107" s="77" t="s">
        <v>84</v>
      </c>
      <c r="J2107" s="76" cm="1">
        <f t="array" ref="J2107:J2109">'SUT_EU27 total'!$S$100:$S$102</f>
        <v>0</v>
      </c>
    </row>
    <row r="2108" spans="1:10" x14ac:dyDescent="0.35">
      <c r="A2108" t="s">
        <v>14</v>
      </c>
      <c r="B2108" t="s">
        <v>33</v>
      </c>
      <c r="C2108" s="77" t="s">
        <v>92</v>
      </c>
      <c r="D2108" t="s">
        <v>81</v>
      </c>
      <c r="E2108" s="77" t="s">
        <v>104</v>
      </c>
      <c r="F2108" s="77" t="s">
        <v>73</v>
      </c>
      <c r="G2108" s="77" t="s">
        <v>74</v>
      </c>
      <c r="H2108" s="77" t="s">
        <v>113</v>
      </c>
      <c r="I2108" s="77" t="s">
        <v>84</v>
      </c>
      <c r="J2108" s="76">
        <v>0</v>
      </c>
    </row>
    <row r="2109" spans="1:10" x14ac:dyDescent="0.35">
      <c r="A2109" t="s">
        <v>14</v>
      </c>
      <c r="B2109" t="s">
        <v>33</v>
      </c>
      <c r="C2109" s="77" t="s">
        <v>92</v>
      </c>
      <c r="D2109" t="s">
        <v>81</v>
      </c>
      <c r="E2109" s="77" t="s">
        <v>106</v>
      </c>
      <c r="F2109" s="77" t="s">
        <v>73</v>
      </c>
      <c r="G2109" s="77" t="s">
        <v>74</v>
      </c>
      <c r="H2109" s="77" t="s">
        <v>113</v>
      </c>
      <c r="I2109" s="77" t="s">
        <v>84</v>
      </c>
      <c r="J2109" s="76">
        <v>0</v>
      </c>
    </row>
    <row r="2110" spans="1:10" x14ac:dyDescent="0.35">
      <c r="A2110" t="s">
        <v>14</v>
      </c>
      <c r="B2110" t="s">
        <v>33</v>
      </c>
      <c r="C2110" s="77" t="s">
        <v>93</v>
      </c>
      <c r="D2110" t="s">
        <v>81</v>
      </c>
      <c r="E2110" s="77" t="s">
        <v>131</v>
      </c>
      <c r="F2110" s="77" t="s">
        <v>73</v>
      </c>
      <c r="G2110" s="77" t="s">
        <v>74</v>
      </c>
      <c r="H2110" s="77" t="s">
        <v>113</v>
      </c>
      <c r="I2110" s="77" t="s">
        <v>84</v>
      </c>
      <c r="J2110" s="76">
        <f>'SUT_EU27 total'!$S$109</f>
        <v>0</v>
      </c>
    </row>
    <row r="2111" spans="1:10" x14ac:dyDescent="0.35">
      <c r="A2111" t="s">
        <v>14</v>
      </c>
      <c r="B2111" t="s">
        <v>33</v>
      </c>
      <c r="C2111" s="77" t="s">
        <v>93</v>
      </c>
      <c r="D2111" t="s">
        <v>81</v>
      </c>
      <c r="E2111" s="77" t="s">
        <v>101</v>
      </c>
      <c r="F2111" s="77" t="s">
        <v>73</v>
      </c>
      <c r="G2111" s="77" t="s">
        <v>74</v>
      </c>
      <c r="H2111" s="77" t="s">
        <v>113</v>
      </c>
      <c r="I2111" s="77" t="s">
        <v>84</v>
      </c>
      <c r="J2111" s="76" cm="1">
        <f t="array" ref="J2111:J2113">'SUT_EU27 total'!$S$117:$S$119</f>
        <v>0</v>
      </c>
    </row>
    <row r="2112" spans="1:10" x14ac:dyDescent="0.35">
      <c r="A2112" t="s">
        <v>14</v>
      </c>
      <c r="B2112" t="s">
        <v>33</v>
      </c>
      <c r="C2112" s="77" t="s">
        <v>93</v>
      </c>
      <c r="D2112" t="s">
        <v>81</v>
      </c>
      <c r="E2112" s="77" t="s">
        <v>104</v>
      </c>
      <c r="F2112" s="77" t="s">
        <v>73</v>
      </c>
      <c r="G2112" s="77" t="s">
        <v>74</v>
      </c>
      <c r="H2112" s="77" t="s">
        <v>113</v>
      </c>
      <c r="I2112" s="77" t="s">
        <v>84</v>
      </c>
      <c r="J2112" s="76">
        <v>0</v>
      </c>
    </row>
    <row r="2113" spans="1:10" x14ac:dyDescent="0.35">
      <c r="A2113" t="s">
        <v>14</v>
      </c>
      <c r="B2113" t="s">
        <v>33</v>
      </c>
      <c r="C2113" s="77" t="s">
        <v>93</v>
      </c>
      <c r="D2113" t="s">
        <v>81</v>
      </c>
      <c r="E2113" s="77" t="s">
        <v>106</v>
      </c>
      <c r="F2113" s="77" t="s">
        <v>73</v>
      </c>
      <c r="G2113" s="77" t="s">
        <v>74</v>
      </c>
      <c r="H2113" s="77" t="s">
        <v>113</v>
      </c>
      <c r="I2113" s="77" t="s">
        <v>84</v>
      </c>
      <c r="J2113" s="76">
        <v>0</v>
      </c>
    </row>
    <row r="2114" spans="1:10" x14ac:dyDescent="0.35">
      <c r="A2114" t="s">
        <v>14</v>
      </c>
      <c r="B2114" t="s">
        <v>33</v>
      </c>
      <c r="C2114" s="77" t="s">
        <v>73</v>
      </c>
      <c r="D2114" t="s">
        <v>74</v>
      </c>
      <c r="E2114" s="77" t="s">
        <v>123</v>
      </c>
      <c r="F2114" s="77" t="s">
        <v>73</v>
      </c>
      <c r="G2114" s="77" t="s">
        <v>81</v>
      </c>
      <c r="H2114" s="77" t="s">
        <v>115</v>
      </c>
      <c r="I2114" s="77" t="s">
        <v>84</v>
      </c>
      <c r="J2114" s="76" cm="1">
        <f t="array" ref="J2114:J2120">TRANSPOSE('2030 pathways'!$C$9:$I$9)</f>
        <v>5.8999999999999997E-2</v>
      </c>
    </row>
    <row r="2115" spans="1:10" x14ac:dyDescent="0.35">
      <c r="A2115" t="s">
        <v>14</v>
      </c>
      <c r="B2115" t="s">
        <v>33</v>
      </c>
      <c r="C2115" s="77" t="s">
        <v>73</v>
      </c>
      <c r="D2115" t="s">
        <v>74</v>
      </c>
      <c r="E2115" s="77" t="s">
        <v>127</v>
      </c>
      <c r="F2115" s="77" t="s">
        <v>73</v>
      </c>
      <c r="G2115" s="77" t="s">
        <v>81</v>
      </c>
      <c r="H2115" s="77" t="s">
        <v>115</v>
      </c>
      <c r="I2115" s="77" t="s">
        <v>84</v>
      </c>
      <c r="J2115" s="76">
        <v>5.8999999999999999E-3</v>
      </c>
    </row>
    <row r="2116" spans="1:10" x14ac:dyDescent="0.35">
      <c r="A2116" t="s">
        <v>14</v>
      </c>
      <c r="B2116" t="s">
        <v>33</v>
      </c>
      <c r="C2116" s="77" t="s">
        <v>73</v>
      </c>
      <c r="D2116" t="s">
        <v>74</v>
      </c>
      <c r="E2116" s="77" t="s">
        <v>128</v>
      </c>
      <c r="F2116" s="77" t="s">
        <v>73</v>
      </c>
      <c r="G2116" s="77" t="s">
        <v>81</v>
      </c>
      <c r="H2116" s="77" t="s">
        <v>115</v>
      </c>
      <c r="I2116" s="77" t="s">
        <v>84</v>
      </c>
      <c r="J2116" s="76">
        <v>1.18E-2</v>
      </c>
    </row>
    <row r="2117" spans="1:10" x14ac:dyDescent="0.35">
      <c r="A2117" t="s">
        <v>14</v>
      </c>
      <c r="B2117" t="s">
        <v>33</v>
      </c>
      <c r="C2117" s="77" t="s">
        <v>73</v>
      </c>
      <c r="D2117" t="s">
        <v>74</v>
      </c>
      <c r="E2117" s="77" t="s">
        <v>129</v>
      </c>
      <c r="F2117" s="77" t="s">
        <v>73</v>
      </c>
      <c r="G2117" s="77" t="s">
        <v>81</v>
      </c>
      <c r="H2117" s="77" t="s">
        <v>115</v>
      </c>
      <c r="I2117" s="77" t="s">
        <v>84</v>
      </c>
      <c r="J2117" s="76">
        <v>3.5399999999999994E-2</v>
      </c>
    </row>
    <row r="2118" spans="1:10" x14ac:dyDescent="0.35">
      <c r="A2118" t="s">
        <v>14</v>
      </c>
      <c r="B2118" t="s">
        <v>33</v>
      </c>
      <c r="C2118" s="77" t="s">
        <v>73</v>
      </c>
      <c r="D2118" t="s">
        <v>74</v>
      </c>
      <c r="E2118" s="77" t="s">
        <v>77</v>
      </c>
      <c r="F2118" s="77" t="s">
        <v>73</v>
      </c>
      <c r="G2118" s="77" t="s">
        <v>81</v>
      </c>
      <c r="H2118" s="77" t="s">
        <v>115</v>
      </c>
      <c r="I2118" s="77" t="s">
        <v>84</v>
      </c>
      <c r="J2118" s="76">
        <v>1.7699999999999997E-2</v>
      </c>
    </row>
    <row r="2119" spans="1:10" x14ac:dyDescent="0.35">
      <c r="A2119" t="s">
        <v>14</v>
      </c>
      <c r="B2119" t="s">
        <v>33</v>
      </c>
      <c r="C2119" s="77" t="s">
        <v>73</v>
      </c>
      <c r="D2119" t="s">
        <v>74</v>
      </c>
      <c r="E2119" s="77" t="s">
        <v>130</v>
      </c>
      <c r="F2119" s="77" t="s">
        <v>73</v>
      </c>
      <c r="G2119" s="77" t="s">
        <v>81</v>
      </c>
      <c r="H2119" s="77" t="s">
        <v>115</v>
      </c>
      <c r="I2119" s="77" t="s">
        <v>84</v>
      </c>
      <c r="J2119" s="76">
        <v>0.4602</v>
      </c>
    </row>
    <row r="2120" spans="1:10" x14ac:dyDescent="0.35">
      <c r="A2120" t="s">
        <v>14</v>
      </c>
      <c r="B2120" t="s">
        <v>33</v>
      </c>
      <c r="C2120" s="77" t="s">
        <v>73</v>
      </c>
      <c r="D2120" t="s">
        <v>74</v>
      </c>
      <c r="E2120" s="77" t="s">
        <v>132</v>
      </c>
      <c r="F2120" s="77" t="s">
        <v>73</v>
      </c>
      <c r="G2120" s="77" t="s">
        <v>81</v>
      </c>
      <c r="H2120" s="77" t="s">
        <v>115</v>
      </c>
      <c r="I2120" s="77" t="s">
        <v>84</v>
      </c>
      <c r="J2120" s="76">
        <v>0.41</v>
      </c>
    </row>
    <row r="2121" spans="1:10" x14ac:dyDescent="0.35">
      <c r="A2121" t="s">
        <v>14</v>
      </c>
      <c r="B2121" t="s">
        <v>33</v>
      </c>
      <c r="C2121" s="77" t="s">
        <v>73</v>
      </c>
      <c r="D2121" t="s">
        <v>74</v>
      </c>
      <c r="E2121" s="77" t="s">
        <v>133</v>
      </c>
      <c r="F2121" s="77" t="s">
        <v>73</v>
      </c>
      <c r="G2121" s="77" t="s">
        <v>81</v>
      </c>
      <c r="H2121" s="77" t="s">
        <v>115</v>
      </c>
      <c r="I2121" s="77" t="s">
        <v>84</v>
      </c>
      <c r="J2121" s="76">
        <v>0</v>
      </c>
    </row>
    <row r="2122" spans="1:10" x14ac:dyDescent="0.35">
      <c r="A2122" s="466" t="s">
        <v>14</v>
      </c>
      <c r="B2122" s="466" t="s">
        <v>31</v>
      </c>
      <c r="C2122" s="476" t="s">
        <v>73</v>
      </c>
      <c r="D2122" s="466" t="s">
        <v>81</v>
      </c>
      <c r="E2122" s="476" t="s">
        <v>115</v>
      </c>
      <c r="F2122" s="476" t="s">
        <v>73</v>
      </c>
      <c r="G2122" s="476" t="s">
        <v>74</v>
      </c>
      <c r="H2122" s="476" t="s">
        <v>102</v>
      </c>
      <c r="I2122" s="476" t="s">
        <v>84</v>
      </c>
      <c r="J2122" s="477" cm="1">
        <f t="array" ref="J2122:J2123">'SUT_EU27 total'!$J$19:$J$20</f>
        <v>11.828571428571427</v>
      </c>
    </row>
    <row r="2123" spans="1:10" x14ac:dyDescent="0.35">
      <c r="A2123" t="s">
        <v>14</v>
      </c>
      <c r="B2123" t="s">
        <v>31</v>
      </c>
      <c r="C2123" s="77" t="s">
        <v>73</v>
      </c>
      <c r="D2123" t="s">
        <v>81</v>
      </c>
      <c r="E2123" s="77" t="s">
        <v>116</v>
      </c>
      <c r="F2123" s="77" t="s">
        <v>73</v>
      </c>
      <c r="G2123" s="77" t="s">
        <v>74</v>
      </c>
      <c r="H2123" s="77" t="s">
        <v>102</v>
      </c>
      <c r="I2123" s="77" t="s">
        <v>84</v>
      </c>
      <c r="J2123" s="76">
        <v>3.3421988920214002E-2</v>
      </c>
    </row>
    <row r="2124" spans="1:10" x14ac:dyDescent="0.35">
      <c r="A2124" t="s">
        <v>14</v>
      </c>
      <c r="B2124" t="s">
        <v>31</v>
      </c>
      <c r="C2124" s="77" t="s">
        <v>73</v>
      </c>
      <c r="D2124" t="s">
        <v>81</v>
      </c>
      <c r="E2124" s="77" t="s">
        <v>117</v>
      </c>
      <c r="F2124" s="77" t="s">
        <v>73</v>
      </c>
      <c r="G2124" s="77" t="s">
        <v>74</v>
      </c>
      <c r="H2124" s="77" t="s">
        <v>102</v>
      </c>
      <c r="I2124" s="77" t="s">
        <v>84</v>
      </c>
      <c r="J2124" s="76">
        <f>'SUT_EU27 total'!$J$27</f>
        <v>20.996100000000002</v>
      </c>
    </row>
    <row r="2125" spans="1:10" x14ac:dyDescent="0.35">
      <c r="A2125" t="s">
        <v>14</v>
      </c>
      <c r="B2125" t="s">
        <v>31</v>
      </c>
      <c r="C2125" s="77" t="s">
        <v>73</v>
      </c>
      <c r="D2125" t="s">
        <v>81</v>
      </c>
      <c r="E2125" s="77" t="s">
        <v>101</v>
      </c>
      <c r="F2125" s="77" t="s">
        <v>73</v>
      </c>
      <c r="G2125" s="77" t="s">
        <v>74</v>
      </c>
      <c r="H2125" s="77" t="s">
        <v>102</v>
      </c>
      <c r="I2125" s="77" t="s">
        <v>84</v>
      </c>
      <c r="J2125" s="76" cm="1">
        <f t="array" ref="J2125:J2127">'SUT_EU27 total'!$J$32:$J$34</f>
        <v>0.13437998483817604</v>
      </c>
    </row>
    <row r="2126" spans="1:10" x14ac:dyDescent="0.35">
      <c r="A2126" t="s">
        <v>14</v>
      </c>
      <c r="B2126" t="s">
        <v>31</v>
      </c>
      <c r="C2126" s="77" t="s">
        <v>73</v>
      </c>
      <c r="D2126" t="s">
        <v>81</v>
      </c>
      <c r="E2126" s="77" t="s">
        <v>104</v>
      </c>
      <c r="F2126" s="77" t="s">
        <v>73</v>
      </c>
      <c r="G2126" s="77" t="s">
        <v>74</v>
      </c>
      <c r="H2126" s="77" t="s">
        <v>102</v>
      </c>
      <c r="I2126" s="77" t="s">
        <v>84</v>
      </c>
      <c r="J2126" s="76">
        <v>0.25443647306582401</v>
      </c>
    </row>
    <row r="2127" spans="1:10" x14ac:dyDescent="0.35">
      <c r="A2127" t="s">
        <v>14</v>
      </c>
      <c r="B2127" t="s">
        <v>31</v>
      </c>
      <c r="C2127" s="77" t="s">
        <v>73</v>
      </c>
      <c r="D2127" t="s">
        <v>81</v>
      </c>
      <c r="E2127" s="77" t="s">
        <v>106</v>
      </c>
      <c r="F2127" s="77" t="s">
        <v>73</v>
      </c>
      <c r="G2127" s="77" t="s">
        <v>74</v>
      </c>
      <c r="H2127" s="77" t="s">
        <v>102</v>
      </c>
      <c r="I2127" s="77" t="s">
        <v>84</v>
      </c>
      <c r="J2127" s="76">
        <v>0.86543018049599985</v>
      </c>
    </row>
    <row r="2128" spans="1:10" x14ac:dyDescent="0.35">
      <c r="A2128" t="s">
        <v>14</v>
      </c>
      <c r="B2128" t="s">
        <v>31</v>
      </c>
      <c r="C2128" s="77" t="s">
        <v>88</v>
      </c>
      <c r="D2128" t="s">
        <v>81</v>
      </c>
      <c r="E2128" s="77" t="s">
        <v>115</v>
      </c>
      <c r="F2128" s="77" t="s">
        <v>73</v>
      </c>
      <c r="G2128" s="77" t="s">
        <v>74</v>
      </c>
      <c r="H2128" s="77" t="s">
        <v>102</v>
      </c>
      <c r="I2128" s="77" t="s">
        <v>84</v>
      </c>
      <c r="J2128" s="76" cm="1">
        <f t="array" ref="J2128:J2129">'SUT_EU27 total'!$J$36:$J$37</f>
        <v>78.857142857142847</v>
      </c>
    </row>
    <row r="2129" spans="1:10" x14ac:dyDescent="0.35">
      <c r="A2129" t="s">
        <v>14</v>
      </c>
      <c r="B2129" t="s">
        <v>31</v>
      </c>
      <c r="C2129" s="77" t="s">
        <v>88</v>
      </c>
      <c r="D2129" t="s">
        <v>81</v>
      </c>
      <c r="E2129" s="77" t="s">
        <v>116</v>
      </c>
      <c r="F2129" s="77" t="s">
        <v>73</v>
      </c>
      <c r="G2129" s="77" t="s">
        <v>74</v>
      </c>
      <c r="H2129" s="77" t="s">
        <v>102</v>
      </c>
      <c r="I2129" s="77" t="s">
        <v>84</v>
      </c>
      <c r="J2129" s="76">
        <v>0.7862213561563367</v>
      </c>
    </row>
    <row r="2130" spans="1:10" x14ac:dyDescent="0.35">
      <c r="A2130" t="s">
        <v>14</v>
      </c>
      <c r="B2130" t="s">
        <v>31</v>
      </c>
      <c r="C2130" s="77" t="s">
        <v>88</v>
      </c>
      <c r="D2130" t="s">
        <v>81</v>
      </c>
      <c r="E2130" s="77" t="s">
        <v>117</v>
      </c>
      <c r="F2130" s="77" t="s">
        <v>73</v>
      </c>
      <c r="G2130" s="77" t="s">
        <v>74</v>
      </c>
      <c r="H2130" s="77" t="s">
        <v>102</v>
      </c>
      <c r="I2130" s="77" t="s">
        <v>84</v>
      </c>
      <c r="J2130" s="76">
        <f>'SUT_EU27 total'!$J$44</f>
        <v>286.26390000000004</v>
      </c>
    </row>
    <row r="2131" spans="1:10" x14ac:dyDescent="0.35">
      <c r="A2131" t="s">
        <v>14</v>
      </c>
      <c r="B2131" t="s">
        <v>31</v>
      </c>
      <c r="C2131" s="77" t="s">
        <v>88</v>
      </c>
      <c r="D2131" t="s">
        <v>81</v>
      </c>
      <c r="E2131" s="77" t="s">
        <v>101</v>
      </c>
      <c r="F2131" s="77" t="s">
        <v>73</v>
      </c>
      <c r="G2131" s="77" t="s">
        <v>74</v>
      </c>
      <c r="H2131" s="77" t="s">
        <v>102</v>
      </c>
      <c r="I2131" s="77" t="s">
        <v>84</v>
      </c>
      <c r="J2131" s="76" cm="1">
        <f t="array" ref="J2131:J2133">'SUT_EU27 total'!$J$49:$J$51</f>
        <v>0</v>
      </c>
    </row>
    <row r="2132" spans="1:10" x14ac:dyDescent="0.35">
      <c r="A2132" t="s">
        <v>14</v>
      </c>
      <c r="B2132" t="s">
        <v>31</v>
      </c>
      <c r="C2132" s="77" t="s">
        <v>88</v>
      </c>
      <c r="D2132" t="s">
        <v>81</v>
      </c>
      <c r="E2132" s="77" t="s">
        <v>104</v>
      </c>
      <c r="F2132" s="77" t="s">
        <v>73</v>
      </c>
      <c r="G2132" s="77" t="s">
        <v>74</v>
      </c>
      <c r="H2132" s="77" t="s">
        <v>102</v>
      </c>
      <c r="I2132" s="77" t="s">
        <v>84</v>
      </c>
      <c r="J2132" s="76">
        <v>0</v>
      </c>
    </row>
    <row r="2133" spans="1:10" x14ac:dyDescent="0.35">
      <c r="A2133" t="s">
        <v>14</v>
      </c>
      <c r="B2133" t="s">
        <v>31</v>
      </c>
      <c r="C2133" s="77" t="s">
        <v>88</v>
      </c>
      <c r="D2133" t="s">
        <v>81</v>
      </c>
      <c r="E2133" s="77" t="s">
        <v>106</v>
      </c>
      <c r="F2133" s="77" t="s">
        <v>73</v>
      </c>
      <c r="G2133" s="77" t="s">
        <v>74</v>
      </c>
      <c r="H2133" s="77" t="s">
        <v>102</v>
      </c>
      <c r="I2133" s="77" t="s">
        <v>84</v>
      </c>
      <c r="J2133" s="76">
        <v>0</v>
      </c>
    </row>
    <row r="2134" spans="1:10" x14ac:dyDescent="0.35">
      <c r="A2134" t="s">
        <v>14</v>
      </c>
      <c r="B2134" t="s">
        <v>31</v>
      </c>
      <c r="C2134" s="77" t="s">
        <v>90</v>
      </c>
      <c r="D2134" t="s">
        <v>81</v>
      </c>
      <c r="E2134" s="77" t="s">
        <v>115</v>
      </c>
      <c r="F2134" s="77" t="s">
        <v>73</v>
      </c>
      <c r="G2134" s="77" t="s">
        <v>74</v>
      </c>
      <c r="H2134" s="77" t="s">
        <v>102</v>
      </c>
      <c r="I2134" s="77" t="s">
        <v>84</v>
      </c>
      <c r="J2134" s="76" cm="1">
        <f t="array" ref="J2134:J2135">'SUT_EU27 total'!$J$53:$J$54</f>
        <v>7.7904761904761894</v>
      </c>
    </row>
    <row r="2135" spans="1:10" x14ac:dyDescent="0.35">
      <c r="A2135" t="s">
        <v>14</v>
      </c>
      <c r="B2135" t="s">
        <v>31</v>
      </c>
      <c r="C2135" s="77" t="s">
        <v>90</v>
      </c>
      <c r="D2135" t="s">
        <v>81</v>
      </c>
      <c r="E2135" s="77" t="s">
        <v>116</v>
      </c>
      <c r="F2135" s="77" t="s">
        <v>73</v>
      </c>
      <c r="G2135" s="77" t="s">
        <v>74</v>
      </c>
      <c r="H2135" s="77" t="s">
        <v>102</v>
      </c>
      <c r="I2135" s="77" t="s">
        <v>84</v>
      </c>
      <c r="J2135" s="76">
        <v>1.5473889063756709E-2</v>
      </c>
    </row>
    <row r="2136" spans="1:10" x14ac:dyDescent="0.35">
      <c r="A2136" t="s">
        <v>14</v>
      </c>
      <c r="B2136" t="s">
        <v>31</v>
      </c>
      <c r="C2136" s="77" t="s">
        <v>90</v>
      </c>
      <c r="D2136" t="s">
        <v>81</v>
      </c>
      <c r="E2136" s="77" t="s">
        <v>117</v>
      </c>
      <c r="F2136" s="77" t="s">
        <v>73</v>
      </c>
      <c r="G2136" s="77" t="s">
        <v>74</v>
      </c>
      <c r="H2136" s="77" t="s">
        <v>102</v>
      </c>
      <c r="I2136" s="77" t="s">
        <v>84</v>
      </c>
      <c r="J2136" s="76">
        <f>'SUT_EU27 total'!$J$61</f>
        <v>11.2662</v>
      </c>
    </row>
    <row r="2137" spans="1:10" x14ac:dyDescent="0.35">
      <c r="A2137" t="s">
        <v>14</v>
      </c>
      <c r="B2137" t="s">
        <v>31</v>
      </c>
      <c r="C2137" s="77" t="s">
        <v>90</v>
      </c>
      <c r="D2137" t="s">
        <v>81</v>
      </c>
      <c r="E2137" s="77" t="s">
        <v>101</v>
      </c>
      <c r="F2137" s="77" t="s">
        <v>73</v>
      </c>
      <c r="G2137" s="77" t="s">
        <v>74</v>
      </c>
      <c r="H2137" s="77" t="s">
        <v>102</v>
      </c>
      <c r="I2137" s="77" t="s">
        <v>84</v>
      </c>
      <c r="J2137" s="76" cm="1">
        <f t="array" ref="J2137:J2139">'SUT_EU27 total'!$J$66:$J$68</f>
        <v>0</v>
      </c>
    </row>
    <row r="2138" spans="1:10" x14ac:dyDescent="0.35">
      <c r="A2138" t="s">
        <v>14</v>
      </c>
      <c r="B2138" t="s">
        <v>31</v>
      </c>
      <c r="C2138" s="77" t="s">
        <v>90</v>
      </c>
      <c r="D2138" t="s">
        <v>81</v>
      </c>
      <c r="E2138" s="77" t="s">
        <v>104</v>
      </c>
      <c r="F2138" s="77" t="s">
        <v>73</v>
      </c>
      <c r="G2138" s="77" t="s">
        <v>74</v>
      </c>
      <c r="H2138" s="77" t="s">
        <v>102</v>
      </c>
      <c r="I2138" s="77" t="s">
        <v>84</v>
      </c>
      <c r="J2138" s="76">
        <v>0</v>
      </c>
    </row>
    <row r="2139" spans="1:10" x14ac:dyDescent="0.35">
      <c r="A2139" t="s">
        <v>14</v>
      </c>
      <c r="B2139" t="s">
        <v>31</v>
      </c>
      <c r="C2139" s="77" t="s">
        <v>90</v>
      </c>
      <c r="D2139" t="s">
        <v>81</v>
      </c>
      <c r="E2139" s="77" t="s">
        <v>106</v>
      </c>
      <c r="F2139" s="77" t="s">
        <v>73</v>
      </c>
      <c r="G2139" s="77" t="s">
        <v>74</v>
      </c>
      <c r="H2139" s="77" t="s">
        <v>102</v>
      </c>
      <c r="I2139" s="77" t="s">
        <v>84</v>
      </c>
      <c r="J2139" s="76">
        <v>0</v>
      </c>
    </row>
    <row r="2140" spans="1:10" x14ac:dyDescent="0.35">
      <c r="A2140" t="s">
        <v>14</v>
      </c>
      <c r="B2140" t="s">
        <v>31</v>
      </c>
      <c r="C2140" s="77" t="s">
        <v>91</v>
      </c>
      <c r="D2140" t="s">
        <v>81</v>
      </c>
      <c r="E2140" s="77" t="s">
        <v>115</v>
      </c>
      <c r="F2140" s="77" t="s">
        <v>73</v>
      </c>
      <c r="G2140" s="77" t="s">
        <v>74</v>
      </c>
      <c r="H2140" s="77" t="s">
        <v>102</v>
      </c>
      <c r="I2140" s="77" t="s">
        <v>84</v>
      </c>
      <c r="J2140" s="76" cm="1">
        <f t="array" ref="J2140:J2141">'SUT_EU27 total'!$J$70:$J$71</f>
        <v>15.771428571428569</v>
      </c>
    </row>
    <row r="2141" spans="1:10" x14ac:dyDescent="0.35">
      <c r="A2141" t="s">
        <v>14</v>
      </c>
      <c r="B2141" t="s">
        <v>31</v>
      </c>
      <c r="C2141" s="77" t="s">
        <v>91</v>
      </c>
      <c r="D2141" t="s">
        <v>81</v>
      </c>
      <c r="E2141" s="77" t="s">
        <v>116</v>
      </c>
      <c r="F2141" s="77" t="s">
        <v>73</v>
      </c>
      <c r="G2141" s="77" t="s">
        <v>74</v>
      </c>
      <c r="H2141" s="77" t="s">
        <v>102</v>
      </c>
      <c r="I2141" s="77" t="s">
        <v>84</v>
      </c>
      <c r="J2141" s="76">
        <v>8.7507175559917313E-2</v>
      </c>
    </row>
    <row r="2142" spans="1:10" x14ac:dyDescent="0.35">
      <c r="A2142" t="s">
        <v>14</v>
      </c>
      <c r="B2142" t="s">
        <v>31</v>
      </c>
      <c r="C2142" s="77" t="s">
        <v>91</v>
      </c>
      <c r="D2142" t="s">
        <v>81</v>
      </c>
      <c r="E2142" s="77" t="s">
        <v>117</v>
      </c>
      <c r="F2142" s="77" t="s">
        <v>73</v>
      </c>
      <c r="G2142" s="77" t="s">
        <v>74</v>
      </c>
      <c r="H2142" s="77" t="s">
        <v>102</v>
      </c>
      <c r="I2142" s="77" t="s">
        <v>84</v>
      </c>
      <c r="J2142" s="76">
        <f>'SUT_EU27 total'!$J$78</f>
        <v>41.4801</v>
      </c>
    </row>
    <row r="2143" spans="1:10" x14ac:dyDescent="0.35">
      <c r="A2143" t="s">
        <v>14</v>
      </c>
      <c r="B2143" t="s">
        <v>31</v>
      </c>
      <c r="C2143" s="77" t="s">
        <v>91</v>
      </c>
      <c r="D2143" t="s">
        <v>81</v>
      </c>
      <c r="E2143" s="77" t="s">
        <v>101</v>
      </c>
      <c r="F2143" s="77" t="s">
        <v>73</v>
      </c>
      <c r="G2143" s="77" t="s">
        <v>74</v>
      </c>
      <c r="H2143" s="77" t="s">
        <v>102</v>
      </c>
      <c r="I2143" s="77" t="s">
        <v>84</v>
      </c>
      <c r="J2143" s="76" cm="1">
        <f t="array" ref="J2143:J2145">'SUT_EU27 total'!$J$83:$J$85</f>
        <v>0</v>
      </c>
    </row>
    <row r="2144" spans="1:10" x14ac:dyDescent="0.35">
      <c r="A2144" t="s">
        <v>14</v>
      </c>
      <c r="B2144" t="s">
        <v>31</v>
      </c>
      <c r="C2144" s="77" t="s">
        <v>91</v>
      </c>
      <c r="D2144" t="s">
        <v>81</v>
      </c>
      <c r="E2144" s="77" t="s">
        <v>104</v>
      </c>
      <c r="F2144" s="77" t="s">
        <v>73</v>
      </c>
      <c r="G2144" s="77" t="s">
        <v>74</v>
      </c>
      <c r="H2144" s="77" t="s">
        <v>102</v>
      </c>
      <c r="I2144" s="77" t="s">
        <v>84</v>
      </c>
      <c r="J2144" s="76">
        <v>0</v>
      </c>
    </row>
    <row r="2145" spans="1:10" x14ac:dyDescent="0.35">
      <c r="A2145" t="s">
        <v>14</v>
      </c>
      <c r="B2145" t="s">
        <v>31</v>
      </c>
      <c r="C2145" s="77" t="s">
        <v>91</v>
      </c>
      <c r="D2145" t="s">
        <v>81</v>
      </c>
      <c r="E2145" s="77" t="s">
        <v>106</v>
      </c>
      <c r="F2145" s="77" t="s">
        <v>73</v>
      </c>
      <c r="G2145" s="77" t="s">
        <v>74</v>
      </c>
      <c r="H2145" s="77" t="s">
        <v>102</v>
      </c>
      <c r="I2145" s="77" t="s">
        <v>84</v>
      </c>
      <c r="J2145" s="76">
        <v>0</v>
      </c>
    </row>
    <row r="2146" spans="1:10" x14ac:dyDescent="0.35">
      <c r="A2146" t="s">
        <v>14</v>
      </c>
      <c r="B2146" t="s">
        <v>31</v>
      </c>
      <c r="C2146" s="77" t="s">
        <v>92</v>
      </c>
      <c r="D2146" t="s">
        <v>81</v>
      </c>
      <c r="E2146" s="77" t="s">
        <v>115</v>
      </c>
      <c r="F2146" s="77" t="s">
        <v>73</v>
      </c>
      <c r="G2146" s="77" t="s">
        <v>74</v>
      </c>
      <c r="H2146" s="77" t="s">
        <v>102</v>
      </c>
      <c r="I2146" s="77" t="s">
        <v>84</v>
      </c>
      <c r="J2146" s="76" cm="1">
        <f t="array" ref="J2146:J2147">'SUT_EU27 total'!$J$87:$J$88</f>
        <v>6.6239999999999997</v>
      </c>
    </row>
    <row r="2147" spans="1:10" x14ac:dyDescent="0.35">
      <c r="A2147" t="s">
        <v>14</v>
      </c>
      <c r="B2147" t="s">
        <v>31</v>
      </c>
      <c r="C2147" s="77" t="s">
        <v>92</v>
      </c>
      <c r="D2147" t="s">
        <v>81</v>
      </c>
      <c r="E2147" s="77" t="s">
        <v>116</v>
      </c>
      <c r="F2147" s="77" t="s">
        <v>73</v>
      </c>
      <c r="G2147" s="77" t="s">
        <v>74</v>
      </c>
      <c r="H2147" s="77" t="s">
        <v>102</v>
      </c>
      <c r="I2147" s="77" t="s">
        <v>84</v>
      </c>
      <c r="J2147" s="76">
        <v>6.0040746268656714E-2</v>
      </c>
    </row>
    <row r="2148" spans="1:10" x14ac:dyDescent="0.35">
      <c r="A2148" t="s">
        <v>14</v>
      </c>
      <c r="B2148" t="s">
        <v>31</v>
      </c>
      <c r="C2148" s="77" t="s">
        <v>92</v>
      </c>
      <c r="D2148" t="s">
        <v>81</v>
      </c>
      <c r="E2148" s="77" t="s">
        <v>117</v>
      </c>
      <c r="F2148" s="77" t="s">
        <v>73</v>
      </c>
      <c r="G2148" s="77" t="s">
        <v>74</v>
      </c>
      <c r="H2148" s="77" t="s">
        <v>102</v>
      </c>
      <c r="I2148" s="77" t="s">
        <v>84</v>
      </c>
      <c r="J2148" s="76">
        <f>'SUT_EU27 total'!$J$95</f>
        <v>13.3146</v>
      </c>
    </row>
    <row r="2149" spans="1:10" x14ac:dyDescent="0.35">
      <c r="A2149" t="s">
        <v>14</v>
      </c>
      <c r="B2149" t="s">
        <v>31</v>
      </c>
      <c r="C2149" s="77" t="s">
        <v>92</v>
      </c>
      <c r="D2149" t="s">
        <v>81</v>
      </c>
      <c r="E2149" s="77" t="s">
        <v>101</v>
      </c>
      <c r="F2149" s="77" t="s">
        <v>73</v>
      </c>
      <c r="G2149" s="77" t="s">
        <v>74</v>
      </c>
      <c r="H2149" s="77" t="s">
        <v>102</v>
      </c>
      <c r="I2149" s="77" t="s">
        <v>84</v>
      </c>
      <c r="J2149" s="76" cm="1">
        <f t="array" ref="J2149:J2151">'SUT_EU27 total'!$J$100:$J$102</f>
        <v>0</v>
      </c>
    </row>
    <row r="2150" spans="1:10" x14ac:dyDescent="0.35">
      <c r="A2150" t="s">
        <v>14</v>
      </c>
      <c r="B2150" t="s">
        <v>31</v>
      </c>
      <c r="C2150" s="77" t="s">
        <v>92</v>
      </c>
      <c r="D2150" t="s">
        <v>81</v>
      </c>
      <c r="E2150" s="77" t="s">
        <v>104</v>
      </c>
      <c r="F2150" s="77" t="s">
        <v>73</v>
      </c>
      <c r="G2150" s="77" t="s">
        <v>74</v>
      </c>
      <c r="H2150" s="77" t="s">
        <v>102</v>
      </c>
      <c r="I2150" s="77" t="s">
        <v>84</v>
      </c>
      <c r="J2150" s="76">
        <v>0</v>
      </c>
    </row>
    <row r="2151" spans="1:10" x14ac:dyDescent="0.35">
      <c r="A2151" t="s">
        <v>14</v>
      </c>
      <c r="B2151" t="s">
        <v>31</v>
      </c>
      <c r="C2151" s="77" t="s">
        <v>92</v>
      </c>
      <c r="D2151" t="s">
        <v>81</v>
      </c>
      <c r="E2151" s="77" t="s">
        <v>106</v>
      </c>
      <c r="F2151" s="77" t="s">
        <v>73</v>
      </c>
      <c r="G2151" s="77" t="s">
        <v>74</v>
      </c>
      <c r="H2151" s="77" t="s">
        <v>102</v>
      </c>
      <c r="I2151" s="77" t="s">
        <v>84</v>
      </c>
      <c r="J2151" s="76">
        <v>0</v>
      </c>
    </row>
    <row r="2152" spans="1:10" x14ac:dyDescent="0.35">
      <c r="A2152" t="s">
        <v>14</v>
      </c>
      <c r="B2152" t="s">
        <v>31</v>
      </c>
      <c r="C2152" s="77" t="s">
        <v>93</v>
      </c>
      <c r="D2152" t="s">
        <v>81</v>
      </c>
      <c r="E2152" s="77" t="s">
        <v>115</v>
      </c>
      <c r="F2152" s="77" t="s">
        <v>73</v>
      </c>
      <c r="G2152" s="77" t="s">
        <v>74</v>
      </c>
      <c r="H2152" s="77" t="s">
        <v>102</v>
      </c>
      <c r="I2152" s="77" t="s">
        <v>84</v>
      </c>
      <c r="J2152" s="76" cm="1">
        <f t="array" ref="J2152:J2153">'SUT_EU27 total'!$J$104:$J$105</f>
        <v>44.633142857142865</v>
      </c>
    </row>
    <row r="2153" spans="1:10" x14ac:dyDescent="0.35">
      <c r="A2153" t="s">
        <v>14</v>
      </c>
      <c r="B2153" t="s">
        <v>31</v>
      </c>
      <c r="C2153" s="77" t="s">
        <v>93</v>
      </c>
      <c r="D2153" t="s">
        <v>81</v>
      </c>
      <c r="E2153" s="77" t="s">
        <v>116</v>
      </c>
      <c r="F2153" s="77" t="s">
        <v>73</v>
      </c>
      <c r="G2153" s="77" t="s">
        <v>74</v>
      </c>
      <c r="H2153" s="77" t="s">
        <v>102</v>
      </c>
      <c r="I2153" s="77" t="s">
        <v>84</v>
      </c>
      <c r="J2153" s="76">
        <v>0.3673348440311186</v>
      </c>
    </row>
    <row r="2154" spans="1:10" x14ac:dyDescent="0.35">
      <c r="A2154" t="s">
        <v>14</v>
      </c>
      <c r="B2154" t="s">
        <v>31</v>
      </c>
      <c r="C2154" s="77" t="s">
        <v>93</v>
      </c>
      <c r="D2154" t="s">
        <v>81</v>
      </c>
      <c r="E2154" s="77" t="s">
        <v>117</v>
      </c>
      <c r="F2154" s="77" t="s">
        <v>73</v>
      </c>
      <c r="G2154" s="77" t="s">
        <v>74</v>
      </c>
      <c r="H2154" s="77" t="s">
        <v>102</v>
      </c>
      <c r="I2154" s="77" t="s">
        <v>84</v>
      </c>
      <c r="J2154" s="76">
        <f>'SUT_EU27 total'!$J$112</f>
        <v>138.77909999999997</v>
      </c>
    </row>
    <row r="2155" spans="1:10" x14ac:dyDescent="0.35">
      <c r="A2155" t="s">
        <v>14</v>
      </c>
      <c r="B2155" t="s">
        <v>31</v>
      </c>
      <c r="C2155" s="77" t="s">
        <v>93</v>
      </c>
      <c r="D2155" t="s">
        <v>81</v>
      </c>
      <c r="E2155" s="77" t="s">
        <v>101</v>
      </c>
      <c r="F2155" s="77" t="s">
        <v>73</v>
      </c>
      <c r="G2155" s="77" t="s">
        <v>74</v>
      </c>
      <c r="H2155" s="77" t="s">
        <v>102</v>
      </c>
      <c r="I2155" s="77" t="s">
        <v>84</v>
      </c>
      <c r="J2155" s="76" cm="1">
        <f t="array" ref="J2155:J2157">'SUT_EU27 total'!$J$117:$J$119</f>
        <v>0</v>
      </c>
    </row>
    <row r="2156" spans="1:10" x14ac:dyDescent="0.35">
      <c r="A2156" t="s">
        <v>14</v>
      </c>
      <c r="B2156" t="s">
        <v>31</v>
      </c>
      <c r="C2156" s="77" t="s">
        <v>93</v>
      </c>
      <c r="D2156" t="s">
        <v>81</v>
      </c>
      <c r="E2156" s="77" t="s">
        <v>104</v>
      </c>
      <c r="F2156" s="77" t="s">
        <v>73</v>
      </c>
      <c r="G2156" s="77" t="s">
        <v>74</v>
      </c>
      <c r="H2156" s="77" t="s">
        <v>102</v>
      </c>
      <c r="I2156" s="77" t="s">
        <v>84</v>
      </c>
      <c r="J2156" s="76">
        <v>0</v>
      </c>
    </row>
    <row r="2157" spans="1:10" x14ac:dyDescent="0.35">
      <c r="A2157" t="s">
        <v>14</v>
      </c>
      <c r="B2157" t="s">
        <v>31</v>
      </c>
      <c r="C2157" s="77" t="s">
        <v>93</v>
      </c>
      <c r="D2157" t="s">
        <v>81</v>
      </c>
      <c r="E2157" s="77" t="s">
        <v>106</v>
      </c>
      <c r="F2157" s="77" t="s">
        <v>73</v>
      </c>
      <c r="G2157" s="77" t="s">
        <v>74</v>
      </c>
      <c r="H2157" s="77" t="s">
        <v>102</v>
      </c>
      <c r="I2157" s="77" t="s">
        <v>84</v>
      </c>
      <c r="J2157" s="76">
        <v>0</v>
      </c>
    </row>
    <row r="2158" spans="1:10" x14ac:dyDescent="0.35">
      <c r="A2158" t="s">
        <v>14</v>
      </c>
      <c r="B2158" t="s">
        <v>31</v>
      </c>
      <c r="C2158" s="77" t="s">
        <v>73</v>
      </c>
      <c r="D2158" t="s">
        <v>81</v>
      </c>
      <c r="E2158" s="77" t="s">
        <v>118</v>
      </c>
      <c r="F2158" s="77" t="s">
        <v>73</v>
      </c>
      <c r="G2158" s="77" t="s">
        <v>74</v>
      </c>
      <c r="H2158" s="77" t="s">
        <v>108</v>
      </c>
      <c r="I2158" s="77" t="s">
        <v>84</v>
      </c>
      <c r="J2158" s="76" cm="1">
        <f t="array" ref="J2158:J2160">'SUT_EU27 total'!$K$21:$K$23</f>
        <v>1.4582562144772118E-3</v>
      </c>
    </row>
    <row r="2159" spans="1:10" x14ac:dyDescent="0.35">
      <c r="A2159" t="s">
        <v>14</v>
      </c>
      <c r="B2159" t="s">
        <v>31</v>
      </c>
      <c r="C2159" s="77" t="s">
        <v>73</v>
      </c>
      <c r="D2159" t="s">
        <v>81</v>
      </c>
      <c r="E2159" s="77" t="s">
        <v>119</v>
      </c>
      <c r="F2159" s="77" t="s">
        <v>73</v>
      </c>
      <c r="G2159" s="77" t="s">
        <v>74</v>
      </c>
      <c r="H2159" s="77" t="s">
        <v>108</v>
      </c>
      <c r="I2159" s="77" t="s">
        <v>84</v>
      </c>
      <c r="J2159" s="76">
        <v>8.4634636521458274E-4</v>
      </c>
    </row>
    <row r="2160" spans="1:10" x14ac:dyDescent="0.35">
      <c r="A2160" t="s">
        <v>14</v>
      </c>
      <c r="B2160" t="s">
        <v>31</v>
      </c>
      <c r="C2160" s="77" t="s">
        <v>73</v>
      </c>
      <c r="D2160" t="s">
        <v>81</v>
      </c>
      <c r="E2160" s="77" t="s">
        <v>120</v>
      </c>
      <c r="F2160" s="77" t="s">
        <v>73</v>
      </c>
      <c r="G2160" s="77" t="s">
        <v>74</v>
      </c>
      <c r="H2160" s="77" t="s">
        <v>108</v>
      </c>
      <c r="I2160" s="77" t="s">
        <v>84</v>
      </c>
      <c r="J2160" s="76">
        <v>1.2517329093179335E-4</v>
      </c>
    </row>
    <row r="2161" spans="1:10" x14ac:dyDescent="0.35">
      <c r="A2161" t="s">
        <v>14</v>
      </c>
      <c r="B2161" t="s">
        <v>31</v>
      </c>
      <c r="C2161" s="77" t="s">
        <v>73</v>
      </c>
      <c r="D2161" t="s">
        <v>81</v>
      </c>
      <c r="E2161" s="77" t="s">
        <v>121</v>
      </c>
      <c r="F2161" s="77" t="s">
        <v>73</v>
      </c>
      <c r="G2161" s="77" t="s">
        <v>74</v>
      </c>
      <c r="H2161" s="77" t="s">
        <v>108</v>
      </c>
      <c r="I2161" s="77" t="s">
        <v>84</v>
      </c>
      <c r="J2161" s="76">
        <f>'SUT_EU27 total'!$K$25</f>
        <v>6.9749679999999994E-2</v>
      </c>
    </row>
    <row r="2162" spans="1:10" x14ac:dyDescent="0.35">
      <c r="A2162" t="s">
        <v>14</v>
      </c>
      <c r="B2162" t="s">
        <v>31</v>
      </c>
      <c r="C2162" s="77" t="s">
        <v>73</v>
      </c>
      <c r="D2162" t="s">
        <v>81</v>
      </c>
      <c r="E2162" s="77" t="s">
        <v>117</v>
      </c>
      <c r="F2162" s="77" t="s">
        <v>73</v>
      </c>
      <c r="G2162" s="77" t="s">
        <v>74</v>
      </c>
      <c r="H2162" s="77" t="s">
        <v>108</v>
      </c>
      <c r="I2162" s="77" t="s">
        <v>84</v>
      </c>
      <c r="J2162" s="76">
        <f>'SUT_EU27 total'!$K$27</f>
        <v>1.1932942595726979E-3</v>
      </c>
    </row>
    <row r="2163" spans="1:10" x14ac:dyDescent="0.35">
      <c r="A2163" t="s">
        <v>14</v>
      </c>
      <c r="B2163" t="s">
        <v>31</v>
      </c>
      <c r="C2163" s="77" t="s">
        <v>73</v>
      </c>
      <c r="D2163" t="s">
        <v>81</v>
      </c>
      <c r="E2163" s="77" t="s">
        <v>122</v>
      </c>
      <c r="F2163" s="77" t="s">
        <v>73</v>
      </c>
      <c r="G2163" s="77" t="s">
        <v>74</v>
      </c>
      <c r="H2163" s="77" t="s">
        <v>108</v>
      </c>
      <c r="I2163" s="77" t="s">
        <v>84</v>
      </c>
      <c r="J2163" s="76">
        <f>'SUT_EU27 total'!$K$30</f>
        <v>1.5965533412604042E-3</v>
      </c>
    </row>
    <row r="2164" spans="1:10" x14ac:dyDescent="0.35">
      <c r="A2164" t="s">
        <v>14</v>
      </c>
      <c r="B2164" t="s">
        <v>31</v>
      </c>
      <c r="C2164" s="77" t="s">
        <v>73</v>
      </c>
      <c r="D2164" t="s">
        <v>81</v>
      </c>
      <c r="E2164" s="77" t="s">
        <v>101</v>
      </c>
      <c r="F2164" s="77" t="s">
        <v>73</v>
      </c>
      <c r="G2164" s="77" t="s">
        <v>74</v>
      </c>
      <c r="H2164" s="77" t="s">
        <v>108</v>
      </c>
      <c r="I2164" s="77" t="s">
        <v>84</v>
      </c>
      <c r="J2164" s="76" cm="1">
        <f t="array" ref="J2164:J2166">'SUT_EU27 total'!$K$32:$K$34</f>
        <v>2.4335351040000001E-4</v>
      </c>
    </row>
    <row r="2165" spans="1:10" x14ac:dyDescent="0.35">
      <c r="A2165" t="s">
        <v>14</v>
      </c>
      <c r="B2165" t="s">
        <v>31</v>
      </c>
      <c r="C2165" s="77" t="s">
        <v>73</v>
      </c>
      <c r="D2165" t="s">
        <v>81</v>
      </c>
      <c r="E2165" s="77" t="s">
        <v>104</v>
      </c>
      <c r="F2165" s="77" t="s">
        <v>73</v>
      </c>
      <c r="G2165" s="77" t="s">
        <v>74</v>
      </c>
      <c r="H2165" s="77" t="s">
        <v>108</v>
      </c>
      <c r="I2165" s="77" t="s">
        <v>84</v>
      </c>
      <c r="J2165" s="76">
        <v>4.6076808959999996E-4</v>
      </c>
    </row>
    <row r="2166" spans="1:10" x14ac:dyDescent="0.35">
      <c r="A2166" t="s">
        <v>14</v>
      </c>
      <c r="B2166" t="s">
        <v>31</v>
      </c>
      <c r="C2166" s="77" t="s">
        <v>73</v>
      </c>
      <c r="D2166" t="s">
        <v>81</v>
      </c>
      <c r="E2166" s="77" t="s">
        <v>106</v>
      </c>
      <c r="F2166" s="77" t="s">
        <v>73</v>
      </c>
      <c r="G2166" s="77" t="s">
        <v>74</v>
      </c>
      <c r="H2166" s="77" t="s">
        <v>108</v>
      </c>
      <c r="I2166" s="77" t="s">
        <v>84</v>
      </c>
      <c r="J2166" s="76">
        <v>1.5672383999999996E-3</v>
      </c>
    </row>
    <row r="2167" spans="1:10" x14ac:dyDescent="0.35">
      <c r="A2167" t="s">
        <v>14</v>
      </c>
      <c r="B2167" t="s">
        <v>31</v>
      </c>
      <c r="C2167" s="77" t="s">
        <v>88</v>
      </c>
      <c r="D2167" t="s">
        <v>81</v>
      </c>
      <c r="E2167" s="77" t="s">
        <v>118</v>
      </c>
      <c r="F2167" s="77" t="s">
        <v>73</v>
      </c>
      <c r="G2167" s="77" t="s">
        <v>74</v>
      </c>
      <c r="H2167" s="77" t="s">
        <v>108</v>
      </c>
      <c r="I2167" s="77" t="s">
        <v>84</v>
      </c>
      <c r="J2167" s="76" cm="1">
        <f t="array" ref="J2167:J2169">'SUT_EU27 total'!$K$38:$K$40</f>
        <v>3.3029309855227888E-2</v>
      </c>
    </row>
    <row r="2168" spans="1:10" x14ac:dyDescent="0.35">
      <c r="A2168" t="s">
        <v>14</v>
      </c>
      <c r="B2168" t="s">
        <v>31</v>
      </c>
      <c r="C2168" s="77" t="s">
        <v>88</v>
      </c>
      <c r="D2168" t="s">
        <v>81</v>
      </c>
      <c r="E2168" s="77" t="s">
        <v>119</v>
      </c>
      <c r="F2168" s="77" t="s">
        <v>73</v>
      </c>
      <c r="G2168" s="77" t="s">
        <v>74</v>
      </c>
      <c r="H2168" s="77" t="s">
        <v>108</v>
      </c>
      <c r="I2168" s="77" t="s">
        <v>84</v>
      </c>
      <c r="J2168" s="76">
        <v>6.9915569300335089E-3</v>
      </c>
    </row>
    <row r="2169" spans="1:10" x14ac:dyDescent="0.35">
      <c r="A2169" t="s">
        <v>14</v>
      </c>
      <c r="B2169" t="s">
        <v>31</v>
      </c>
      <c r="C2169" s="77" t="s">
        <v>88</v>
      </c>
      <c r="D2169" t="s">
        <v>81</v>
      </c>
      <c r="E2169" s="77" t="s">
        <v>120</v>
      </c>
      <c r="F2169" s="77" t="s">
        <v>73</v>
      </c>
      <c r="G2169" s="77" t="s">
        <v>74</v>
      </c>
      <c r="H2169" s="77" t="s">
        <v>108</v>
      </c>
      <c r="I2169" s="77" t="s">
        <v>84</v>
      </c>
      <c r="J2169" s="76">
        <v>1.5283979779928203E-3</v>
      </c>
    </row>
    <row r="2170" spans="1:10" x14ac:dyDescent="0.35">
      <c r="A2170" t="s">
        <v>14</v>
      </c>
      <c r="B2170" t="s">
        <v>31</v>
      </c>
      <c r="C2170" s="77" t="s">
        <v>88</v>
      </c>
      <c r="D2170" t="s">
        <v>81</v>
      </c>
      <c r="E2170" s="77" t="s">
        <v>121</v>
      </c>
      <c r="F2170" s="77" t="s">
        <v>73</v>
      </c>
      <c r="G2170" s="77" t="s">
        <v>74</v>
      </c>
      <c r="H2170" s="77" t="s">
        <v>108</v>
      </c>
      <c r="I2170" s="77" t="s">
        <v>84</v>
      </c>
      <c r="J2170" s="76">
        <f>'SUT_EU27 total'!$K$42</f>
        <v>0</v>
      </c>
    </row>
    <row r="2171" spans="1:10" x14ac:dyDescent="0.35">
      <c r="A2171" t="s">
        <v>14</v>
      </c>
      <c r="B2171" t="s">
        <v>31</v>
      </c>
      <c r="C2171" s="77" t="s">
        <v>88</v>
      </c>
      <c r="D2171" t="s">
        <v>81</v>
      </c>
      <c r="E2171" s="77" t="s">
        <v>117</v>
      </c>
      <c r="F2171" s="77" t="s">
        <v>73</v>
      </c>
      <c r="G2171" s="77" t="s">
        <v>74</v>
      </c>
      <c r="H2171" s="77" t="s">
        <v>108</v>
      </c>
      <c r="I2171" s="77" t="s">
        <v>84</v>
      </c>
      <c r="J2171" s="76">
        <f>'SUT_EU27 total'!$K$44</f>
        <v>9.9090099874062521E-4</v>
      </c>
    </row>
    <row r="2172" spans="1:10" x14ac:dyDescent="0.35">
      <c r="A2172" t="s">
        <v>14</v>
      </c>
      <c r="B2172" t="s">
        <v>31</v>
      </c>
      <c r="C2172" s="77" t="s">
        <v>88</v>
      </c>
      <c r="D2172" t="s">
        <v>81</v>
      </c>
      <c r="E2172" s="77" t="s">
        <v>122</v>
      </c>
      <c r="F2172" s="77" t="s">
        <v>73</v>
      </c>
      <c r="G2172" s="77" t="s">
        <v>74</v>
      </c>
      <c r="H2172" s="77" t="s">
        <v>108</v>
      </c>
      <c r="I2172" s="77" t="s">
        <v>84</v>
      </c>
      <c r="J2172" s="76">
        <f>'SUT_EU27 total'!$K$47</f>
        <v>0</v>
      </c>
    </row>
    <row r="2173" spans="1:10" x14ac:dyDescent="0.35">
      <c r="A2173" t="s">
        <v>14</v>
      </c>
      <c r="B2173" t="s">
        <v>31</v>
      </c>
      <c r="C2173" s="77" t="s">
        <v>88</v>
      </c>
      <c r="D2173" t="s">
        <v>81</v>
      </c>
      <c r="E2173" s="77" t="s">
        <v>101</v>
      </c>
      <c r="F2173" s="77" t="s">
        <v>73</v>
      </c>
      <c r="G2173" s="77" t="s">
        <v>74</v>
      </c>
      <c r="H2173" s="77" t="s">
        <v>108</v>
      </c>
      <c r="I2173" s="77" t="s">
        <v>84</v>
      </c>
      <c r="J2173" s="76" cm="1">
        <f t="array" ref="J2173:J2175">'SUT_EU27 total'!$K$49:$K$51</f>
        <v>0</v>
      </c>
    </row>
    <row r="2174" spans="1:10" x14ac:dyDescent="0.35">
      <c r="A2174" t="s">
        <v>14</v>
      </c>
      <c r="B2174" t="s">
        <v>31</v>
      </c>
      <c r="C2174" s="77" t="s">
        <v>88</v>
      </c>
      <c r="D2174" t="s">
        <v>81</v>
      </c>
      <c r="E2174" s="77" t="s">
        <v>104</v>
      </c>
      <c r="F2174" s="77" t="s">
        <v>73</v>
      </c>
      <c r="G2174" s="77" t="s">
        <v>74</v>
      </c>
      <c r="H2174" s="77" t="s">
        <v>108</v>
      </c>
      <c r="I2174" s="77" t="s">
        <v>84</v>
      </c>
      <c r="J2174" s="76">
        <v>0</v>
      </c>
    </row>
    <row r="2175" spans="1:10" x14ac:dyDescent="0.35">
      <c r="A2175" t="s">
        <v>14</v>
      </c>
      <c r="B2175" t="s">
        <v>31</v>
      </c>
      <c r="C2175" s="77" t="s">
        <v>88</v>
      </c>
      <c r="D2175" t="s">
        <v>81</v>
      </c>
      <c r="E2175" s="77" t="s">
        <v>106</v>
      </c>
      <c r="F2175" s="77" t="s">
        <v>73</v>
      </c>
      <c r="G2175" s="77" t="s">
        <v>74</v>
      </c>
      <c r="H2175" s="77" t="s">
        <v>108</v>
      </c>
      <c r="I2175" s="77" t="s">
        <v>84</v>
      </c>
      <c r="J2175" s="76">
        <v>0</v>
      </c>
    </row>
    <row r="2176" spans="1:10" x14ac:dyDescent="0.35">
      <c r="A2176" t="s">
        <v>14</v>
      </c>
      <c r="B2176" t="s">
        <v>31</v>
      </c>
      <c r="C2176" s="77" t="s">
        <v>90</v>
      </c>
      <c r="D2176" t="s">
        <v>81</v>
      </c>
      <c r="E2176" s="77" t="s">
        <v>118</v>
      </c>
      <c r="F2176" s="77" t="s">
        <v>73</v>
      </c>
      <c r="G2176" s="77" t="s">
        <v>74</v>
      </c>
      <c r="H2176" s="77" t="s">
        <v>108</v>
      </c>
      <c r="I2176" s="77" t="s">
        <v>84</v>
      </c>
      <c r="J2176" s="76" cm="1">
        <f t="array" ref="J2176:J2178">'SUT_EU27 total'!$K$55:$K$57</f>
        <v>4.323194595174263E-3</v>
      </c>
    </row>
    <row r="2177" spans="1:10" x14ac:dyDescent="0.35">
      <c r="A2177" t="s">
        <v>14</v>
      </c>
      <c r="B2177" t="s">
        <v>31</v>
      </c>
      <c r="C2177" s="77" t="s">
        <v>90</v>
      </c>
      <c r="D2177" t="s">
        <v>81</v>
      </c>
      <c r="E2177" s="77" t="s">
        <v>119</v>
      </c>
      <c r="F2177" s="77" t="s">
        <v>73</v>
      </c>
      <c r="G2177" s="77" t="s">
        <v>74</v>
      </c>
      <c r="H2177" s="77" t="s">
        <v>108</v>
      </c>
      <c r="I2177" s="77" t="s">
        <v>84</v>
      </c>
      <c r="J2177" s="76">
        <v>1.2800331672655335E-3</v>
      </c>
    </row>
    <row r="2178" spans="1:10" x14ac:dyDescent="0.35">
      <c r="A2178" t="s">
        <v>14</v>
      </c>
      <c r="B2178" t="s">
        <v>31</v>
      </c>
      <c r="C2178" s="77" t="s">
        <v>90</v>
      </c>
      <c r="D2178" t="s">
        <v>81</v>
      </c>
      <c r="E2178" s="77" t="s">
        <v>120</v>
      </c>
      <c r="F2178" s="77" t="s">
        <v>73</v>
      </c>
      <c r="G2178" s="77" t="s">
        <v>74</v>
      </c>
      <c r="H2178" s="77" t="s">
        <v>108</v>
      </c>
      <c r="I2178" s="77" t="s">
        <v>84</v>
      </c>
      <c r="J2178" s="76">
        <v>5.6700291220540041E-3</v>
      </c>
    </row>
    <row r="2179" spans="1:10" x14ac:dyDescent="0.35">
      <c r="A2179" t="s">
        <v>14</v>
      </c>
      <c r="B2179" t="s">
        <v>31</v>
      </c>
      <c r="C2179" s="77" t="s">
        <v>90</v>
      </c>
      <c r="D2179" t="s">
        <v>81</v>
      </c>
      <c r="E2179" s="77" t="s">
        <v>121</v>
      </c>
      <c r="F2179" s="77" t="s">
        <v>73</v>
      </c>
      <c r="G2179" s="77" t="s">
        <v>74</v>
      </c>
      <c r="H2179" s="77" t="s">
        <v>108</v>
      </c>
      <c r="I2179" s="77" t="s">
        <v>84</v>
      </c>
      <c r="J2179" s="76">
        <f>'SUT_EU27 total'!$K$59</f>
        <v>0</v>
      </c>
    </row>
    <row r="2180" spans="1:10" x14ac:dyDescent="0.35">
      <c r="A2180" t="s">
        <v>14</v>
      </c>
      <c r="B2180" t="s">
        <v>31</v>
      </c>
      <c r="C2180" s="77" t="s">
        <v>90</v>
      </c>
      <c r="D2180" t="s">
        <v>81</v>
      </c>
      <c r="E2180" s="77" t="s">
        <v>117</v>
      </c>
      <c r="F2180" s="77" t="s">
        <v>73</v>
      </c>
      <c r="G2180" s="77" t="s">
        <v>74</v>
      </c>
      <c r="H2180" s="77" t="s">
        <v>108</v>
      </c>
      <c r="I2180" s="77" t="s">
        <v>84</v>
      </c>
      <c r="J2180" s="76">
        <f>'SUT_EU27 total'!$K$61</f>
        <v>1.1930979242119881E-3</v>
      </c>
    </row>
    <row r="2181" spans="1:10" x14ac:dyDescent="0.35">
      <c r="A2181" t="s">
        <v>14</v>
      </c>
      <c r="B2181" t="s">
        <v>31</v>
      </c>
      <c r="C2181" s="77" t="s">
        <v>90</v>
      </c>
      <c r="D2181" t="s">
        <v>81</v>
      </c>
      <c r="E2181" s="77" t="s">
        <v>122</v>
      </c>
      <c r="F2181" s="77" t="s">
        <v>73</v>
      </c>
      <c r="G2181" s="77" t="s">
        <v>74</v>
      </c>
      <c r="H2181" s="77" t="s">
        <v>108</v>
      </c>
      <c r="I2181" s="77" t="s">
        <v>84</v>
      </c>
      <c r="J2181" s="76">
        <f>'SUT_EU27 total'!$K$64</f>
        <v>2.5776238002378116E-3</v>
      </c>
    </row>
    <row r="2182" spans="1:10" x14ac:dyDescent="0.35">
      <c r="A2182" t="s">
        <v>14</v>
      </c>
      <c r="B2182" t="s">
        <v>31</v>
      </c>
      <c r="C2182" s="77" t="s">
        <v>90</v>
      </c>
      <c r="D2182" t="s">
        <v>81</v>
      </c>
      <c r="E2182" s="77" t="s">
        <v>101</v>
      </c>
      <c r="F2182" s="77" t="s">
        <v>73</v>
      </c>
      <c r="G2182" s="77" t="s">
        <v>74</v>
      </c>
      <c r="H2182" s="77" t="s">
        <v>108</v>
      </c>
      <c r="I2182" s="77" t="s">
        <v>84</v>
      </c>
      <c r="J2182" s="76" cm="1">
        <f t="array" ref="J2182:J2184">'SUT_EU27 total'!$K$66:$K$68</f>
        <v>0</v>
      </c>
    </row>
    <row r="2183" spans="1:10" x14ac:dyDescent="0.35">
      <c r="A2183" t="s">
        <v>14</v>
      </c>
      <c r="B2183" t="s">
        <v>31</v>
      </c>
      <c r="C2183" s="77" t="s">
        <v>90</v>
      </c>
      <c r="D2183" t="s">
        <v>81</v>
      </c>
      <c r="E2183" s="77" t="s">
        <v>104</v>
      </c>
      <c r="F2183" s="77" t="s">
        <v>73</v>
      </c>
      <c r="G2183" s="77" t="s">
        <v>74</v>
      </c>
      <c r="H2183" s="77" t="s">
        <v>108</v>
      </c>
      <c r="I2183" s="77" t="s">
        <v>84</v>
      </c>
      <c r="J2183" s="76">
        <v>0</v>
      </c>
    </row>
    <row r="2184" spans="1:10" x14ac:dyDescent="0.35">
      <c r="A2184" t="s">
        <v>14</v>
      </c>
      <c r="B2184" t="s">
        <v>31</v>
      </c>
      <c r="C2184" s="77" t="s">
        <v>90</v>
      </c>
      <c r="D2184" t="s">
        <v>81</v>
      </c>
      <c r="E2184" s="77" t="s">
        <v>106</v>
      </c>
      <c r="F2184" s="77" t="s">
        <v>73</v>
      </c>
      <c r="G2184" s="77" t="s">
        <v>74</v>
      </c>
      <c r="H2184" s="77" t="s">
        <v>108</v>
      </c>
      <c r="I2184" s="77" t="s">
        <v>84</v>
      </c>
      <c r="J2184" s="76">
        <v>0</v>
      </c>
    </row>
    <row r="2185" spans="1:10" x14ac:dyDescent="0.35">
      <c r="A2185" t="s">
        <v>14</v>
      </c>
      <c r="B2185" t="s">
        <v>31</v>
      </c>
      <c r="C2185" s="77" t="s">
        <v>91</v>
      </c>
      <c r="D2185" t="s">
        <v>81</v>
      </c>
      <c r="E2185" s="77" t="s">
        <v>118</v>
      </c>
      <c r="F2185" s="77" t="s">
        <v>73</v>
      </c>
      <c r="G2185" s="77" t="s">
        <v>74</v>
      </c>
      <c r="H2185" s="77" t="s">
        <v>108</v>
      </c>
      <c r="I2185" s="77" t="s">
        <v>84</v>
      </c>
      <c r="J2185" s="76" cm="1">
        <f t="array" ref="J2185:J2187">'SUT_EU27 total'!$K$72:$K$74</f>
        <v>5.3791732332439677E-3</v>
      </c>
    </row>
    <row r="2186" spans="1:10" x14ac:dyDescent="0.35">
      <c r="A2186" t="s">
        <v>14</v>
      </c>
      <c r="B2186" t="s">
        <v>31</v>
      </c>
      <c r="C2186" s="77" t="s">
        <v>91</v>
      </c>
      <c r="D2186" t="s">
        <v>81</v>
      </c>
      <c r="E2186" s="77" t="s">
        <v>119</v>
      </c>
      <c r="F2186" s="77" t="s">
        <v>73</v>
      </c>
      <c r="G2186" s="77" t="s">
        <v>74</v>
      </c>
      <c r="H2186" s="77" t="s">
        <v>108</v>
      </c>
      <c r="I2186" s="77" t="s">
        <v>84</v>
      </c>
      <c r="J2186" s="76">
        <v>6.5526133182607291E-3</v>
      </c>
    </row>
    <row r="2187" spans="1:10" x14ac:dyDescent="0.35">
      <c r="A2187" t="s">
        <v>14</v>
      </c>
      <c r="B2187" t="s">
        <v>31</v>
      </c>
      <c r="C2187" s="77" t="s">
        <v>91</v>
      </c>
      <c r="D2187" t="s">
        <v>81</v>
      </c>
      <c r="E2187" s="77" t="s">
        <v>120</v>
      </c>
      <c r="F2187" s="77" t="s">
        <v>73</v>
      </c>
      <c r="G2187" s="77" t="s">
        <v>74</v>
      </c>
      <c r="H2187" s="77" t="s">
        <v>108</v>
      </c>
      <c r="I2187" s="77" t="s">
        <v>84</v>
      </c>
      <c r="J2187" s="76">
        <v>2.464950959887623E-4</v>
      </c>
    </row>
    <row r="2188" spans="1:10" x14ac:dyDescent="0.35">
      <c r="A2188" t="s">
        <v>14</v>
      </c>
      <c r="B2188" t="s">
        <v>31</v>
      </c>
      <c r="C2188" s="77" t="s">
        <v>91</v>
      </c>
      <c r="D2188" t="s">
        <v>81</v>
      </c>
      <c r="E2188" s="77" t="s">
        <v>121</v>
      </c>
      <c r="F2188" s="77" t="s">
        <v>73</v>
      </c>
      <c r="G2188" s="77" t="s">
        <v>74</v>
      </c>
      <c r="H2188" s="77" t="s">
        <v>108</v>
      </c>
      <c r="I2188" s="77" t="s">
        <v>84</v>
      </c>
      <c r="J2188" s="76">
        <f>'SUT_EU27 total'!$K$76</f>
        <v>0</v>
      </c>
    </row>
    <row r="2189" spans="1:10" x14ac:dyDescent="0.35">
      <c r="A2189" t="s">
        <v>14</v>
      </c>
      <c r="B2189" t="s">
        <v>31</v>
      </c>
      <c r="C2189" s="77" t="s">
        <v>91</v>
      </c>
      <c r="D2189" t="s">
        <v>81</v>
      </c>
      <c r="E2189" s="77" t="s">
        <v>117</v>
      </c>
      <c r="F2189" s="77" t="s">
        <v>73</v>
      </c>
      <c r="G2189" s="77" t="s">
        <v>74</v>
      </c>
      <c r="H2189" s="77" t="s">
        <v>108</v>
      </c>
      <c r="I2189" s="77" t="s">
        <v>84</v>
      </c>
      <c r="J2189" s="76">
        <f>'SUT_EU27 total'!$K$78</f>
        <v>1.1485683451306521E-3</v>
      </c>
    </row>
    <row r="2190" spans="1:10" x14ac:dyDescent="0.35">
      <c r="A2190" t="s">
        <v>14</v>
      </c>
      <c r="B2190" t="s">
        <v>31</v>
      </c>
      <c r="C2190" s="77" t="s">
        <v>91</v>
      </c>
      <c r="D2190" t="s">
        <v>81</v>
      </c>
      <c r="E2190" s="77" t="s">
        <v>122</v>
      </c>
      <c r="F2190" s="77" t="s">
        <v>73</v>
      </c>
      <c r="G2190" s="77" t="s">
        <v>74</v>
      </c>
      <c r="H2190" s="77" t="s">
        <v>108</v>
      </c>
      <c r="I2190" s="77" t="s">
        <v>84</v>
      </c>
      <c r="J2190" s="76">
        <f>'SUT_EU27 total'!$K$81</f>
        <v>0</v>
      </c>
    </row>
    <row r="2191" spans="1:10" x14ac:dyDescent="0.35">
      <c r="A2191" t="s">
        <v>14</v>
      </c>
      <c r="B2191" t="s">
        <v>31</v>
      </c>
      <c r="C2191" s="77" t="s">
        <v>91</v>
      </c>
      <c r="D2191" t="s">
        <v>81</v>
      </c>
      <c r="E2191" s="77" t="s">
        <v>101</v>
      </c>
      <c r="F2191" s="77" t="s">
        <v>73</v>
      </c>
      <c r="G2191" s="77" t="s">
        <v>74</v>
      </c>
      <c r="H2191" s="77" t="s">
        <v>108</v>
      </c>
      <c r="I2191" s="77" t="s">
        <v>84</v>
      </c>
      <c r="J2191" s="76" cm="1">
        <f t="array" ref="J2191:J2193">'SUT_EU27 total'!$K$83:$K$85</f>
        <v>0</v>
      </c>
    </row>
    <row r="2192" spans="1:10" x14ac:dyDescent="0.35">
      <c r="A2192" t="s">
        <v>14</v>
      </c>
      <c r="B2192" t="s">
        <v>31</v>
      </c>
      <c r="C2192" s="77" t="s">
        <v>91</v>
      </c>
      <c r="D2192" t="s">
        <v>81</v>
      </c>
      <c r="E2192" s="77" t="s">
        <v>104</v>
      </c>
      <c r="F2192" s="77" t="s">
        <v>73</v>
      </c>
      <c r="G2192" s="77" t="s">
        <v>74</v>
      </c>
      <c r="H2192" s="77" t="s">
        <v>108</v>
      </c>
      <c r="I2192" s="77" t="s">
        <v>84</v>
      </c>
      <c r="J2192" s="76">
        <v>0</v>
      </c>
    </row>
    <row r="2193" spans="1:10" x14ac:dyDescent="0.35">
      <c r="A2193" t="s">
        <v>14</v>
      </c>
      <c r="B2193" t="s">
        <v>31</v>
      </c>
      <c r="C2193" s="77" t="s">
        <v>91</v>
      </c>
      <c r="D2193" t="s">
        <v>81</v>
      </c>
      <c r="E2193" s="77" t="s">
        <v>106</v>
      </c>
      <c r="F2193" s="77" t="s">
        <v>73</v>
      </c>
      <c r="G2193" s="77" t="s">
        <v>74</v>
      </c>
      <c r="H2193" s="77" t="s">
        <v>108</v>
      </c>
      <c r="I2193" s="77" t="s">
        <v>84</v>
      </c>
      <c r="J2193" s="76">
        <v>0</v>
      </c>
    </row>
    <row r="2194" spans="1:10" x14ac:dyDescent="0.35">
      <c r="A2194" t="s">
        <v>14</v>
      </c>
      <c r="B2194" t="s">
        <v>31</v>
      </c>
      <c r="C2194" s="77" t="s">
        <v>92</v>
      </c>
      <c r="D2194" t="s">
        <v>81</v>
      </c>
      <c r="E2194" s="77" t="s">
        <v>118</v>
      </c>
      <c r="F2194" s="77" t="s">
        <v>73</v>
      </c>
      <c r="G2194" s="77" t="s">
        <v>74</v>
      </c>
      <c r="H2194" s="77" t="s">
        <v>108</v>
      </c>
      <c r="I2194" s="77" t="s">
        <v>84</v>
      </c>
      <c r="J2194" s="76" cm="1">
        <f t="array" ref="J2194:J2196">'SUT_EU27 total'!$K$89:$K$91</f>
        <v>3.3497344343163542E-3</v>
      </c>
    </row>
    <row r="2195" spans="1:10" x14ac:dyDescent="0.35">
      <c r="A2195" t="s">
        <v>14</v>
      </c>
      <c r="B2195" t="s">
        <v>31</v>
      </c>
      <c r="C2195" s="77" t="s">
        <v>92</v>
      </c>
      <c r="D2195" t="s">
        <v>81</v>
      </c>
      <c r="E2195" s="77" t="s">
        <v>119</v>
      </c>
      <c r="F2195" s="77" t="s">
        <v>73</v>
      </c>
      <c r="G2195" s="77" t="s">
        <v>74</v>
      </c>
      <c r="H2195" s="77" t="s">
        <v>108</v>
      </c>
      <c r="I2195" s="77" t="s">
        <v>84</v>
      </c>
      <c r="J2195" s="76">
        <v>6.0269323460777589E-3</v>
      </c>
    </row>
    <row r="2196" spans="1:10" x14ac:dyDescent="0.35">
      <c r="A2196" t="s">
        <v>14</v>
      </c>
      <c r="B2196" t="s">
        <v>31</v>
      </c>
      <c r="C2196" s="77" t="s">
        <v>92</v>
      </c>
      <c r="D2196" t="s">
        <v>81</v>
      </c>
      <c r="E2196" s="77" t="s">
        <v>120</v>
      </c>
      <c r="F2196" s="77" t="s">
        <v>73</v>
      </c>
      <c r="G2196" s="77" t="s">
        <v>74</v>
      </c>
      <c r="H2196" s="77" t="s">
        <v>108</v>
      </c>
      <c r="I2196" s="77" t="s">
        <v>84</v>
      </c>
      <c r="J2196" s="76">
        <v>4.0947713992508196E-3</v>
      </c>
    </row>
    <row r="2197" spans="1:10" x14ac:dyDescent="0.35">
      <c r="A2197" t="s">
        <v>14</v>
      </c>
      <c r="B2197" t="s">
        <v>31</v>
      </c>
      <c r="C2197" s="77" t="s">
        <v>92</v>
      </c>
      <c r="D2197" t="s">
        <v>81</v>
      </c>
      <c r="E2197" s="77" t="s">
        <v>121</v>
      </c>
      <c r="F2197" s="77" t="s">
        <v>73</v>
      </c>
      <c r="G2197" s="77" t="s">
        <v>74</v>
      </c>
      <c r="H2197" s="77" t="s">
        <v>108</v>
      </c>
      <c r="I2197" s="77" t="s">
        <v>84</v>
      </c>
      <c r="J2197" s="76">
        <f>'SUT_EU27 total'!$K$93</f>
        <v>0</v>
      </c>
    </row>
    <row r="2198" spans="1:10" x14ac:dyDescent="0.35">
      <c r="A2198" t="s">
        <v>14</v>
      </c>
      <c r="B2198" t="s">
        <v>31</v>
      </c>
      <c r="C2198" s="77" t="s">
        <v>92</v>
      </c>
      <c r="D2198" t="s">
        <v>81</v>
      </c>
      <c r="E2198" s="77" t="s">
        <v>117</v>
      </c>
      <c r="F2198" s="77" t="s">
        <v>73</v>
      </c>
      <c r="G2198" s="77" t="s">
        <v>74</v>
      </c>
      <c r="H2198" s="77" t="s">
        <v>108</v>
      </c>
      <c r="I2198" s="77" t="s">
        <v>84</v>
      </c>
      <c r="J2198" s="76">
        <f>'SUT_EU27 total'!$K$95</f>
        <v>0</v>
      </c>
    </row>
    <row r="2199" spans="1:10" x14ac:dyDescent="0.35">
      <c r="A2199" t="s">
        <v>14</v>
      </c>
      <c r="B2199" t="s">
        <v>31</v>
      </c>
      <c r="C2199" s="77" t="s">
        <v>92</v>
      </c>
      <c r="D2199" t="s">
        <v>81</v>
      </c>
      <c r="E2199" s="77" t="s">
        <v>122</v>
      </c>
      <c r="F2199" s="77" t="s">
        <v>73</v>
      </c>
      <c r="G2199" s="77" t="s">
        <v>74</v>
      </c>
      <c r="H2199" s="77" t="s">
        <v>108</v>
      </c>
      <c r="I2199" s="77" t="s">
        <v>84</v>
      </c>
      <c r="J2199" s="76">
        <f>'SUT_EU27 total'!$K$98</f>
        <v>0</v>
      </c>
    </row>
    <row r="2200" spans="1:10" x14ac:dyDescent="0.35">
      <c r="A2200" t="s">
        <v>14</v>
      </c>
      <c r="B2200" t="s">
        <v>31</v>
      </c>
      <c r="C2200" s="77" t="s">
        <v>92</v>
      </c>
      <c r="D2200" t="s">
        <v>81</v>
      </c>
      <c r="E2200" s="77" t="s">
        <v>101</v>
      </c>
      <c r="F2200" s="77" t="s">
        <v>73</v>
      </c>
      <c r="G2200" s="77" t="s">
        <v>74</v>
      </c>
      <c r="H2200" s="77" t="s">
        <v>108</v>
      </c>
      <c r="I2200" s="77" t="s">
        <v>84</v>
      </c>
      <c r="J2200" s="76" cm="1">
        <f t="array" ref="J2200:J2202">'SUT_EU27 total'!$K$100:$K$102</f>
        <v>0</v>
      </c>
    </row>
    <row r="2201" spans="1:10" x14ac:dyDescent="0.35">
      <c r="A2201" t="s">
        <v>14</v>
      </c>
      <c r="B2201" t="s">
        <v>31</v>
      </c>
      <c r="C2201" s="77" t="s">
        <v>92</v>
      </c>
      <c r="D2201" t="s">
        <v>81</v>
      </c>
      <c r="E2201" s="77" t="s">
        <v>104</v>
      </c>
      <c r="F2201" s="77" t="s">
        <v>73</v>
      </c>
      <c r="G2201" s="77" t="s">
        <v>74</v>
      </c>
      <c r="H2201" s="77" t="s">
        <v>108</v>
      </c>
      <c r="I2201" s="77" t="s">
        <v>84</v>
      </c>
      <c r="J2201" s="76">
        <v>0</v>
      </c>
    </row>
    <row r="2202" spans="1:10" x14ac:dyDescent="0.35">
      <c r="A2202" t="s">
        <v>14</v>
      </c>
      <c r="B2202" t="s">
        <v>31</v>
      </c>
      <c r="C2202" s="77" t="s">
        <v>92</v>
      </c>
      <c r="D2202" t="s">
        <v>81</v>
      </c>
      <c r="E2202" s="77" t="s">
        <v>106</v>
      </c>
      <c r="F2202" s="77" t="s">
        <v>73</v>
      </c>
      <c r="G2202" s="77" t="s">
        <v>74</v>
      </c>
      <c r="H2202" s="77" t="s">
        <v>108</v>
      </c>
      <c r="I2202" s="77" t="s">
        <v>84</v>
      </c>
      <c r="J2202" s="76">
        <v>0</v>
      </c>
    </row>
    <row r="2203" spans="1:10" x14ac:dyDescent="0.35">
      <c r="A2203" t="s">
        <v>14</v>
      </c>
      <c r="B2203" t="s">
        <v>31</v>
      </c>
      <c r="C2203" s="77" t="s">
        <v>93</v>
      </c>
      <c r="D2203" t="s">
        <v>81</v>
      </c>
      <c r="E2203" s="77" t="s">
        <v>118</v>
      </c>
      <c r="F2203" s="77" t="s">
        <v>73</v>
      </c>
      <c r="G2203" s="77" t="s">
        <v>74</v>
      </c>
      <c r="H2203" s="77" t="s">
        <v>108</v>
      </c>
      <c r="I2203" s="77" t="s">
        <v>84</v>
      </c>
      <c r="J2203" s="76" cm="1">
        <f t="array" ref="J2203:J2205">'SUT_EU27 total'!$K$106:$K$108</f>
        <v>1.4980971667560324E-2</v>
      </c>
    </row>
    <row r="2204" spans="1:10" x14ac:dyDescent="0.35">
      <c r="A2204" t="s">
        <v>14</v>
      </c>
      <c r="B2204" t="s">
        <v>31</v>
      </c>
      <c r="C2204" s="77" t="s">
        <v>93</v>
      </c>
      <c r="D2204" t="s">
        <v>81</v>
      </c>
      <c r="E2204" s="77" t="s">
        <v>119</v>
      </c>
      <c r="F2204" s="77" t="s">
        <v>73</v>
      </c>
      <c r="G2204" s="77" t="s">
        <v>74</v>
      </c>
      <c r="H2204" s="77" t="s">
        <v>108</v>
      </c>
      <c r="I2204" s="77" t="s">
        <v>84</v>
      </c>
      <c r="J2204" s="76">
        <v>4.3405477873147885E-2</v>
      </c>
    </row>
    <row r="2205" spans="1:10" x14ac:dyDescent="0.35">
      <c r="A2205" t="s">
        <v>14</v>
      </c>
      <c r="B2205" t="s">
        <v>31</v>
      </c>
      <c r="C2205" s="77" t="s">
        <v>93</v>
      </c>
      <c r="D2205" t="s">
        <v>81</v>
      </c>
      <c r="E2205" s="77" t="s">
        <v>120</v>
      </c>
      <c r="F2205" s="77" t="s">
        <v>73</v>
      </c>
      <c r="G2205" s="77" t="s">
        <v>74</v>
      </c>
      <c r="H2205" s="77" t="s">
        <v>108</v>
      </c>
      <c r="I2205" s="77" t="s">
        <v>84</v>
      </c>
      <c r="J2205" s="76">
        <v>2.1237093113781802E-2</v>
      </c>
    </row>
    <row r="2206" spans="1:10" x14ac:dyDescent="0.35">
      <c r="A2206" t="s">
        <v>14</v>
      </c>
      <c r="B2206" t="s">
        <v>31</v>
      </c>
      <c r="C2206" s="77" t="s">
        <v>93</v>
      </c>
      <c r="D2206" t="s">
        <v>81</v>
      </c>
      <c r="E2206" s="77" t="s">
        <v>121</v>
      </c>
      <c r="F2206" s="77" t="s">
        <v>73</v>
      </c>
      <c r="G2206" s="77" t="s">
        <v>74</v>
      </c>
      <c r="H2206" s="77" t="s">
        <v>108</v>
      </c>
      <c r="I2206" s="77" t="s">
        <v>84</v>
      </c>
      <c r="J2206" s="76">
        <f>'SUT_EU27 total'!$K$110</f>
        <v>0</v>
      </c>
    </row>
    <row r="2207" spans="1:10" x14ac:dyDescent="0.35">
      <c r="A2207" t="s">
        <v>14</v>
      </c>
      <c r="B2207" t="s">
        <v>31</v>
      </c>
      <c r="C2207" s="77" t="s">
        <v>93</v>
      </c>
      <c r="D2207" t="s">
        <v>81</v>
      </c>
      <c r="E2207" s="77" t="s">
        <v>117</v>
      </c>
      <c r="F2207" s="77" t="s">
        <v>73</v>
      </c>
      <c r="G2207" s="77" t="s">
        <v>74</v>
      </c>
      <c r="H2207" s="77" t="s">
        <v>108</v>
      </c>
      <c r="I2207" s="77" t="s">
        <v>84</v>
      </c>
      <c r="J2207" s="76">
        <f>'SUT_EU27 total'!$K$112</f>
        <v>1.1930984723440377E-3</v>
      </c>
    </row>
    <row r="2208" spans="1:10" x14ac:dyDescent="0.35">
      <c r="A2208" t="s">
        <v>14</v>
      </c>
      <c r="B2208" t="s">
        <v>31</v>
      </c>
      <c r="C2208" s="77" t="s">
        <v>93</v>
      </c>
      <c r="D2208" t="s">
        <v>81</v>
      </c>
      <c r="E2208" s="77" t="s">
        <v>122</v>
      </c>
      <c r="F2208" s="77" t="s">
        <v>73</v>
      </c>
      <c r="G2208" s="77" t="s">
        <v>74</v>
      </c>
      <c r="H2208" s="77" t="s">
        <v>108</v>
      </c>
      <c r="I2208" s="77" t="s">
        <v>84</v>
      </c>
      <c r="J2208" s="76">
        <f>'SUT_EU27 total'!$K$115</f>
        <v>8.7987828585017833E-3</v>
      </c>
    </row>
    <row r="2209" spans="1:10" x14ac:dyDescent="0.35">
      <c r="A2209" t="s">
        <v>14</v>
      </c>
      <c r="B2209" t="s">
        <v>31</v>
      </c>
      <c r="C2209" s="77" t="s">
        <v>93</v>
      </c>
      <c r="D2209" t="s">
        <v>81</v>
      </c>
      <c r="E2209" s="77" t="s">
        <v>101</v>
      </c>
      <c r="F2209" s="77" t="s">
        <v>73</v>
      </c>
      <c r="G2209" s="77" t="s">
        <v>74</v>
      </c>
      <c r="H2209" s="77" t="s">
        <v>108</v>
      </c>
      <c r="I2209" s="77" t="s">
        <v>84</v>
      </c>
      <c r="J2209" s="76" cm="1">
        <f t="array" ref="J2209:J2211">'SUT_EU27 total'!$K$117:$K$119</f>
        <v>0</v>
      </c>
    </row>
    <row r="2210" spans="1:10" x14ac:dyDescent="0.35">
      <c r="A2210" t="s">
        <v>14</v>
      </c>
      <c r="B2210" t="s">
        <v>31</v>
      </c>
      <c r="C2210" s="77" t="s">
        <v>93</v>
      </c>
      <c r="D2210" t="s">
        <v>81</v>
      </c>
      <c r="E2210" s="77" t="s">
        <v>104</v>
      </c>
      <c r="F2210" s="77" t="s">
        <v>73</v>
      </c>
      <c r="G2210" s="77" t="s">
        <v>74</v>
      </c>
      <c r="H2210" s="77" t="s">
        <v>108</v>
      </c>
      <c r="I2210" s="77" t="s">
        <v>84</v>
      </c>
      <c r="J2210" s="76">
        <v>0</v>
      </c>
    </row>
    <row r="2211" spans="1:10" x14ac:dyDescent="0.35">
      <c r="A2211" t="s">
        <v>14</v>
      </c>
      <c r="B2211" t="s">
        <v>31</v>
      </c>
      <c r="C2211" s="77" t="s">
        <v>93</v>
      </c>
      <c r="D2211" t="s">
        <v>81</v>
      </c>
      <c r="E2211" s="77" t="s">
        <v>106</v>
      </c>
      <c r="F2211" s="77" t="s">
        <v>73</v>
      </c>
      <c r="G2211" s="77" t="s">
        <v>74</v>
      </c>
      <c r="H2211" s="77" t="s">
        <v>108</v>
      </c>
      <c r="I2211" s="77" t="s">
        <v>84</v>
      </c>
      <c r="J2211" s="76">
        <v>0</v>
      </c>
    </row>
    <row r="2212" spans="1:10" x14ac:dyDescent="0.35">
      <c r="A2212" t="s">
        <v>14</v>
      </c>
      <c r="B2212" t="s">
        <v>31</v>
      </c>
      <c r="C2212" s="77" t="s">
        <v>73</v>
      </c>
      <c r="D2212" t="s">
        <v>81</v>
      </c>
      <c r="E2212" s="77" t="s">
        <v>119</v>
      </c>
      <c r="F2212" s="77" t="s">
        <v>73</v>
      </c>
      <c r="G2212" s="77" t="s">
        <v>74</v>
      </c>
      <c r="H2212" s="77" t="s">
        <v>123</v>
      </c>
      <c r="I2212" s="77" t="s">
        <v>84</v>
      </c>
      <c r="J2212" s="76">
        <f>'SUT_EU27 total'!$L$22</f>
        <v>1.9500181678711294E-2</v>
      </c>
    </row>
    <row r="2213" spans="1:10" x14ac:dyDescent="0.35">
      <c r="A2213" t="s">
        <v>14</v>
      </c>
      <c r="B2213" t="s">
        <v>31</v>
      </c>
      <c r="C2213" s="77" t="s">
        <v>73</v>
      </c>
      <c r="D2213" t="s">
        <v>81</v>
      </c>
      <c r="E2213" s="77" t="s">
        <v>124</v>
      </c>
      <c r="F2213" s="77" t="s">
        <v>73</v>
      </c>
      <c r="G2213" s="77" t="s">
        <v>74</v>
      </c>
      <c r="H2213" s="77" t="s">
        <v>123</v>
      </c>
      <c r="I2213" s="77" t="s">
        <v>84</v>
      </c>
      <c r="J2213" s="76" cm="1">
        <f t="array" ref="J2213:J2221">'SUT_EU27 total'!$L$26:$L$34</f>
        <v>1.9404661061278542E-3</v>
      </c>
    </row>
    <row r="2214" spans="1:10" x14ac:dyDescent="0.35">
      <c r="A2214" t="s">
        <v>14</v>
      </c>
      <c r="B2214" t="s">
        <v>31</v>
      </c>
      <c r="C2214" s="77" t="s">
        <v>73</v>
      </c>
      <c r="D2214" t="s">
        <v>81</v>
      </c>
      <c r="E2214" s="77" t="s">
        <v>117</v>
      </c>
      <c r="F2214" s="77" t="s">
        <v>73</v>
      </c>
      <c r="G2214" s="77" t="s">
        <v>74</v>
      </c>
      <c r="H2214" s="77" t="s">
        <v>123</v>
      </c>
      <c r="I2214" s="77" t="s">
        <v>84</v>
      </c>
      <c r="J2214" s="76">
        <v>5.8423628191201782E-3</v>
      </c>
    </row>
    <row r="2215" spans="1:10" x14ac:dyDescent="0.35">
      <c r="A2215" t="s">
        <v>14</v>
      </c>
      <c r="B2215" t="s">
        <v>31</v>
      </c>
      <c r="C2215" s="77" t="s">
        <v>73</v>
      </c>
      <c r="D2215" t="s">
        <v>81</v>
      </c>
      <c r="E2215" s="77" t="s">
        <v>82</v>
      </c>
      <c r="F2215" s="77" t="s">
        <v>73</v>
      </c>
      <c r="G2215" s="77" t="s">
        <v>74</v>
      </c>
      <c r="H2215" s="77" t="s">
        <v>123</v>
      </c>
      <c r="I2215" s="77" t="s">
        <v>84</v>
      </c>
      <c r="J2215" s="76">
        <v>4.8981233243967828E-4</v>
      </c>
    </row>
    <row r="2216" spans="1:10" x14ac:dyDescent="0.35">
      <c r="A2216" t="s">
        <v>14</v>
      </c>
      <c r="B2216" t="s">
        <v>31</v>
      </c>
      <c r="C2216" s="77" t="s">
        <v>73</v>
      </c>
      <c r="D2216" t="s">
        <v>81</v>
      </c>
      <c r="E2216" s="77" t="s">
        <v>125</v>
      </c>
      <c r="F2216" s="77" t="s">
        <v>73</v>
      </c>
      <c r="G2216" s="77" t="s">
        <v>74</v>
      </c>
      <c r="H2216" s="77" t="s">
        <v>123</v>
      </c>
      <c r="I2216" s="77" t="s">
        <v>84</v>
      </c>
      <c r="J2216" s="76">
        <v>2.4658201215687387E-3</v>
      </c>
    </row>
    <row r="2217" spans="1:10" x14ac:dyDescent="0.35">
      <c r="A2217" t="s">
        <v>14</v>
      </c>
      <c r="B2217" t="s">
        <v>31</v>
      </c>
      <c r="C2217" s="77" t="s">
        <v>73</v>
      </c>
      <c r="D2217" t="s">
        <v>81</v>
      </c>
      <c r="E2217" s="77" t="s">
        <v>122</v>
      </c>
      <c r="F2217" s="77" t="s">
        <v>73</v>
      </c>
      <c r="G2217" s="77" t="s">
        <v>74</v>
      </c>
      <c r="H2217" s="77" t="s">
        <v>123</v>
      </c>
      <c r="I2217" s="77" t="s">
        <v>84</v>
      </c>
      <c r="J2217" s="76">
        <v>4.922711058263972E-4</v>
      </c>
    </row>
    <row r="2218" spans="1:10" x14ac:dyDescent="0.35">
      <c r="A2218" t="s">
        <v>14</v>
      </c>
      <c r="B2218" t="s">
        <v>31</v>
      </c>
      <c r="C2218" s="77" t="s">
        <v>73</v>
      </c>
      <c r="D2218" t="s">
        <v>81</v>
      </c>
      <c r="E2218" s="77" t="s">
        <v>126</v>
      </c>
      <c r="F2218" s="77" t="s">
        <v>73</v>
      </c>
      <c r="G2218" s="77" t="s">
        <v>74</v>
      </c>
      <c r="H2218" s="77" t="s">
        <v>123</v>
      </c>
      <c r="I2218" s="77" t="s">
        <v>84</v>
      </c>
      <c r="J2218" s="76">
        <v>0</v>
      </c>
    </row>
    <row r="2219" spans="1:10" x14ac:dyDescent="0.35">
      <c r="A2219" t="s">
        <v>14</v>
      </c>
      <c r="B2219" t="s">
        <v>31</v>
      </c>
      <c r="C2219" s="77" t="s">
        <v>73</v>
      </c>
      <c r="D2219" t="s">
        <v>81</v>
      </c>
      <c r="E2219" s="77" t="s">
        <v>101</v>
      </c>
      <c r="F2219" s="77" t="s">
        <v>73</v>
      </c>
      <c r="G2219" s="77" t="s">
        <v>74</v>
      </c>
      <c r="H2219" s="77" t="s">
        <v>123</v>
      </c>
      <c r="I2219" s="77" t="s">
        <v>84</v>
      </c>
      <c r="J2219" s="76">
        <v>3.7860913795851507E-4</v>
      </c>
    </row>
    <row r="2220" spans="1:10" x14ac:dyDescent="0.35">
      <c r="A2220" t="s">
        <v>14</v>
      </c>
      <c r="B2220" t="s">
        <v>31</v>
      </c>
      <c r="C2220" s="77" t="s">
        <v>73</v>
      </c>
      <c r="D2220" t="s">
        <v>81</v>
      </c>
      <c r="E2220" s="77" t="s">
        <v>104</v>
      </c>
      <c r="F2220" s="77" t="s">
        <v>73</v>
      </c>
      <c r="G2220" s="77" t="s">
        <v>74</v>
      </c>
      <c r="H2220" s="77" t="s">
        <v>123</v>
      </c>
      <c r="I2220" s="77" t="s">
        <v>84</v>
      </c>
      <c r="J2220" s="76">
        <v>7.1686251377883477E-4</v>
      </c>
    </row>
    <row r="2221" spans="1:10" x14ac:dyDescent="0.35">
      <c r="A2221" t="s">
        <v>14</v>
      </c>
      <c r="B2221" t="s">
        <v>31</v>
      </c>
      <c r="C2221" s="77" t="s">
        <v>73</v>
      </c>
      <c r="D2221" t="s">
        <v>81</v>
      </c>
      <c r="E2221" s="77" t="s">
        <v>106</v>
      </c>
      <c r="F2221" s="77" t="s">
        <v>73</v>
      </c>
      <c r="G2221" s="77" t="s">
        <v>74</v>
      </c>
      <c r="H2221" s="77" t="s">
        <v>123</v>
      </c>
      <c r="I2221" s="77" t="s">
        <v>84</v>
      </c>
      <c r="J2221" s="76">
        <v>2.438307869996036E-3</v>
      </c>
    </row>
    <row r="2222" spans="1:10" x14ac:dyDescent="0.35">
      <c r="A2222" t="s">
        <v>14</v>
      </c>
      <c r="B2222" t="s">
        <v>31</v>
      </c>
      <c r="C2222" s="77" t="s">
        <v>88</v>
      </c>
      <c r="D2222" t="s">
        <v>81</v>
      </c>
      <c r="E2222" s="77" t="s">
        <v>119</v>
      </c>
      <c r="F2222" s="77" t="s">
        <v>73</v>
      </c>
      <c r="G2222" s="77" t="s">
        <v>74</v>
      </c>
      <c r="H2222" s="77" t="s">
        <v>123</v>
      </c>
      <c r="I2222" s="77" t="s">
        <v>84</v>
      </c>
      <c r="J2222" s="76">
        <f>'SUT_EU27 total'!$L$39</f>
        <v>0.16108845734587587</v>
      </c>
    </row>
    <row r="2223" spans="1:10" x14ac:dyDescent="0.35">
      <c r="A2223" t="s">
        <v>14</v>
      </c>
      <c r="B2223" t="s">
        <v>31</v>
      </c>
      <c r="C2223" s="77" t="s">
        <v>88</v>
      </c>
      <c r="D2223" t="s">
        <v>81</v>
      </c>
      <c r="E2223" s="77" t="s">
        <v>124</v>
      </c>
      <c r="F2223" s="77" t="s">
        <v>73</v>
      </c>
      <c r="G2223" s="77" t="s">
        <v>74</v>
      </c>
      <c r="H2223" s="77" t="s">
        <v>123</v>
      </c>
      <c r="I2223" s="77" t="s">
        <v>84</v>
      </c>
      <c r="J2223" s="76" cm="1">
        <f t="array" ref="J2223:J2231">'SUT_EU27 total'!$M$43:$M$51</f>
        <v>5.0558836222750793E-4</v>
      </c>
    </row>
    <row r="2224" spans="1:10" x14ac:dyDescent="0.35">
      <c r="A2224" t="s">
        <v>14</v>
      </c>
      <c r="B2224" t="s">
        <v>31</v>
      </c>
      <c r="C2224" s="77" t="s">
        <v>88</v>
      </c>
      <c r="D2224" t="s">
        <v>81</v>
      </c>
      <c r="E2224" s="77" t="s">
        <v>117</v>
      </c>
      <c r="F2224" s="77" t="s">
        <v>73</v>
      </c>
      <c r="G2224" s="77" t="s">
        <v>74</v>
      </c>
      <c r="H2224" s="77" t="s">
        <v>123</v>
      </c>
      <c r="I2224" s="77" t="s">
        <v>84</v>
      </c>
      <c r="J2224" s="76">
        <v>4.8514464106651379E-3</v>
      </c>
    </row>
    <row r="2225" spans="1:10" x14ac:dyDescent="0.35">
      <c r="A2225" t="s">
        <v>14</v>
      </c>
      <c r="B2225" t="s">
        <v>31</v>
      </c>
      <c r="C2225" s="77" t="s">
        <v>88</v>
      </c>
      <c r="D2225" t="s">
        <v>81</v>
      </c>
      <c r="E2225" s="77" t="s">
        <v>82</v>
      </c>
      <c r="F2225" s="77" t="s">
        <v>73</v>
      </c>
      <c r="G2225" s="77" t="s">
        <v>74</v>
      </c>
      <c r="H2225" s="77" t="s">
        <v>123</v>
      </c>
      <c r="I2225" s="77" t="s">
        <v>84</v>
      </c>
      <c r="J2225" s="76">
        <v>1.109418436791091E-2</v>
      </c>
    </row>
    <row r="2226" spans="1:10" x14ac:dyDescent="0.35">
      <c r="A2226" t="s">
        <v>14</v>
      </c>
      <c r="B2226" t="s">
        <v>31</v>
      </c>
      <c r="C2226" s="77" t="s">
        <v>88</v>
      </c>
      <c r="D2226" t="s">
        <v>81</v>
      </c>
      <c r="E2226" s="77" t="s">
        <v>125</v>
      </c>
      <c r="F2226" s="77" t="s">
        <v>73</v>
      </c>
      <c r="G2226" s="77" t="s">
        <v>74</v>
      </c>
      <c r="H2226" s="77" t="s">
        <v>123</v>
      </c>
      <c r="I2226" s="77" t="s">
        <v>84</v>
      </c>
      <c r="J2226" s="76">
        <v>2.890870278990243E-5</v>
      </c>
    </row>
    <row r="2227" spans="1:10" x14ac:dyDescent="0.35">
      <c r="A2227" t="s">
        <v>14</v>
      </c>
      <c r="B2227" t="s">
        <v>31</v>
      </c>
      <c r="C2227" s="77" t="s">
        <v>88</v>
      </c>
      <c r="D2227" t="s">
        <v>81</v>
      </c>
      <c r="E2227" s="77" t="s">
        <v>122</v>
      </c>
      <c r="F2227" s="77" t="s">
        <v>73</v>
      </c>
      <c r="G2227" s="77" t="s">
        <v>74</v>
      </c>
      <c r="H2227" s="77" t="s">
        <v>123</v>
      </c>
      <c r="I2227" s="77" t="s">
        <v>84</v>
      </c>
      <c r="J2227" s="76">
        <v>0</v>
      </c>
    </row>
    <row r="2228" spans="1:10" x14ac:dyDescent="0.35">
      <c r="A2228" t="s">
        <v>14</v>
      </c>
      <c r="B2228" t="s">
        <v>31</v>
      </c>
      <c r="C2228" s="77" t="s">
        <v>88</v>
      </c>
      <c r="D2228" t="s">
        <v>81</v>
      </c>
      <c r="E2228" s="77" t="s">
        <v>126</v>
      </c>
      <c r="F2228" s="77" t="s">
        <v>73</v>
      </c>
      <c r="G2228" s="77" t="s">
        <v>74</v>
      </c>
      <c r="H2228" s="77" t="s">
        <v>123</v>
      </c>
      <c r="I2228" s="77" t="s">
        <v>84</v>
      </c>
      <c r="J2228" s="76">
        <v>2.8514320987501449E-3</v>
      </c>
    </row>
    <row r="2229" spans="1:10" x14ac:dyDescent="0.35">
      <c r="A2229" t="s">
        <v>14</v>
      </c>
      <c r="B2229" t="s">
        <v>31</v>
      </c>
      <c r="C2229" s="77" t="s">
        <v>88</v>
      </c>
      <c r="D2229" t="s">
        <v>81</v>
      </c>
      <c r="E2229" s="77" t="s">
        <v>101</v>
      </c>
      <c r="F2229" s="77" t="s">
        <v>73</v>
      </c>
      <c r="G2229" s="77" t="s">
        <v>74</v>
      </c>
      <c r="H2229" s="77" t="s">
        <v>123</v>
      </c>
      <c r="I2229" s="77" t="s">
        <v>84</v>
      </c>
      <c r="J2229" s="76">
        <v>0</v>
      </c>
    </row>
    <row r="2230" spans="1:10" x14ac:dyDescent="0.35">
      <c r="A2230" t="s">
        <v>14</v>
      </c>
      <c r="B2230" t="s">
        <v>31</v>
      </c>
      <c r="C2230" s="77" t="s">
        <v>88</v>
      </c>
      <c r="D2230" t="s">
        <v>81</v>
      </c>
      <c r="E2230" s="77" t="s">
        <v>104</v>
      </c>
      <c r="F2230" s="77" t="s">
        <v>73</v>
      </c>
      <c r="G2230" s="77" t="s">
        <v>74</v>
      </c>
      <c r="H2230" s="77" t="s">
        <v>123</v>
      </c>
      <c r="I2230" s="77" t="s">
        <v>84</v>
      </c>
      <c r="J2230" s="76">
        <v>0</v>
      </c>
    </row>
    <row r="2231" spans="1:10" x14ac:dyDescent="0.35">
      <c r="A2231" t="s">
        <v>14</v>
      </c>
      <c r="B2231" t="s">
        <v>31</v>
      </c>
      <c r="C2231" s="77" t="s">
        <v>88</v>
      </c>
      <c r="D2231" t="s">
        <v>81</v>
      </c>
      <c r="E2231" s="77" t="s">
        <v>106</v>
      </c>
      <c r="F2231" s="77" t="s">
        <v>73</v>
      </c>
      <c r="G2231" s="77" t="s">
        <v>74</v>
      </c>
      <c r="H2231" s="77" t="s">
        <v>123</v>
      </c>
      <c r="I2231" s="77" t="s">
        <v>84</v>
      </c>
      <c r="J2231" s="76">
        <v>0</v>
      </c>
    </row>
    <row r="2232" spans="1:10" x14ac:dyDescent="0.35">
      <c r="A2232" t="s">
        <v>14</v>
      </c>
      <c r="B2232" t="s">
        <v>31</v>
      </c>
      <c r="C2232" s="77" t="s">
        <v>90</v>
      </c>
      <c r="D2232" t="s">
        <v>81</v>
      </c>
      <c r="E2232" s="77" t="s">
        <v>119</v>
      </c>
      <c r="F2232" s="77" t="s">
        <v>73</v>
      </c>
      <c r="G2232" s="77" t="s">
        <v>74</v>
      </c>
      <c r="H2232" s="77" t="s">
        <v>123</v>
      </c>
      <c r="I2232" s="77" t="s">
        <v>84</v>
      </c>
      <c r="J2232" s="76">
        <f>'SUT_EU27 total'!$M$56</f>
        <v>2.949251079979006E-2</v>
      </c>
    </row>
    <row r="2233" spans="1:10" x14ac:dyDescent="0.35">
      <c r="A2233" t="s">
        <v>14</v>
      </c>
      <c r="B2233" t="s">
        <v>31</v>
      </c>
      <c r="C2233" s="77" t="s">
        <v>90</v>
      </c>
      <c r="D2233" t="s">
        <v>81</v>
      </c>
      <c r="E2233" s="77" t="s">
        <v>124</v>
      </c>
      <c r="F2233" s="77" t="s">
        <v>73</v>
      </c>
      <c r="G2233" s="77" t="s">
        <v>74</v>
      </c>
      <c r="H2233" s="77" t="s">
        <v>123</v>
      </c>
      <c r="I2233" s="77" t="s">
        <v>84</v>
      </c>
      <c r="J2233" s="76" cm="1">
        <f t="array" ref="J2233:J2241">'SUT_EU27 total'!$L$60:$L$68</f>
        <v>2.1047443073980527E-5</v>
      </c>
    </row>
    <row r="2234" spans="1:10" x14ac:dyDescent="0.35">
      <c r="A2234" t="s">
        <v>14</v>
      </c>
      <c r="B2234" t="s">
        <v>31</v>
      </c>
      <c r="C2234" s="77" t="s">
        <v>90</v>
      </c>
      <c r="D2234" t="s">
        <v>81</v>
      </c>
      <c r="E2234" s="77" t="s">
        <v>117</v>
      </c>
      <c r="F2234" s="77" t="s">
        <v>73</v>
      </c>
      <c r="G2234" s="77" t="s">
        <v>74</v>
      </c>
      <c r="H2234" s="77" t="s">
        <v>123</v>
      </c>
      <c r="I2234" s="77" t="s">
        <v>84</v>
      </c>
      <c r="J2234" s="76">
        <v>5.8414015621608938E-3</v>
      </c>
    </row>
    <row r="2235" spans="1:10" x14ac:dyDescent="0.35">
      <c r="A2235" t="s">
        <v>14</v>
      </c>
      <c r="B2235" t="s">
        <v>31</v>
      </c>
      <c r="C2235" s="77" t="s">
        <v>90</v>
      </c>
      <c r="D2235" t="s">
        <v>81</v>
      </c>
      <c r="E2235" s="77" t="s">
        <v>82</v>
      </c>
      <c r="F2235" s="77" t="s">
        <v>73</v>
      </c>
      <c r="G2235" s="77" t="s">
        <v>74</v>
      </c>
      <c r="H2235" s="77" t="s">
        <v>123</v>
      </c>
      <c r="I2235" s="77" t="s">
        <v>84</v>
      </c>
      <c r="J2235" s="76">
        <v>1.4521138379047227E-3</v>
      </c>
    </row>
    <row r="2236" spans="1:10" x14ac:dyDescent="0.35">
      <c r="A2236" t="s">
        <v>14</v>
      </c>
      <c r="B2236" t="s">
        <v>31</v>
      </c>
      <c r="C2236" s="77" t="s">
        <v>90</v>
      </c>
      <c r="D2236" t="s">
        <v>81</v>
      </c>
      <c r="E2236" s="77" t="s">
        <v>125</v>
      </c>
      <c r="F2236" s="77" t="s">
        <v>73</v>
      </c>
      <c r="G2236" s="77" t="s">
        <v>74</v>
      </c>
      <c r="H2236" s="77" t="s">
        <v>123</v>
      </c>
      <c r="I2236" s="77" t="s">
        <v>84</v>
      </c>
      <c r="J2236" s="76">
        <v>6.5130870114372285E-5</v>
      </c>
    </row>
    <row r="2237" spans="1:10" x14ac:dyDescent="0.35">
      <c r="A2237" t="s">
        <v>14</v>
      </c>
      <c r="B2237" t="s">
        <v>31</v>
      </c>
      <c r="C2237" s="77" t="s">
        <v>90</v>
      </c>
      <c r="D2237" t="s">
        <v>81</v>
      </c>
      <c r="E2237" s="77" t="s">
        <v>122</v>
      </c>
      <c r="F2237" s="77" t="s">
        <v>73</v>
      </c>
      <c r="G2237" s="77" t="s">
        <v>74</v>
      </c>
      <c r="H2237" s="77" t="s">
        <v>123</v>
      </c>
      <c r="I2237" s="77" t="s">
        <v>84</v>
      </c>
      <c r="J2237" s="76">
        <v>7.9476813317479189E-4</v>
      </c>
    </row>
    <row r="2238" spans="1:10" x14ac:dyDescent="0.35">
      <c r="A2238" t="s">
        <v>14</v>
      </c>
      <c r="B2238" t="s">
        <v>31</v>
      </c>
      <c r="C2238" s="77" t="s">
        <v>90</v>
      </c>
      <c r="D2238" t="s">
        <v>81</v>
      </c>
      <c r="E2238" s="77" t="s">
        <v>126</v>
      </c>
      <c r="F2238" s="77" t="s">
        <v>73</v>
      </c>
      <c r="G2238" s="77" t="s">
        <v>74</v>
      </c>
      <c r="H2238" s="77" t="s">
        <v>123</v>
      </c>
      <c r="I2238" s="77" t="s">
        <v>84</v>
      </c>
      <c r="J2238" s="76">
        <v>8.4821183458843076E-3</v>
      </c>
    </row>
    <row r="2239" spans="1:10" x14ac:dyDescent="0.35">
      <c r="A2239" t="s">
        <v>14</v>
      </c>
      <c r="B2239" t="s">
        <v>31</v>
      </c>
      <c r="C2239" s="77" t="s">
        <v>90</v>
      </c>
      <c r="D2239" t="s">
        <v>81</v>
      </c>
      <c r="E2239" s="77" t="s">
        <v>101</v>
      </c>
      <c r="F2239" s="77" t="s">
        <v>73</v>
      </c>
      <c r="G2239" s="77" t="s">
        <v>74</v>
      </c>
      <c r="H2239" s="77" t="s">
        <v>123</v>
      </c>
      <c r="I2239" s="77" t="s">
        <v>84</v>
      </c>
      <c r="J2239" s="76">
        <v>0</v>
      </c>
    </row>
    <row r="2240" spans="1:10" x14ac:dyDescent="0.35">
      <c r="A2240" t="s">
        <v>14</v>
      </c>
      <c r="B2240" t="s">
        <v>31</v>
      </c>
      <c r="C2240" s="77" t="s">
        <v>90</v>
      </c>
      <c r="D2240" t="s">
        <v>81</v>
      </c>
      <c r="E2240" s="77" t="s">
        <v>104</v>
      </c>
      <c r="F2240" s="77" t="s">
        <v>73</v>
      </c>
      <c r="G2240" s="77" t="s">
        <v>74</v>
      </c>
      <c r="H2240" s="77" t="s">
        <v>123</v>
      </c>
      <c r="I2240" s="77" t="s">
        <v>84</v>
      </c>
      <c r="J2240" s="76">
        <v>0</v>
      </c>
    </row>
    <row r="2241" spans="1:10" x14ac:dyDescent="0.35">
      <c r="A2241" t="s">
        <v>14</v>
      </c>
      <c r="B2241" t="s">
        <v>31</v>
      </c>
      <c r="C2241" s="77" t="s">
        <v>90</v>
      </c>
      <c r="D2241" t="s">
        <v>81</v>
      </c>
      <c r="E2241" s="77" t="s">
        <v>106</v>
      </c>
      <c r="F2241" s="77" t="s">
        <v>73</v>
      </c>
      <c r="G2241" s="77" t="s">
        <v>74</v>
      </c>
      <c r="H2241" s="77" t="s">
        <v>123</v>
      </c>
      <c r="I2241" s="77" t="s">
        <v>84</v>
      </c>
      <c r="J2241" s="76">
        <v>0</v>
      </c>
    </row>
    <row r="2242" spans="1:10" x14ac:dyDescent="0.35">
      <c r="A2242" t="s">
        <v>14</v>
      </c>
      <c r="B2242" t="s">
        <v>31</v>
      </c>
      <c r="C2242" s="77" t="s">
        <v>91</v>
      </c>
      <c r="D2242" t="s">
        <v>81</v>
      </c>
      <c r="E2242" s="77" t="s">
        <v>119</v>
      </c>
      <c r="F2242" s="77" t="s">
        <v>73</v>
      </c>
      <c r="G2242" s="77" t="s">
        <v>74</v>
      </c>
      <c r="H2242" s="77" t="s">
        <v>123</v>
      </c>
      <c r="I2242" s="77" t="s">
        <v>84</v>
      </c>
      <c r="J2242" s="76">
        <f>'SUT_EU27 total'!$L$73</f>
        <v>0.15097500908393557</v>
      </c>
    </row>
    <row r="2243" spans="1:10" x14ac:dyDescent="0.35">
      <c r="A2243" t="s">
        <v>14</v>
      </c>
      <c r="B2243" t="s">
        <v>31</v>
      </c>
      <c r="C2243" s="77" t="s">
        <v>91</v>
      </c>
      <c r="D2243" t="s">
        <v>81</v>
      </c>
      <c r="E2243" s="77" t="s">
        <v>124</v>
      </c>
      <c r="F2243" s="77" t="s">
        <v>73</v>
      </c>
      <c r="G2243" s="77" t="s">
        <v>74</v>
      </c>
      <c r="H2243" s="77" t="s">
        <v>123</v>
      </c>
      <c r="I2243" s="77" t="s">
        <v>84</v>
      </c>
      <c r="J2243" s="76" cm="1">
        <f t="array" ref="J2243:J2251">'SUT_EU27 total'!$L$77:$L$85</f>
        <v>6.7728942399646885E-5</v>
      </c>
    </row>
    <row r="2244" spans="1:10" x14ac:dyDescent="0.35">
      <c r="A2244" t="s">
        <v>14</v>
      </c>
      <c r="B2244" t="s">
        <v>31</v>
      </c>
      <c r="C2244" s="77" t="s">
        <v>91</v>
      </c>
      <c r="D2244" t="s">
        <v>81</v>
      </c>
      <c r="E2244" s="77" t="s">
        <v>117</v>
      </c>
      <c r="F2244" s="77" t="s">
        <v>73</v>
      </c>
      <c r="G2244" s="77" t="s">
        <v>74</v>
      </c>
      <c r="H2244" s="77" t="s">
        <v>123</v>
      </c>
      <c r="I2244" s="77" t="s">
        <v>84</v>
      </c>
      <c r="J2244" s="76">
        <v>5.6233849622410815E-3</v>
      </c>
    </row>
    <row r="2245" spans="1:10" x14ac:dyDescent="0.35">
      <c r="A2245" t="s">
        <v>14</v>
      </c>
      <c r="B2245" t="s">
        <v>31</v>
      </c>
      <c r="C2245" s="77" t="s">
        <v>91</v>
      </c>
      <c r="D2245" t="s">
        <v>81</v>
      </c>
      <c r="E2245" s="77" t="s">
        <v>82</v>
      </c>
      <c r="F2245" s="77" t="s">
        <v>73</v>
      </c>
      <c r="G2245" s="77" t="s">
        <v>74</v>
      </c>
      <c r="H2245" s="77" t="s">
        <v>123</v>
      </c>
      <c r="I2245" s="77" t="s">
        <v>84</v>
      </c>
      <c r="J2245" s="76">
        <v>1.8068055269127655E-3</v>
      </c>
    </row>
    <row r="2246" spans="1:10" x14ac:dyDescent="0.35">
      <c r="A2246" t="s">
        <v>14</v>
      </c>
      <c r="B2246" t="s">
        <v>31</v>
      </c>
      <c r="C2246" s="77" t="s">
        <v>91</v>
      </c>
      <c r="D2246" t="s">
        <v>81</v>
      </c>
      <c r="E2246" s="77" t="s">
        <v>125</v>
      </c>
      <c r="F2246" s="77" t="s">
        <v>73</v>
      </c>
      <c r="G2246" s="77" t="s">
        <v>74</v>
      </c>
      <c r="H2246" s="77" t="s">
        <v>123</v>
      </c>
      <c r="I2246" s="77" t="s">
        <v>84</v>
      </c>
      <c r="J2246" s="76">
        <v>5.6492118062760293E-6</v>
      </c>
    </row>
    <row r="2247" spans="1:10" x14ac:dyDescent="0.35">
      <c r="A2247" t="s">
        <v>14</v>
      </c>
      <c r="B2247" t="s">
        <v>31</v>
      </c>
      <c r="C2247" s="77" t="s">
        <v>91</v>
      </c>
      <c r="D2247" t="s">
        <v>81</v>
      </c>
      <c r="E2247" s="77" t="s">
        <v>122</v>
      </c>
      <c r="F2247" s="77" t="s">
        <v>73</v>
      </c>
      <c r="G2247" s="77" t="s">
        <v>74</v>
      </c>
      <c r="H2247" s="77" t="s">
        <v>123</v>
      </c>
      <c r="I2247" s="77" t="s">
        <v>84</v>
      </c>
      <c r="J2247" s="76">
        <v>0</v>
      </c>
    </row>
    <row r="2248" spans="1:10" x14ac:dyDescent="0.35">
      <c r="A2248" t="s">
        <v>14</v>
      </c>
      <c r="B2248" t="s">
        <v>31</v>
      </c>
      <c r="C2248" s="77" t="s">
        <v>91</v>
      </c>
      <c r="D2248" t="s">
        <v>81</v>
      </c>
      <c r="E2248" s="77" t="s">
        <v>126</v>
      </c>
      <c r="F2248" s="77" t="s">
        <v>73</v>
      </c>
      <c r="G2248" s="77" t="s">
        <v>74</v>
      </c>
      <c r="H2248" s="77" t="s">
        <v>123</v>
      </c>
      <c r="I2248" s="77" t="s">
        <v>84</v>
      </c>
      <c r="J2248" s="76">
        <v>8.1093795177776388E-4</v>
      </c>
    </row>
    <row r="2249" spans="1:10" x14ac:dyDescent="0.35">
      <c r="A2249" t="s">
        <v>14</v>
      </c>
      <c r="B2249" t="s">
        <v>31</v>
      </c>
      <c r="C2249" s="77" t="s">
        <v>91</v>
      </c>
      <c r="D2249" t="s">
        <v>81</v>
      </c>
      <c r="E2249" s="77" t="s">
        <v>101</v>
      </c>
      <c r="F2249" s="77" t="s">
        <v>73</v>
      </c>
      <c r="G2249" s="77" t="s">
        <v>74</v>
      </c>
      <c r="H2249" s="77" t="s">
        <v>123</v>
      </c>
      <c r="I2249" s="77" t="s">
        <v>84</v>
      </c>
      <c r="J2249" s="76">
        <v>0</v>
      </c>
    </row>
    <row r="2250" spans="1:10" x14ac:dyDescent="0.35">
      <c r="A2250" t="s">
        <v>14</v>
      </c>
      <c r="B2250" t="s">
        <v>31</v>
      </c>
      <c r="C2250" s="77" t="s">
        <v>91</v>
      </c>
      <c r="D2250" t="s">
        <v>81</v>
      </c>
      <c r="E2250" s="77" t="s">
        <v>104</v>
      </c>
      <c r="F2250" s="77" t="s">
        <v>73</v>
      </c>
      <c r="G2250" s="77" t="s">
        <v>74</v>
      </c>
      <c r="H2250" s="77" t="s">
        <v>123</v>
      </c>
      <c r="I2250" s="77" t="s">
        <v>84</v>
      </c>
      <c r="J2250" s="76">
        <v>0</v>
      </c>
    </row>
    <row r="2251" spans="1:10" x14ac:dyDescent="0.35">
      <c r="A2251" t="s">
        <v>14</v>
      </c>
      <c r="B2251" t="s">
        <v>31</v>
      </c>
      <c r="C2251" s="77" t="s">
        <v>91</v>
      </c>
      <c r="D2251" t="s">
        <v>81</v>
      </c>
      <c r="E2251" s="77" t="s">
        <v>106</v>
      </c>
      <c r="F2251" s="77" t="s">
        <v>73</v>
      </c>
      <c r="G2251" s="77" t="s">
        <v>74</v>
      </c>
      <c r="H2251" s="77" t="s">
        <v>123</v>
      </c>
      <c r="I2251" s="77" t="s">
        <v>84</v>
      </c>
      <c r="J2251" s="76">
        <v>0</v>
      </c>
    </row>
    <row r="2252" spans="1:10" x14ac:dyDescent="0.35">
      <c r="A2252" t="s">
        <v>14</v>
      </c>
      <c r="B2252" t="s">
        <v>31</v>
      </c>
      <c r="C2252" s="77" t="s">
        <v>92</v>
      </c>
      <c r="D2252" t="s">
        <v>81</v>
      </c>
      <c r="E2252" s="77" t="s">
        <v>119</v>
      </c>
      <c r="F2252" s="77" t="s">
        <v>73</v>
      </c>
      <c r="G2252" s="77" t="s">
        <v>74</v>
      </c>
      <c r="H2252" s="77" t="s">
        <v>123</v>
      </c>
      <c r="I2252" s="77" t="s">
        <v>84</v>
      </c>
      <c r="J2252" s="76">
        <f>'SUT_EU27 total'!$L$90</f>
        <v>0.13886309499777949</v>
      </c>
    </row>
    <row r="2253" spans="1:10" x14ac:dyDescent="0.35">
      <c r="A2253" t="s">
        <v>14</v>
      </c>
      <c r="B2253" t="s">
        <v>31</v>
      </c>
      <c r="C2253" s="77" t="s">
        <v>92</v>
      </c>
      <c r="D2253" t="s">
        <v>81</v>
      </c>
      <c r="E2253" s="77" t="s">
        <v>124</v>
      </c>
      <c r="F2253" s="77" t="s">
        <v>73</v>
      </c>
      <c r="G2253" s="77" t="s">
        <v>74</v>
      </c>
      <c r="H2253" s="77" t="s">
        <v>123</v>
      </c>
      <c r="I2253" s="77" t="s">
        <v>84</v>
      </c>
      <c r="J2253" s="76" cm="1">
        <f t="array" ref="J2253:J2261">'SUT_EU27 total'!$L$94:$L$102</f>
        <v>9.2968907089085616E-5</v>
      </c>
    </row>
    <row r="2254" spans="1:10" x14ac:dyDescent="0.35">
      <c r="A2254" t="s">
        <v>14</v>
      </c>
      <c r="B2254" t="s">
        <v>31</v>
      </c>
      <c r="C2254" s="77" t="s">
        <v>92</v>
      </c>
      <c r="D2254" t="s">
        <v>81</v>
      </c>
      <c r="E2254" s="77" t="s">
        <v>117</v>
      </c>
      <c r="F2254" s="77" t="s">
        <v>73</v>
      </c>
      <c r="G2254" s="77" t="s">
        <v>74</v>
      </c>
      <c r="H2254" s="77" t="s">
        <v>123</v>
      </c>
      <c r="I2254" s="77" t="s">
        <v>84</v>
      </c>
      <c r="J2254" s="76">
        <v>0</v>
      </c>
    </row>
    <row r="2255" spans="1:10" x14ac:dyDescent="0.35">
      <c r="A2255" t="s">
        <v>14</v>
      </c>
      <c r="B2255" t="s">
        <v>31</v>
      </c>
      <c r="C2255" s="77" t="s">
        <v>92</v>
      </c>
      <c r="D2255" t="s">
        <v>81</v>
      </c>
      <c r="E2255" s="77" t="s">
        <v>82</v>
      </c>
      <c r="F2255" s="77" t="s">
        <v>73</v>
      </c>
      <c r="G2255" s="77" t="s">
        <v>74</v>
      </c>
      <c r="H2255" s="77" t="s">
        <v>123</v>
      </c>
      <c r="I2255" s="77" t="s">
        <v>84</v>
      </c>
      <c r="J2255" s="76">
        <v>1.1251392039595793E-3</v>
      </c>
    </row>
    <row r="2256" spans="1:10" x14ac:dyDescent="0.35">
      <c r="A2256" t="s">
        <v>14</v>
      </c>
      <c r="B2256" t="s">
        <v>31</v>
      </c>
      <c r="C2256" s="77" t="s">
        <v>92</v>
      </c>
      <c r="D2256" t="s">
        <v>81</v>
      </c>
      <c r="E2256" s="77" t="s">
        <v>125</v>
      </c>
      <c r="F2256" s="77" t="s">
        <v>73</v>
      </c>
      <c r="G2256" s="77" t="s">
        <v>74</v>
      </c>
      <c r="H2256" s="77" t="s">
        <v>123</v>
      </c>
      <c r="I2256" s="77" t="s">
        <v>84</v>
      </c>
      <c r="J2256" s="76">
        <v>5.0048817841215026E-7</v>
      </c>
    </row>
    <row r="2257" spans="1:10" x14ac:dyDescent="0.35">
      <c r="A2257" t="s">
        <v>14</v>
      </c>
      <c r="B2257" t="s">
        <v>31</v>
      </c>
      <c r="C2257" s="77" t="s">
        <v>92</v>
      </c>
      <c r="D2257" t="s">
        <v>81</v>
      </c>
      <c r="E2257" s="77" t="s">
        <v>122</v>
      </c>
      <c r="F2257" s="77" t="s">
        <v>73</v>
      </c>
      <c r="G2257" s="77" t="s">
        <v>74</v>
      </c>
      <c r="H2257" s="77" t="s">
        <v>123</v>
      </c>
      <c r="I2257" s="77" t="s">
        <v>84</v>
      </c>
      <c r="J2257" s="76">
        <v>0</v>
      </c>
    </row>
    <row r="2258" spans="1:10" x14ac:dyDescent="0.35">
      <c r="A2258" t="s">
        <v>14</v>
      </c>
      <c r="B2258" t="s">
        <v>31</v>
      </c>
      <c r="C2258" s="77" t="s">
        <v>92</v>
      </c>
      <c r="D2258" t="s">
        <v>81</v>
      </c>
      <c r="E2258" s="77" t="s">
        <v>126</v>
      </c>
      <c r="F2258" s="77" t="s">
        <v>73</v>
      </c>
      <c r="G2258" s="77" t="s">
        <v>74</v>
      </c>
      <c r="H2258" s="77" t="s">
        <v>123</v>
      </c>
      <c r="I2258" s="77" t="s">
        <v>84</v>
      </c>
      <c r="J2258" s="76">
        <v>0</v>
      </c>
    </row>
    <row r="2259" spans="1:10" x14ac:dyDescent="0.35">
      <c r="A2259" t="s">
        <v>14</v>
      </c>
      <c r="B2259" t="s">
        <v>31</v>
      </c>
      <c r="C2259" s="77" t="s">
        <v>92</v>
      </c>
      <c r="D2259" t="s">
        <v>81</v>
      </c>
      <c r="E2259" s="77" t="s">
        <v>101</v>
      </c>
      <c r="F2259" s="77" t="s">
        <v>73</v>
      </c>
      <c r="G2259" s="77" t="s">
        <v>74</v>
      </c>
      <c r="H2259" s="77" t="s">
        <v>123</v>
      </c>
      <c r="I2259" s="77" t="s">
        <v>84</v>
      </c>
      <c r="J2259" s="76">
        <v>0</v>
      </c>
    </row>
    <row r="2260" spans="1:10" x14ac:dyDescent="0.35">
      <c r="A2260" t="s">
        <v>14</v>
      </c>
      <c r="B2260" t="s">
        <v>31</v>
      </c>
      <c r="C2260" s="77" t="s">
        <v>92</v>
      </c>
      <c r="D2260" t="s">
        <v>81</v>
      </c>
      <c r="E2260" s="77" t="s">
        <v>104</v>
      </c>
      <c r="F2260" s="77" t="s">
        <v>73</v>
      </c>
      <c r="G2260" s="77" t="s">
        <v>74</v>
      </c>
      <c r="H2260" s="77" t="s">
        <v>123</v>
      </c>
      <c r="I2260" s="77" t="s">
        <v>84</v>
      </c>
      <c r="J2260" s="76">
        <v>0</v>
      </c>
    </row>
    <row r="2261" spans="1:10" x14ac:dyDescent="0.35">
      <c r="A2261" t="s">
        <v>14</v>
      </c>
      <c r="B2261" t="s">
        <v>31</v>
      </c>
      <c r="C2261" s="77" t="s">
        <v>92</v>
      </c>
      <c r="D2261" t="s">
        <v>81</v>
      </c>
      <c r="E2261" s="77" t="s">
        <v>106</v>
      </c>
      <c r="F2261" s="77" t="s">
        <v>73</v>
      </c>
      <c r="G2261" s="77" t="s">
        <v>74</v>
      </c>
      <c r="H2261" s="77" t="s">
        <v>123</v>
      </c>
      <c r="I2261" s="77" t="s">
        <v>84</v>
      </c>
      <c r="J2261" s="76">
        <v>0</v>
      </c>
    </row>
    <row r="2262" spans="1:10" x14ac:dyDescent="0.35">
      <c r="A2262" t="s">
        <v>14</v>
      </c>
      <c r="B2262" t="s">
        <v>31</v>
      </c>
      <c r="C2262" s="77" t="s">
        <v>93</v>
      </c>
      <c r="D2262" t="s">
        <v>81</v>
      </c>
      <c r="E2262" s="77" t="s">
        <v>119</v>
      </c>
      <c r="F2262" s="77" t="s">
        <v>73</v>
      </c>
      <c r="G2262" s="77" t="s">
        <v>74</v>
      </c>
      <c r="H2262" s="77" t="s">
        <v>123</v>
      </c>
      <c r="I2262" s="77" t="s">
        <v>84</v>
      </c>
      <c r="J2262" s="76">
        <f>'SUT_EU27 total'!$L$107</f>
        <v>1.0000807460939076</v>
      </c>
    </row>
    <row r="2263" spans="1:10" x14ac:dyDescent="0.35">
      <c r="A2263" t="s">
        <v>14</v>
      </c>
      <c r="B2263" t="s">
        <v>31</v>
      </c>
      <c r="C2263" s="77" t="s">
        <v>93</v>
      </c>
      <c r="D2263" t="s">
        <v>81</v>
      </c>
      <c r="E2263" s="77" t="s">
        <v>124</v>
      </c>
      <c r="F2263" s="77" t="s">
        <v>73</v>
      </c>
      <c r="G2263" s="77" t="s">
        <v>74</v>
      </c>
      <c r="H2263" s="77" t="s">
        <v>123</v>
      </c>
      <c r="I2263" s="77" t="s">
        <v>84</v>
      </c>
      <c r="J2263" s="76" cm="1">
        <f t="array" ref="J2263:J2271">'SUT_EU27 total'!$L$111:$L$119</f>
        <v>3.7052409430862396E-4</v>
      </c>
    </row>
    <row r="2264" spans="1:10" x14ac:dyDescent="0.35">
      <c r="A2264" t="s">
        <v>14</v>
      </c>
      <c r="B2264" t="s">
        <v>31</v>
      </c>
      <c r="C2264" s="77" t="s">
        <v>93</v>
      </c>
      <c r="D2264" t="s">
        <v>81</v>
      </c>
      <c r="E2264" s="77" t="s">
        <v>117</v>
      </c>
      <c r="F2264" s="77" t="s">
        <v>73</v>
      </c>
      <c r="G2264" s="77" t="s">
        <v>74</v>
      </c>
      <c r="H2264" s="77" t="s">
        <v>123</v>
      </c>
      <c r="I2264" s="77" t="s">
        <v>84</v>
      </c>
      <c r="J2264" s="76">
        <v>5.8414042458127093E-3</v>
      </c>
    </row>
    <row r="2265" spans="1:10" x14ac:dyDescent="0.35">
      <c r="A2265" t="s">
        <v>14</v>
      </c>
      <c r="B2265" t="s">
        <v>31</v>
      </c>
      <c r="C2265" s="77" t="s">
        <v>93</v>
      </c>
      <c r="D2265" t="s">
        <v>81</v>
      </c>
      <c r="E2265" s="77" t="s">
        <v>82</v>
      </c>
      <c r="F2265" s="77" t="s">
        <v>73</v>
      </c>
      <c r="G2265" s="77" t="s">
        <v>74</v>
      </c>
      <c r="H2265" s="77" t="s">
        <v>123</v>
      </c>
      <c r="I2265" s="77" t="s">
        <v>84</v>
      </c>
      <c r="J2265" s="76">
        <v>5.0319447308723453E-3</v>
      </c>
    </row>
    <row r="2266" spans="1:10" x14ac:dyDescent="0.35">
      <c r="A2266" t="s">
        <v>14</v>
      </c>
      <c r="B2266" t="s">
        <v>31</v>
      </c>
      <c r="C2266" s="77" t="s">
        <v>93</v>
      </c>
      <c r="D2266" t="s">
        <v>81</v>
      </c>
      <c r="E2266" s="77" t="s">
        <v>125</v>
      </c>
      <c r="F2266" s="77" t="s">
        <v>73</v>
      </c>
      <c r="G2266" s="77" t="s">
        <v>74</v>
      </c>
      <c r="H2266" s="77" t="s">
        <v>123</v>
      </c>
      <c r="I2266" s="77" t="s">
        <v>84</v>
      </c>
      <c r="J2266" s="76">
        <v>4.336096678710085E-4</v>
      </c>
    </row>
    <row r="2267" spans="1:10" x14ac:dyDescent="0.35">
      <c r="A2267" t="s">
        <v>14</v>
      </c>
      <c r="B2267" t="s">
        <v>31</v>
      </c>
      <c r="C2267" s="77" t="s">
        <v>93</v>
      </c>
      <c r="D2267" t="s">
        <v>81</v>
      </c>
      <c r="E2267" s="77" t="s">
        <v>122</v>
      </c>
      <c r="F2267" s="77" t="s">
        <v>73</v>
      </c>
      <c r="G2267" s="77" t="s">
        <v>74</v>
      </c>
      <c r="H2267" s="77" t="s">
        <v>123</v>
      </c>
      <c r="I2267" s="77" t="s">
        <v>84</v>
      </c>
      <c r="J2267" s="76">
        <v>2.7129607609988112E-3</v>
      </c>
    </row>
    <row r="2268" spans="1:10" x14ac:dyDescent="0.35">
      <c r="A2268" t="s">
        <v>14</v>
      </c>
      <c r="B2268" t="s">
        <v>31</v>
      </c>
      <c r="C2268" s="77" t="s">
        <v>93</v>
      </c>
      <c r="D2268" t="s">
        <v>81</v>
      </c>
      <c r="E2268" s="77" t="s">
        <v>126</v>
      </c>
      <c r="F2268" s="77" t="s">
        <v>73</v>
      </c>
      <c r="G2268" s="77" t="s">
        <v>74</v>
      </c>
      <c r="H2268" s="77" t="s">
        <v>123</v>
      </c>
      <c r="I2268" s="77" t="s">
        <v>84</v>
      </c>
      <c r="J2268" s="76">
        <v>4.3855511603587784E-2</v>
      </c>
    </row>
    <row r="2269" spans="1:10" x14ac:dyDescent="0.35">
      <c r="A2269" t="s">
        <v>14</v>
      </c>
      <c r="B2269" t="s">
        <v>31</v>
      </c>
      <c r="C2269" s="77" t="s">
        <v>93</v>
      </c>
      <c r="D2269" t="s">
        <v>81</v>
      </c>
      <c r="E2269" s="77" t="s">
        <v>101</v>
      </c>
      <c r="F2269" s="77" t="s">
        <v>73</v>
      </c>
      <c r="G2269" s="77" t="s">
        <v>74</v>
      </c>
      <c r="H2269" s="77" t="s">
        <v>123</v>
      </c>
      <c r="I2269" s="77" t="s">
        <v>84</v>
      </c>
      <c r="J2269" s="76">
        <v>0</v>
      </c>
    </row>
    <row r="2270" spans="1:10" x14ac:dyDescent="0.35">
      <c r="A2270" t="s">
        <v>14</v>
      </c>
      <c r="B2270" t="s">
        <v>31</v>
      </c>
      <c r="C2270" s="77" t="s">
        <v>93</v>
      </c>
      <c r="D2270" t="s">
        <v>81</v>
      </c>
      <c r="E2270" s="77" t="s">
        <v>104</v>
      </c>
      <c r="F2270" s="77" t="s">
        <v>73</v>
      </c>
      <c r="G2270" s="77" t="s">
        <v>74</v>
      </c>
      <c r="H2270" s="77" t="s">
        <v>123</v>
      </c>
      <c r="I2270" s="77" t="s">
        <v>84</v>
      </c>
      <c r="J2270" s="76">
        <v>0</v>
      </c>
    </row>
    <row r="2271" spans="1:10" x14ac:dyDescent="0.35">
      <c r="A2271" t="s">
        <v>14</v>
      </c>
      <c r="B2271" t="s">
        <v>31</v>
      </c>
      <c r="C2271" s="77" t="s">
        <v>93</v>
      </c>
      <c r="D2271" t="s">
        <v>81</v>
      </c>
      <c r="E2271" s="77" t="s">
        <v>106</v>
      </c>
      <c r="F2271" s="77" t="s">
        <v>73</v>
      </c>
      <c r="G2271" s="77" t="s">
        <v>74</v>
      </c>
      <c r="H2271" s="77" t="s">
        <v>123</v>
      </c>
      <c r="I2271" s="77" t="s">
        <v>84</v>
      </c>
      <c r="J2271" s="76">
        <v>0</v>
      </c>
    </row>
    <row r="2272" spans="1:10" x14ac:dyDescent="0.35">
      <c r="A2272" t="s">
        <v>14</v>
      </c>
      <c r="B2272" t="s">
        <v>31</v>
      </c>
      <c r="C2272" s="77" t="s">
        <v>73</v>
      </c>
      <c r="D2272" t="s">
        <v>81</v>
      </c>
      <c r="E2272" s="77" t="s">
        <v>119</v>
      </c>
      <c r="F2272" s="77" t="s">
        <v>73</v>
      </c>
      <c r="G2272" s="77" t="s">
        <v>74</v>
      </c>
      <c r="H2272" s="77" t="s">
        <v>127</v>
      </c>
      <c r="I2272" s="77" t="s">
        <v>84</v>
      </c>
      <c r="J2272" s="76">
        <f>'SUT_EU27 total'!$M$22</f>
        <v>1.9500181678711294E-2</v>
      </c>
    </row>
    <row r="2273" spans="1:10" x14ac:dyDescent="0.35">
      <c r="A2273" t="s">
        <v>14</v>
      </c>
      <c r="B2273" t="s">
        <v>31</v>
      </c>
      <c r="C2273" s="77" t="s">
        <v>73</v>
      </c>
      <c r="D2273" t="s">
        <v>81</v>
      </c>
      <c r="E2273" s="77" t="s">
        <v>124</v>
      </c>
      <c r="F2273" s="77" t="s">
        <v>73</v>
      </c>
      <c r="G2273" s="77" t="s">
        <v>74</v>
      </c>
      <c r="H2273" s="77" t="s">
        <v>127</v>
      </c>
      <c r="I2273" s="77" t="s">
        <v>84</v>
      </c>
      <c r="J2273" s="76" cm="1">
        <f t="array" ref="J2273:J2281">'SUT_EU27 total'!$M$26:$M$34</f>
        <v>1.9404661061278542E-3</v>
      </c>
    </row>
    <row r="2274" spans="1:10" x14ac:dyDescent="0.35">
      <c r="A2274" t="s">
        <v>14</v>
      </c>
      <c r="B2274" t="s">
        <v>31</v>
      </c>
      <c r="C2274" s="77" t="s">
        <v>73</v>
      </c>
      <c r="D2274" t="s">
        <v>81</v>
      </c>
      <c r="E2274" s="77" t="s">
        <v>117</v>
      </c>
      <c r="F2274" s="77" t="s">
        <v>73</v>
      </c>
      <c r="G2274" s="77" t="s">
        <v>74</v>
      </c>
      <c r="H2274" s="77" t="s">
        <v>127</v>
      </c>
      <c r="I2274" s="77" t="s">
        <v>84</v>
      </c>
      <c r="J2274" s="76">
        <v>5.8423628191201782E-3</v>
      </c>
    </row>
    <row r="2275" spans="1:10" x14ac:dyDescent="0.35">
      <c r="A2275" t="s">
        <v>14</v>
      </c>
      <c r="B2275" t="s">
        <v>31</v>
      </c>
      <c r="C2275" s="77" t="s">
        <v>73</v>
      </c>
      <c r="D2275" t="s">
        <v>81</v>
      </c>
      <c r="E2275" s="77" t="s">
        <v>82</v>
      </c>
      <c r="F2275" s="77" t="s">
        <v>73</v>
      </c>
      <c r="G2275" s="77" t="s">
        <v>74</v>
      </c>
      <c r="H2275" s="77" t="s">
        <v>127</v>
      </c>
      <c r="I2275" s="77" t="s">
        <v>84</v>
      </c>
      <c r="J2275" s="76">
        <v>4.8981233243967828E-4</v>
      </c>
    </row>
    <row r="2276" spans="1:10" x14ac:dyDescent="0.35">
      <c r="A2276" t="s">
        <v>14</v>
      </c>
      <c r="B2276" t="s">
        <v>31</v>
      </c>
      <c r="C2276" s="77" t="s">
        <v>73</v>
      </c>
      <c r="D2276" t="s">
        <v>81</v>
      </c>
      <c r="E2276" s="77" t="s">
        <v>125</v>
      </c>
      <c r="F2276" s="77" t="s">
        <v>73</v>
      </c>
      <c r="G2276" s="77" t="s">
        <v>74</v>
      </c>
      <c r="H2276" s="77" t="s">
        <v>127</v>
      </c>
      <c r="I2276" s="77" t="s">
        <v>84</v>
      </c>
      <c r="J2276" s="76">
        <v>2.4658201215687387E-3</v>
      </c>
    </row>
    <row r="2277" spans="1:10" x14ac:dyDescent="0.35">
      <c r="A2277" t="s">
        <v>14</v>
      </c>
      <c r="B2277" t="s">
        <v>31</v>
      </c>
      <c r="C2277" s="77" t="s">
        <v>73</v>
      </c>
      <c r="D2277" t="s">
        <v>81</v>
      </c>
      <c r="E2277" s="77" t="s">
        <v>122</v>
      </c>
      <c r="F2277" s="77" t="s">
        <v>73</v>
      </c>
      <c r="G2277" s="77" t="s">
        <v>74</v>
      </c>
      <c r="H2277" s="77" t="s">
        <v>127</v>
      </c>
      <c r="I2277" s="77" t="s">
        <v>84</v>
      </c>
      <c r="J2277" s="76">
        <v>4.922711058263972E-4</v>
      </c>
    </row>
    <row r="2278" spans="1:10" x14ac:dyDescent="0.35">
      <c r="A2278" t="s">
        <v>14</v>
      </c>
      <c r="B2278" t="s">
        <v>31</v>
      </c>
      <c r="C2278" s="77" t="s">
        <v>73</v>
      </c>
      <c r="D2278" t="s">
        <v>81</v>
      </c>
      <c r="E2278" s="77" t="s">
        <v>126</v>
      </c>
      <c r="F2278" s="77" t="s">
        <v>73</v>
      </c>
      <c r="G2278" s="77" t="s">
        <v>74</v>
      </c>
      <c r="H2278" s="77" t="s">
        <v>127</v>
      </c>
      <c r="I2278" s="77" t="s">
        <v>84</v>
      </c>
      <c r="J2278" s="76">
        <v>0</v>
      </c>
    </row>
    <row r="2279" spans="1:10" x14ac:dyDescent="0.35">
      <c r="A2279" t="s">
        <v>14</v>
      </c>
      <c r="B2279" t="s">
        <v>31</v>
      </c>
      <c r="C2279" s="77" t="s">
        <v>73</v>
      </c>
      <c r="D2279" t="s">
        <v>81</v>
      </c>
      <c r="E2279" s="77" t="s">
        <v>101</v>
      </c>
      <c r="F2279" s="77" t="s">
        <v>73</v>
      </c>
      <c r="G2279" s="77" t="s">
        <v>74</v>
      </c>
      <c r="H2279" s="77" t="s">
        <v>127</v>
      </c>
      <c r="I2279" s="77" t="s">
        <v>84</v>
      </c>
      <c r="J2279" s="76">
        <v>3.6586167200000007E-4</v>
      </c>
    </row>
    <row r="2280" spans="1:10" x14ac:dyDescent="0.35">
      <c r="A2280" t="s">
        <v>14</v>
      </c>
      <c r="B2280" t="s">
        <v>31</v>
      </c>
      <c r="C2280" s="77" t="s">
        <v>73</v>
      </c>
      <c r="D2280" t="s">
        <v>81</v>
      </c>
      <c r="E2280" s="77" t="s">
        <v>104</v>
      </c>
      <c r="F2280" s="77" t="s">
        <v>73</v>
      </c>
      <c r="G2280" s="77" t="s">
        <v>74</v>
      </c>
      <c r="H2280" s="77" t="s">
        <v>127</v>
      </c>
      <c r="I2280" s="77" t="s">
        <v>84</v>
      </c>
      <c r="J2280" s="76">
        <v>6.9272632800000005E-4</v>
      </c>
    </row>
    <row r="2281" spans="1:10" x14ac:dyDescent="0.35">
      <c r="A2281" t="s">
        <v>14</v>
      </c>
      <c r="B2281" t="s">
        <v>31</v>
      </c>
      <c r="C2281" s="77" t="s">
        <v>73</v>
      </c>
      <c r="D2281" t="s">
        <v>81</v>
      </c>
      <c r="E2281" s="77" t="s">
        <v>106</v>
      </c>
      <c r="F2281" s="77" t="s">
        <v>73</v>
      </c>
      <c r="G2281" s="77" t="s">
        <v>74</v>
      </c>
      <c r="H2281" s="77" t="s">
        <v>127</v>
      </c>
      <c r="I2281" s="77" t="s">
        <v>84</v>
      </c>
      <c r="J2281" s="76">
        <v>2.3562119999999999E-3</v>
      </c>
    </row>
    <row r="2282" spans="1:10" x14ac:dyDescent="0.35">
      <c r="A2282" t="s">
        <v>14</v>
      </c>
      <c r="B2282" t="s">
        <v>31</v>
      </c>
      <c r="C2282" s="77" t="s">
        <v>88</v>
      </c>
      <c r="D2282" t="s">
        <v>81</v>
      </c>
      <c r="E2282" s="77" t="s">
        <v>119</v>
      </c>
      <c r="F2282" s="77" t="s">
        <v>73</v>
      </c>
      <c r="G2282" s="77" t="s">
        <v>74</v>
      </c>
      <c r="H2282" s="77" t="s">
        <v>127</v>
      </c>
      <c r="I2282" s="77" t="s">
        <v>84</v>
      </c>
      <c r="J2282" s="76">
        <f>'SUT_EU27 total'!$M$39</f>
        <v>0.16108845734587587</v>
      </c>
    </row>
    <row r="2283" spans="1:10" x14ac:dyDescent="0.35">
      <c r="A2283" t="s">
        <v>14</v>
      </c>
      <c r="B2283" t="s">
        <v>31</v>
      </c>
      <c r="C2283" s="77" t="s">
        <v>88</v>
      </c>
      <c r="D2283" t="s">
        <v>81</v>
      </c>
      <c r="E2283" s="77" t="s">
        <v>124</v>
      </c>
      <c r="F2283" s="77" t="s">
        <v>73</v>
      </c>
      <c r="G2283" s="77" t="s">
        <v>74</v>
      </c>
      <c r="H2283" s="77" t="s">
        <v>127</v>
      </c>
      <c r="I2283" s="77" t="s">
        <v>84</v>
      </c>
      <c r="J2283" s="76" cm="1">
        <f t="array" ref="J2283:J2291">'SUT_EU27 total'!$L$43:$L$51</f>
        <v>5.0558836222750793E-4</v>
      </c>
    </row>
    <row r="2284" spans="1:10" x14ac:dyDescent="0.35">
      <c r="A2284" t="s">
        <v>14</v>
      </c>
      <c r="B2284" t="s">
        <v>31</v>
      </c>
      <c r="C2284" s="77" t="s">
        <v>88</v>
      </c>
      <c r="D2284" t="s">
        <v>81</v>
      </c>
      <c r="E2284" s="77" t="s">
        <v>117</v>
      </c>
      <c r="F2284" s="77" t="s">
        <v>73</v>
      </c>
      <c r="G2284" s="77" t="s">
        <v>74</v>
      </c>
      <c r="H2284" s="77" t="s">
        <v>127</v>
      </c>
      <c r="I2284" s="77" t="s">
        <v>84</v>
      </c>
      <c r="J2284" s="76">
        <v>4.8514464106651379E-3</v>
      </c>
    </row>
    <row r="2285" spans="1:10" x14ac:dyDescent="0.35">
      <c r="A2285" t="s">
        <v>14</v>
      </c>
      <c r="B2285" t="s">
        <v>31</v>
      </c>
      <c r="C2285" s="77" t="s">
        <v>88</v>
      </c>
      <c r="D2285" t="s">
        <v>81</v>
      </c>
      <c r="E2285" s="77" t="s">
        <v>82</v>
      </c>
      <c r="F2285" s="77" t="s">
        <v>73</v>
      </c>
      <c r="G2285" s="77" t="s">
        <v>74</v>
      </c>
      <c r="H2285" s="77" t="s">
        <v>127</v>
      </c>
      <c r="I2285" s="77" t="s">
        <v>84</v>
      </c>
      <c r="J2285" s="76">
        <v>1.109418436791091E-2</v>
      </c>
    </row>
    <row r="2286" spans="1:10" x14ac:dyDescent="0.35">
      <c r="A2286" t="s">
        <v>14</v>
      </c>
      <c r="B2286" t="s">
        <v>31</v>
      </c>
      <c r="C2286" s="77" t="s">
        <v>88</v>
      </c>
      <c r="D2286" t="s">
        <v>81</v>
      </c>
      <c r="E2286" s="77" t="s">
        <v>125</v>
      </c>
      <c r="F2286" s="77" t="s">
        <v>73</v>
      </c>
      <c r="G2286" s="77" t="s">
        <v>74</v>
      </c>
      <c r="H2286" s="77" t="s">
        <v>127</v>
      </c>
      <c r="I2286" s="77" t="s">
        <v>84</v>
      </c>
      <c r="J2286" s="76">
        <v>2.890870278990243E-5</v>
      </c>
    </row>
    <row r="2287" spans="1:10" x14ac:dyDescent="0.35">
      <c r="A2287" t="s">
        <v>14</v>
      </c>
      <c r="B2287" t="s">
        <v>31</v>
      </c>
      <c r="C2287" s="77" t="s">
        <v>88</v>
      </c>
      <c r="D2287" t="s">
        <v>81</v>
      </c>
      <c r="E2287" s="77" t="s">
        <v>122</v>
      </c>
      <c r="F2287" s="77" t="s">
        <v>73</v>
      </c>
      <c r="G2287" s="77" t="s">
        <v>74</v>
      </c>
      <c r="H2287" s="77" t="s">
        <v>127</v>
      </c>
      <c r="I2287" s="77" t="s">
        <v>84</v>
      </c>
      <c r="J2287" s="76">
        <v>0</v>
      </c>
    </row>
    <row r="2288" spans="1:10" x14ac:dyDescent="0.35">
      <c r="A2288" t="s">
        <v>14</v>
      </c>
      <c r="B2288" t="s">
        <v>31</v>
      </c>
      <c r="C2288" s="77" t="s">
        <v>88</v>
      </c>
      <c r="D2288" t="s">
        <v>81</v>
      </c>
      <c r="E2288" s="77" t="s">
        <v>126</v>
      </c>
      <c r="F2288" s="77" t="s">
        <v>73</v>
      </c>
      <c r="G2288" s="77" t="s">
        <v>74</v>
      </c>
      <c r="H2288" s="77" t="s">
        <v>127</v>
      </c>
      <c r="I2288" s="77" t="s">
        <v>84</v>
      </c>
      <c r="J2288" s="76">
        <v>2.8514320987501449E-3</v>
      </c>
    </row>
    <row r="2289" spans="1:10" x14ac:dyDescent="0.35">
      <c r="A2289" t="s">
        <v>14</v>
      </c>
      <c r="B2289" t="s">
        <v>31</v>
      </c>
      <c r="C2289" s="77" t="s">
        <v>88</v>
      </c>
      <c r="D2289" t="s">
        <v>81</v>
      </c>
      <c r="E2289" s="77" t="s">
        <v>101</v>
      </c>
      <c r="F2289" s="77" t="s">
        <v>73</v>
      </c>
      <c r="G2289" s="77" t="s">
        <v>74</v>
      </c>
      <c r="H2289" s="77" t="s">
        <v>127</v>
      </c>
      <c r="I2289" s="77" t="s">
        <v>84</v>
      </c>
      <c r="J2289" s="76">
        <v>0</v>
      </c>
    </row>
    <row r="2290" spans="1:10" x14ac:dyDescent="0.35">
      <c r="A2290" t="s">
        <v>14</v>
      </c>
      <c r="B2290" t="s">
        <v>31</v>
      </c>
      <c r="C2290" s="77" t="s">
        <v>88</v>
      </c>
      <c r="D2290" t="s">
        <v>81</v>
      </c>
      <c r="E2290" s="77" t="s">
        <v>104</v>
      </c>
      <c r="F2290" s="77" t="s">
        <v>73</v>
      </c>
      <c r="G2290" s="77" t="s">
        <v>74</v>
      </c>
      <c r="H2290" s="77" t="s">
        <v>127</v>
      </c>
      <c r="I2290" s="77" t="s">
        <v>84</v>
      </c>
      <c r="J2290" s="76">
        <v>0</v>
      </c>
    </row>
    <row r="2291" spans="1:10" x14ac:dyDescent="0.35">
      <c r="A2291" t="s">
        <v>14</v>
      </c>
      <c r="B2291" t="s">
        <v>31</v>
      </c>
      <c r="C2291" s="77" t="s">
        <v>88</v>
      </c>
      <c r="D2291" t="s">
        <v>81</v>
      </c>
      <c r="E2291" s="77" t="s">
        <v>106</v>
      </c>
      <c r="F2291" s="77" t="s">
        <v>73</v>
      </c>
      <c r="G2291" s="77" t="s">
        <v>74</v>
      </c>
      <c r="H2291" s="77" t="s">
        <v>127</v>
      </c>
      <c r="I2291" s="77" t="s">
        <v>84</v>
      </c>
      <c r="J2291" s="76">
        <v>0</v>
      </c>
    </row>
    <row r="2292" spans="1:10" x14ac:dyDescent="0.35">
      <c r="A2292" t="s">
        <v>14</v>
      </c>
      <c r="B2292" t="s">
        <v>31</v>
      </c>
      <c r="C2292" s="77" t="s">
        <v>90</v>
      </c>
      <c r="D2292" t="s">
        <v>81</v>
      </c>
      <c r="E2292" s="77" t="s">
        <v>119</v>
      </c>
      <c r="F2292" s="77" t="s">
        <v>73</v>
      </c>
      <c r="G2292" s="77" t="s">
        <v>74</v>
      </c>
      <c r="H2292" s="77" t="s">
        <v>127</v>
      </c>
      <c r="I2292" s="77" t="s">
        <v>84</v>
      </c>
      <c r="J2292" s="76">
        <f>'SUT_EU27 total'!$M$56</f>
        <v>2.949251079979006E-2</v>
      </c>
    </row>
    <row r="2293" spans="1:10" x14ac:dyDescent="0.35">
      <c r="A2293" t="s">
        <v>14</v>
      </c>
      <c r="B2293" t="s">
        <v>31</v>
      </c>
      <c r="C2293" s="77" t="s">
        <v>90</v>
      </c>
      <c r="D2293" t="s">
        <v>81</v>
      </c>
      <c r="E2293" s="77" t="s">
        <v>124</v>
      </c>
      <c r="F2293" s="77" t="s">
        <v>73</v>
      </c>
      <c r="G2293" s="77" t="s">
        <v>74</v>
      </c>
      <c r="H2293" s="77" t="s">
        <v>127</v>
      </c>
      <c r="I2293" s="77" t="s">
        <v>84</v>
      </c>
      <c r="J2293" s="76" cm="1">
        <f t="array" ref="J2293:J2301">'SUT_EU27 total'!$M$60:$M$68</f>
        <v>2.1047443073980527E-5</v>
      </c>
    </row>
    <row r="2294" spans="1:10" x14ac:dyDescent="0.35">
      <c r="A2294" t="s">
        <v>14</v>
      </c>
      <c r="B2294" t="s">
        <v>31</v>
      </c>
      <c r="C2294" s="77" t="s">
        <v>90</v>
      </c>
      <c r="D2294" t="s">
        <v>81</v>
      </c>
      <c r="E2294" s="77" t="s">
        <v>117</v>
      </c>
      <c r="F2294" s="77" t="s">
        <v>73</v>
      </c>
      <c r="G2294" s="77" t="s">
        <v>74</v>
      </c>
      <c r="H2294" s="77" t="s">
        <v>127</v>
      </c>
      <c r="I2294" s="77" t="s">
        <v>84</v>
      </c>
      <c r="J2294" s="76">
        <v>5.8414015621608938E-3</v>
      </c>
    </row>
    <row r="2295" spans="1:10" x14ac:dyDescent="0.35">
      <c r="A2295" t="s">
        <v>14</v>
      </c>
      <c r="B2295" t="s">
        <v>31</v>
      </c>
      <c r="C2295" s="77" t="s">
        <v>90</v>
      </c>
      <c r="D2295" t="s">
        <v>81</v>
      </c>
      <c r="E2295" s="77" t="s">
        <v>82</v>
      </c>
      <c r="F2295" s="77" t="s">
        <v>73</v>
      </c>
      <c r="G2295" s="77" t="s">
        <v>74</v>
      </c>
      <c r="H2295" s="77" t="s">
        <v>127</v>
      </c>
      <c r="I2295" s="77" t="s">
        <v>84</v>
      </c>
      <c r="J2295" s="76">
        <v>1.4521138379047227E-3</v>
      </c>
    </row>
    <row r="2296" spans="1:10" x14ac:dyDescent="0.35">
      <c r="A2296" t="s">
        <v>14</v>
      </c>
      <c r="B2296" t="s">
        <v>31</v>
      </c>
      <c r="C2296" s="77" t="s">
        <v>90</v>
      </c>
      <c r="D2296" t="s">
        <v>81</v>
      </c>
      <c r="E2296" s="77" t="s">
        <v>125</v>
      </c>
      <c r="F2296" s="77" t="s">
        <v>73</v>
      </c>
      <c r="G2296" s="77" t="s">
        <v>74</v>
      </c>
      <c r="H2296" s="77" t="s">
        <v>127</v>
      </c>
      <c r="I2296" s="77" t="s">
        <v>84</v>
      </c>
      <c r="J2296" s="76">
        <v>6.5130870114372285E-5</v>
      </c>
    </row>
    <row r="2297" spans="1:10" x14ac:dyDescent="0.35">
      <c r="A2297" t="s">
        <v>14</v>
      </c>
      <c r="B2297" t="s">
        <v>31</v>
      </c>
      <c r="C2297" s="77" t="s">
        <v>90</v>
      </c>
      <c r="D2297" t="s">
        <v>81</v>
      </c>
      <c r="E2297" s="77" t="s">
        <v>122</v>
      </c>
      <c r="F2297" s="77" t="s">
        <v>73</v>
      </c>
      <c r="G2297" s="77" t="s">
        <v>74</v>
      </c>
      <c r="H2297" s="77" t="s">
        <v>127</v>
      </c>
      <c r="I2297" s="77" t="s">
        <v>84</v>
      </c>
      <c r="J2297" s="76">
        <v>7.9476813317479189E-4</v>
      </c>
    </row>
    <row r="2298" spans="1:10" x14ac:dyDescent="0.35">
      <c r="A2298" t="s">
        <v>14</v>
      </c>
      <c r="B2298" t="s">
        <v>31</v>
      </c>
      <c r="C2298" s="77" t="s">
        <v>90</v>
      </c>
      <c r="D2298" t="s">
        <v>81</v>
      </c>
      <c r="E2298" s="77" t="s">
        <v>126</v>
      </c>
      <c r="F2298" s="77" t="s">
        <v>73</v>
      </c>
      <c r="G2298" s="77" t="s">
        <v>74</v>
      </c>
      <c r="H2298" s="77" t="s">
        <v>127</v>
      </c>
      <c r="I2298" s="77" t="s">
        <v>84</v>
      </c>
      <c r="J2298" s="76">
        <v>8.4821183458843076E-3</v>
      </c>
    </row>
    <row r="2299" spans="1:10" x14ac:dyDescent="0.35">
      <c r="A2299" t="s">
        <v>14</v>
      </c>
      <c r="B2299" t="s">
        <v>31</v>
      </c>
      <c r="C2299" s="77" t="s">
        <v>90</v>
      </c>
      <c r="D2299" t="s">
        <v>81</v>
      </c>
      <c r="E2299" s="77" t="s">
        <v>101</v>
      </c>
      <c r="F2299" s="77" t="s">
        <v>73</v>
      </c>
      <c r="G2299" s="77" t="s">
        <v>74</v>
      </c>
      <c r="H2299" s="77" t="s">
        <v>127</v>
      </c>
      <c r="I2299" s="77" t="s">
        <v>84</v>
      </c>
      <c r="J2299" s="76">
        <v>0</v>
      </c>
    </row>
    <row r="2300" spans="1:10" x14ac:dyDescent="0.35">
      <c r="A2300" t="s">
        <v>14</v>
      </c>
      <c r="B2300" t="s">
        <v>31</v>
      </c>
      <c r="C2300" s="77" t="s">
        <v>90</v>
      </c>
      <c r="D2300" t="s">
        <v>81</v>
      </c>
      <c r="E2300" s="77" t="s">
        <v>104</v>
      </c>
      <c r="F2300" s="77" t="s">
        <v>73</v>
      </c>
      <c r="G2300" s="77" t="s">
        <v>74</v>
      </c>
      <c r="H2300" s="77" t="s">
        <v>127</v>
      </c>
      <c r="I2300" s="77" t="s">
        <v>84</v>
      </c>
      <c r="J2300" s="76">
        <v>0</v>
      </c>
    </row>
    <row r="2301" spans="1:10" x14ac:dyDescent="0.35">
      <c r="A2301" t="s">
        <v>14</v>
      </c>
      <c r="B2301" t="s">
        <v>31</v>
      </c>
      <c r="C2301" s="77" t="s">
        <v>90</v>
      </c>
      <c r="D2301" t="s">
        <v>81</v>
      </c>
      <c r="E2301" s="77" t="s">
        <v>106</v>
      </c>
      <c r="F2301" s="77" t="s">
        <v>73</v>
      </c>
      <c r="G2301" s="77" t="s">
        <v>74</v>
      </c>
      <c r="H2301" s="77" t="s">
        <v>127</v>
      </c>
      <c r="I2301" s="77" t="s">
        <v>84</v>
      </c>
      <c r="J2301" s="76">
        <v>0</v>
      </c>
    </row>
    <row r="2302" spans="1:10" x14ac:dyDescent="0.35">
      <c r="A2302" t="s">
        <v>14</v>
      </c>
      <c r="B2302" t="s">
        <v>31</v>
      </c>
      <c r="C2302" s="77" t="s">
        <v>91</v>
      </c>
      <c r="D2302" t="s">
        <v>81</v>
      </c>
      <c r="E2302" s="77" t="s">
        <v>119</v>
      </c>
      <c r="F2302" s="77" t="s">
        <v>73</v>
      </c>
      <c r="G2302" s="77" t="s">
        <v>74</v>
      </c>
      <c r="H2302" s="77" t="s">
        <v>127</v>
      </c>
      <c r="I2302" s="77" t="s">
        <v>84</v>
      </c>
      <c r="J2302" s="76">
        <f>'SUT_EU27 total'!$M$73</f>
        <v>0.15097500908393557</v>
      </c>
    </row>
    <row r="2303" spans="1:10" x14ac:dyDescent="0.35">
      <c r="A2303" t="s">
        <v>14</v>
      </c>
      <c r="B2303" t="s">
        <v>31</v>
      </c>
      <c r="C2303" s="77" t="s">
        <v>91</v>
      </c>
      <c r="D2303" t="s">
        <v>81</v>
      </c>
      <c r="E2303" s="77" t="s">
        <v>124</v>
      </c>
      <c r="F2303" s="77" t="s">
        <v>73</v>
      </c>
      <c r="G2303" s="77" t="s">
        <v>74</v>
      </c>
      <c r="H2303" s="77" t="s">
        <v>127</v>
      </c>
      <c r="I2303" s="77" t="s">
        <v>84</v>
      </c>
      <c r="J2303" s="76" cm="1">
        <f t="array" ref="J2303:J2311">'SUT_EU27 total'!$M$77:$M$85</f>
        <v>6.7728942399646885E-5</v>
      </c>
    </row>
    <row r="2304" spans="1:10" x14ac:dyDescent="0.35">
      <c r="A2304" t="s">
        <v>14</v>
      </c>
      <c r="B2304" t="s">
        <v>31</v>
      </c>
      <c r="C2304" s="77" t="s">
        <v>91</v>
      </c>
      <c r="D2304" t="s">
        <v>81</v>
      </c>
      <c r="E2304" s="77" t="s">
        <v>117</v>
      </c>
      <c r="F2304" s="77" t="s">
        <v>73</v>
      </c>
      <c r="G2304" s="77" t="s">
        <v>74</v>
      </c>
      <c r="H2304" s="77" t="s">
        <v>127</v>
      </c>
      <c r="I2304" s="77" t="s">
        <v>84</v>
      </c>
      <c r="J2304" s="76">
        <v>5.6233849622410815E-3</v>
      </c>
    </row>
    <row r="2305" spans="1:10" x14ac:dyDescent="0.35">
      <c r="A2305" t="s">
        <v>14</v>
      </c>
      <c r="B2305" t="s">
        <v>31</v>
      </c>
      <c r="C2305" s="77" t="s">
        <v>91</v>
      </c>
      <c r="D2305" t="s">
        <v>81</v>
      </c>
      <c r="E2305" s="77" t="s">
        <v>82</v>
      </c>
      <c r="F2305" s="77" t="s">
        <v>73</v>
      </c>
      <c r="G2305" s="77" t="s">
        <v>74</v>
      </c>
      <c r="H2305" s="77" t="s">
        <v>127</v>
      </c>
      <c r="I2305" s="77" t="s">
        <v>84</v>
      </c>
      <c r="J2305" s="76">
        <v>1.8068055269127655E-3</v>
      </c>
    </row>
    <row r="2306" spans="1:10" x14ac:dyDescent="0.35">
      <c r="A2306" t="s">
        <v>14</v>
      </c>
      <c r="B2306" t="s">
        <v>31</v>
      </c>
      <c r="C2306" s="77" t="s">
        <v>91</v>
      </c>
      <c r="D2306" t="s">
        <v>81</v>
      </c>
      <c r="E2306" s="77" t="s">
        <v>125</v>
      </c>
      <c r="F2306" s="77" t="s">
        <v>73</v>
      </c>
      <c r="G2306" s="77" t="s">
        <v>74</v>
      </c>
      <c r="H2306" s="77" t="s">
        <v>127</v>
      </c>
      <c r="I2306" s="77" t="s">
        <v>84</v>
      </c>
      <c r="J2306" s="76">
        <v>5.6492118062760293E-6</v>
      </c>
    </row>
    <row r="2307" spans="1:10" x14ac:dyDescent="0.35">
      <c r="A2307" t="s">
        <v>14</v>
      </c>
      <c r="B2307" t="s">
        <v>31</v>
      </c>
      <c r="C2307" s="77" t="s">
        <v>91</v>
      </c>
      <c r="D2307" t="s">
        <v>81</v>
      </c>
      <c r="E2307" s="77" t="s">
        <v>122</v>
      </c>
      <c r="F2307" s="77" t="s">
        <v>73</v>
      </c>
      <c r="G2307" s="77" t="s">
        <v>74</v>
      </c>
      <c r="H2307" s="77" t="s">
        <v>127</v>
      </c>
      <c r="I2307" s="77" t="s">
        <v>84</v>
      </c>
      <c r="J2307" s="76">
        <v>0</v>
      </c>
    </row>
    <row r="2308" spans="1:10" x14ac:dyDescent="0.35">
      <c r="A2308" t="s">
        <v>14</v>
      </c>
      <c r="B2308" t="s">
        <v>31</v>
      </c>
      <c r="C2308" s="77" t="s">
        <v>91</v>
      </c>
      <c r="D2308" t="s">
        <v>81</v>
      </c>
      <c r="E2308" s="77" t="s">
        <v>126</v>
      </c>
      <c r="F2308" s="77" t="s">
        <v>73</v>
      </c>
      <c r="G2308" s="77" t="s">
        <v>74</v>
      </c>
      <c r="H2308" s="77" t="s">
        <v>127</v>
      </c>
      <c r="I2308" s="77" t="s">
        <v>84</v>
      </c>
      <c r="J2308" s="76">
        <v>8.1093795177776388E-4</v>
      </c>
    </row>
    <row r="2309" spans="1:10" x14ac:dyDescent="0.35">
      <c r="A2309" t="s">
        <v>14</v>
      </c>
      <c r="B2309" t="s">
        <v>31</v>
      </c>
      <c r="C2309" s="77" t="s">
        <v>91</v>
      </c>
      <c r="D2309" t="s">
        <v>81</v>
      </c>
      <c r="E2309" s="77" t="s">
        <v>101</v>
      </c>
      <c r="F2309" s="77" t="s">
        <v>73</v>
      </c>
      <c r="G2309" s="77" t="s">
        <v>74</v>
      </c>
      <c r="H2309" s="77" t="s">
        <v>127</v>
      </c>
      <c r="I2309" s="77" t="s">
        <v>84</v>
      </c>
      <c r="J2309" s="76">
        <v>0</v>
      </c>
    </row>
    <row r="2310" spans="1:10" x14ac:dyDescent="0.35">
      <c r="A2310" t="s">
        <v>14</v>
      </c>
      <c r="B2310" t="s">
        <v>31</v>
      </c>
      <c r="C2310" s="77" t="s">
        <v>91</v>
      </c>
      <c r="D2310" t="s">
        <v>81</v>
      </c>
      <c r="E2310" s="77" t="s">
        <v>104</v>
      </c>
      <c r="F2310" s="77" t="s">
        <v>73</v>
      </c>
      <c r="G2310" s="77" t="s">
        <v>74</v>
      </c>
      <c r="H2310" s="77" t="s">
        <v>127</v>
      </c>
      <c r="I2310" s="77" t="s">
        <v>84</v>
      </c>
      <c r="J2310" s="76">
        <v>0</v>
      </c>
    </row>
    <row r="2311" spans="1:10" x14ac:dyDescent="0.35">
      <c r="A2311" t="s">
        <v>14</v>
      </c>
      <c r="B2311" t="s">
        <v>31</v>
      </c>
      <c r="C2311" s="77" t="s">
        <v>91</v>
      </c>
      <c r="D2311" t="s">
        <v>81</v>
      </c>
      <c r="E2311" s="77" t="s">
        <v>106</v>
      </c>
      <c r="F2311" s="77" t="s">
        <v>73</v>
      </c>
      <c r="G2311" s="77" t="s">
        <v>74</v>
      </c>
      <c r="H2311" s="77" t="s">
        <v>127</v>
      </c>
      <c r="I2311" s="77" t="s">
        <v>84</v>
      </c>
      <c r="J2311" s="76">
        <v>0</v>
      </c>
    </row>
    <row r="2312" spans="1:10" x14ac:dyDescent="0.35">
      <c r="A2312" t="s">
        <v>14</v>
      </c>
      <c r="B2312" t="s">
        <v>31</v>
      </c>
      <c r="C2312" s="77" t="s">
        <v>92</v>
      </c>
      <c r="D2312" t="s">
        <v>81</v>
      </c>
      <c r="E2312" s="77" t="s">
        <v>119</v>
      </c>
      <c r="F2312" s="77" t="s">
        <v>73</v>
      </c>
      <c r="G2312" s="77" t="s">
        <v>74</v>
      </c>
      <c r="H2312" s="77" t="s">
        <v>127</v>
      </c>
      <c r="I2312" s="77" t="s">
        <v>84</v>
      </c>
      <c r="J2312" s="76">
        <f>'SUT_EU27 total'!$M$90</f>
        <v>0.13886309499777949</v>
      </c>
    </row>
    <row r="2313" spans="1:10" x14ac:dyDescent="0.35">
      <c r="A2313" t="s">
        <v>14</v>
      </c>
      <c r="B2313" t="s">
        <v>31</v>
      </c>
      <c r="C2313" s="77" t="s">
        <v>92</v>
      </c>
      <c r="D2313" t="s">
        <v>81</v>
      </c>
      <c r="E2313" s="77" t="s">
        <v>124</v>
      </c>
      <c r="F2313" s="77" t="s">
        <v>73</v>
      </c>
      <c r="G2313" s="77" t="s">
        <v>74</v>
      </c>
      <c r="H2313" s="77" t="s">
        <v>127</v>
      </c>
      <c r="I2313" s="77" t="s">
        <v>84</v>
      </c>
      <c r="J2313" s="76" cm="1">
        <f t="array" ref="J2313:J2321">'SUT_EU27 total'!$M$94:$M$102</f>
        <v>9.2968907089085616E-5</v>
      </c>
    </row>
    <row r="2314" spans="1:10" x14ac:dyDescent="0.35">
      <c r="A2314" t="s">
        <v>14</v>
      </c>
      <c r="B2314" t="s">
        <v>31</v>
      </c>
      <c r="C2314" s="77" t="s">
        <v>92</v>
      </c>
      <c r="D2314" t="s">
        <v>81</v>
      </c>
      <c r="E2314" s="77" t="s">
        <v>117</v>
      </c>
      <c r="F2314" s="77" t="s">
        <v>73</v>
      </c>
      <c r="G2314" s="77" t="s">
        <v>74</v>
      </c>
      <c r="H2314" s="77" t="s">
        <v>127</v>
      </c>
      <c r="I2314" s="77" t="s">
        <v>84</v>
      </c>
      <c r="J2314" s="76">
        <v>0</v>
      </c>
    </row>
    <row r="2315" spans="1:10" x14ac:dyDescent="0.35">
      <c r="A2315" t="s">
        <v>14</v>
      </c>
      <c r="B2315" t="s">
        <v>31</v>
      </c>
      <c r="C2315" s="77" t="s">
        <v>92</v>
      </c>
      <c r="D2315" t="s">
        <v>81</v>
      </c>
      <c r="E2315" s="77" t="s">
        <v>82</v>
      </c>
      <c r="F2315" s="77" t="s">
        <v>73</v>
      </c>
      <c r="G2315" s="77" t="s">
        <v>74</v>
      </c>
      <c r="H2315" s="77" t="s">
        <v>127</v>
      </c>
      <c r="I2315" s="77" t="s">
        <v>84</v>
      </c>
      <c r="J2315" s="76">
        <v>1.1251392039595793E-3</v>
      </c>
    </row>
    <row r="2316" spans="1:10" x14ac:dyDescent="0.35">
      <c r="A2316" t="s">
        <v>14</v>
      </c>
      <c r="B2316" t="s">
        <v>31</v>
      </c>
      <c r="C2316" s="77" t="s">
        <v>92</v>
      </c>
      <c r="D2316" t="s">
        <v>81</v>
      </c>
      <c r="E2316" s="77" t="s">
        <v>125</v>
      </c>
      <c r="F2316" s="77" t="s">
        <v>73</v>
      </c>
      <c r="G2316" s="77" t="s">
        <v>74</v>
      </c>
      <c r="H2316" s="77" t="s">
        <v>127</v>
      </c>
      <c r="I2316" s="77" t="s">
        <v>84</v>
      </c>
      <c r="J2316" s="76">
        <v>5.0048817841215026E-7</v>
      </c>
    </row>
    <row r="2317" spans="1:10" x14ac:dyDescent="0.35">
      <c r="A2317" t="s">
        <v>14</v>
      </c>
      <c r="B2317" t="s">
        <v>31</v>
      </c>
      <c r="C2317" s="77" t="s">
        <v>92</v>
      </c>
      <c r="D2317" t="s">
        <v>81</v>
      </c>
      <c r="E2317" s="77" t="s">
        <v>122</v>
      </c>
      <c r="F2317" s="77" t="s">
        <v>73</v>
      </c>
      <c r="G2317" s="77" t="s">
        <v>74</v>
      </c>
      <c r="H2317" s="77" t="s">
        <v>127</v>
      </c>
      <c r="I2317" s="77" t="s">
        <v>84</v>
      </c>
      <c r="J2317" s="76">
        <v>0</v>
      </c>
    </row>
    <row r="2318" spans="1:10" x14ac:dyDescent="0.35">
      <c r="A2318" t="s">
        <v>14</v>
      </c>
      <c r="B2318" t="s">
        <v>31</v>
      </c>
      <c r="C2318" s="77" t="s">
        <v>92</v>
      </c>
      <c r="D2318" t="s">
        <v>81</v>
      </c>
      <c r="E2318" s="77" t="s">
        <v>126</v>
      </c>
      <c r="F2318" s="77" t="s">
        <v>73</v>
      </c>
      <c r="G2318" s="77" t="s">
        <v>74</v>
      </c>
      <c r="H2318" s="77" t="s">
        <v>127</v>
      </c>
      <c r="I2318" s="77" t="s">
        <v>84</v>
      </c>
      <c r="J2318" s="76">
        <v>0</v>
      </c>
    </row>
    <row r="2319" spans="1:10" x14ac:dyDescent="0.35">
      <c r="A2319" t="s">
        <v>14</v>
      </c>
      <c r="B2319" t="s">
        <v>31</v>
      </c>
      <c r="C2319" s="77" t="s">
        <v>92</v>
      </c>
      <c r="D2319" t="s">
        <v>81</v>
      </c>
      <c r="E2319" s="77" t="s">
        <v>101</v>
      </c>
      <c r="F2319" s="77" t="s">
        <v>73</v>
      </c>
      <c r="G2319" s="77" t="s">
        <v>74</v>
      </c>
      <c r="H2319" s="77" t="s">
        <v>127</v>
      </c>
      <c r="I2319" s="77" t="s">
        <v>84</v>
      </c>
      <c r="J2319" s="76">
        <v>0</v>
      </c>
    </row>
    <row r="2320" spans="1:10" x14ac:dyDescent="0.35">
      <c r="A2320" t="s">
        <v>14</v>
      </c>
      <c r="B2320" t="s">
        <v>31</v>
      </c>
      <c r="C2320" s="77" t="s">
        <v>92</v>
      </c>
      <c r="D2320" t="s">
        <v>81</v>
      </c>
      <c r="E2320" s="77" t="s">
        <v>104</v>
      </c>
      <c r="F2320" s="77" t="s">
        <v>73</v>
      </c>
      <c r="G2320" s="77" t="s">
        <v>74</v>
      </c>
      <c r="H2320" s="77" t="s">
        <v>127</v>
      </c>
      <c r="I2320" s="77" t="s">
        <v>84</v>
      </c>
      <c r="J2320" s="76">
        <v>0</v>
      </c>
    </row>
    <row r="2321" spans="1:10" x14ac:dyDescent="0.35">
      <c r="A2321" t="s">
        <v>14</v>
      </c>
      <c r="B2321" t="s">
        <v>31</v>
      </c>
      <c r="C2321" s="77" t="s">
        <v>92</v>
      </c>
      <c r="D2321" t="s">
        <v>81</v>
      </c>
      <c r="E2321" s="77" t="s">
        <v>106</v>
      </c>
      <c r="F2321" s="77" t="s">
        <v>73</v>
      </c>
      <c r="G2321" s="77" t="s">
        <v>74</v>
      </c>
      <c r="H2321" s="77" t="s">
        <v>127</v>
      </c>
      <c r="I2321" s="77" t="s">
        <v>84</v>
      </c>
      <c r="J2321" s="76">
        <v>0</v>
      </c>
    </row>
    <row r="2322" spans="1:10" x14ac:dyDescent="0.35">
      <c r="A2322" t="s">
        <v>14</v>
      </c>
      <c r="B2322" t="s">
        <v>31</v>
      </c>
      <c r="C2322" s="77" t="s">
        <v>93</v>
      </c>
      <c r="D2322" t="s">
        <v>81</v>
      </c>
      <c r="E2322" s="77" t="s">
        <v>119</v>
      </c>
      <c r="F2322" s="77" t="s">
        <v>73</v>
      </c>
      <c r="G2322" s="77" t="s">
        <v>74</v>
      </c>
      <c r="H2322" s="77" t="s">
        <v>127</v>
      </c>
      <c r="I2322" s="77" t="s">
        <v>84</v>
      </c>
      <c r="J2322" s="76">
        <f>'SUT_EU27 total'!$M$107</f>
        <v>1.0000807460939076</v>
      </c>
    </row>
    <row r="2323" spans="1:10" x14ac:dyDescent="0.35">
      <c r="A2323" t="s">
        <v>14</v>
      </c>
      <c r="B2323" t="s">
        <v>31</v>
      </c>
      <c r="C2323" s="77" t="s">
        <v>93</v>
      </c>
      <c r="D2323" t="s">
        <v>81</v>
      </c>
      <c r="E2323" s="77" t="s">
        <v>124</v>
      </c>
      <c r="F2323" s="77" t="s">
        <v>73</v>
      </c>
      <c r="G2323" s="77" t="s">
        <v>74</v>
      </c>
      <c r="H2323" s="77" t="s">
        <v>127</v>
      </c>
      <c r="I2323" s="77" t="s">
        <v>84</v>
      </c>
      <c r="J2323" s="76" cm="1">
        <f t="array" ref="J2323:J2331">'SUT_EU27 total'!$M$111:$M$119</f>
        <v>3.7052409430862396E-4</v>
      </c>
    </row>
    <row r="2324" spans="1:10" x14ac:dyDescent="0.35">
      <c r="A2324" t="s">
        <v>14</v>
      </c>
      <c r="B2324" t="s">
        <v>31</v>
      </c>
      <c r="C2324" s="77" t="s">
        <v>93</v>
      </c>
      <c r="D2324" t="s">
        <v>81</v>
      </c>
      <c r="E2324" s="77" t="s">
        <v>117</v>
      </c>
      <c r="F2324" s="77" t="s">
        <v>73</v>
      </c>
      <c r="G2324" s="77" t="s">
        <v>74</v>
      </c>
      <c r="H2324" s="77" t="s">
        <v>127</v>
      </c>
      <c r="I2324" s="77" t="s">
        <v>84</v>
      </c>
      <c r="J2324" s="76">
        <v>5.8414042458127093E-3</v>
      </c>
    </row>
    <row r="2325" spans="1:10" x14ac:dyDescent="0.35">
      <c r="A2325" t="s">
        <v>14</v>
      </c>
      <c r="B2325" t="s">
        <v>31</v>
      </c>
      <c r="C2325" s="77" t="s">
        <v>93</v>
      </c>
      <c r="D2325" t="s">
        <v>81</v>
      </c>
      <c r="E2325" s="77" t="s">
        <v>82</v>
      </c>
      <c r="F2325" s="77" t="s">
        <v>73</v>
      </c>
      <c r="G2325" s="77" t="s">
        <v>74</v>
      </c>
      <c r="H2325" s="77" t="s">
        <v>127</v>
      </c>
      <c r="I2325" s="77" t="s">
        <v>84</v>
      </c>
      <c r="J2325" s="76">
        <v>5.0319447308723453E-3</v>
      </c>
    </row>
    <row r="2326" spans="1:10" x14ac:dyDescent="0.35">
      <c r="A2326" t="s">
        <v>14</v>
      </c>
      <c r="B2326" t="s">
        <v>31</v>
      </c>
      <c r="C2326" s="77" t="s">
        <v>93</v>
      </c>
      <c r="D2326" t="s">
        <v>81</v>
      </c>
      <c r="E2326" s="77" t="s">
        <v>125</v>
      </c>
      <c r="F2326" s="77" t="s">
        <v>73</v>
      </c>
      <c r="G2326" s="77" t="s">
        <v>74</v>
      </c>
      <c r="H2326" s="77" t="s">
        <v>127</v>
      </c>
      <c r="I2326" s="77" t="s">
        <v>84</v>
      </c>
      <c r="J2326" s="76">
        <v>4.336096678710085E-4</v>
      </c>
    </row>
    <row r="2327" spans="1:10" x14ac:dyDescent="0.35">
      <c r="A2327" t="s">
        <v>14</v>
      </c>
      <c r="B2327" t="s">
        <v>31</v>
      </c>
      <c r="C2327" s="77" t="s">
        <v>93</v>
      </c>
      <c r="D2327" t="s">
        <v>81</v>
      </c>
      <c r="E2327" s="77" t="s">
        <v>122</v>
      </c>
      <c r="F2327" s="77" t="s">
        <v>73</v>
      </c>
      <c r="G2327" s="77" t="s">
        <v>74</v>
      </c>
      <c r="H2327" s="77" t="s">
        <v>127</v>
      </c>
      <c r="I2327" s="77" t="s">
        <v>84</v>
      </c>
      <c r="J2327" s="76">
        <v>2.7129607609988112E-3</v>
      </c>
    </row>
    <row r="2328" spans="1:10" x14ac:dyDescent="0.35">
      <c r="A2328" t="s">
        <v>14</v>
      </c>
      <c r="B2328" t="s">
        <v>31</v>
      </c>
      <c r="C2328" s="77" t="s">
        <v>93</v>
      </c>
      <c r="D2328" t="s">
        <v>81</v>
      </c>
      <c r="E2328" s="77" t="s">
        <v>126</v>
      </c>
      <c r="F2328" s="77" t="s">
        <v>73</v>
      </c>
      <c r="G2328" s="77" t="s">
        <v>74</v>
      </c>
      <c r="H2328" s="77" t="s">
        <v>127</v>
      </c>
      <c r="I2328" s="77" t="s">
        <v>84</v>
      </c>
      <c r="J2328" s="76">
        <v>4.3855511603587784E-2</v>
      </c>
    </row>
    <row r="2329" spans="1:10" x14ac:dyDescent="0.35">
      <c r="A2329" t="s">
        <v>14</v>
      </c>
      <c r="B2329" t="s">
        <v>31</v>
      </c>
      <c r="C2329" s="77" t="s">
        <v>93</v>
      </c>
      <c r="D2329" t="s">
        <v>81</v>
      </c>
      <c r="E2329" s="77" t="s">
        <v>101</v>
      </c>
      <c r="F2329" s="77" t="s">
        <v>73</v>
      </c>
      <c r="G2329" s="77" t="s">
        <v>74</v>
      </c>
      <c r="H2329" s="77" t="s">
        <v>127</v>
      </c>
      <c r="I2329" s="77" t="s">
        <v>84</v>
      </c>
      <c r="J2329" s="76">
        <v>0</v>
      </c>
    </row>
    <row r="2330" spans="1:10" x14ac:dyDescent="0.35">
      <c r="A2330" t="s">
        <v>14</v>
      </c>
      <c r="B2330" t="s">
        <v>31</v>
      </c>
      <c r="C2330" s="77" t="s">
        <v>93</v>
      </c>
      <c r="D2330" t="s">
        <v>81</v>
      </c>
      <c r="E2330" s="77" t="s">
        <v>104</v>
      </c>
      <c r="F2330" s="77" t="s">
        <v>73</v>
      </c>
      <c r="G2330" s="77" t="s">
        <v>74</v>
      </c>
      <c r="H2330" s="77" t="s">
        <v>127</v>
      </c>
      <c r="I2330" s="77" t="s">
        <v>84</v>
      </c>
      <c r="J2330" s="76">
        <v>0</v>
      </c>
    </row>
    <row r="2331" spans="1:10" x14ac:dyDescent="0.35">
      <c r="A2331" t="s">
        <v>14</v>
      </c>
      <c r="B2331" t="s">
        <v>31</v>
      </c>
      <c r="C2331" s="77" t="s">
        <v>93</v>
      </c>
      <c r="D2331" t="s">
        <v>81</v>
      </c>
      <c r="E2331" s="77" t="s">
        <v>106</v>
      </c>
      <c r="F2331" s="77" t="s">
        <v>73</v>
      </c>
      <c r="G2331" s="77" t="s">
        <v>74</v>
      </c>
      <c r="H2331" s="77" t="s">
        <v>127</v>
      </c>
      <c r="I2331" s="77" t="s">
        <v>84</v>
      </c>
      <c r="J2331" s="76">
        <v>0</v>
      </c>
    </row>
    <row r="2332" spans="1:10" x14ac:dyDescent="0.35">
      <c r="A2332" t="s">
        <v>14</v>
      </c>
      <c r="B2332" t="s">
        <v>31</v>
      </c>
      <c r="C2332" s="77" t="s">
        <v>73</v>
      </c>
      <c r="D2332" t="s">
        <v>81</v>
      </c>
      <c r="E2332" s="77" t="s">
        <v>82</v>
      </c>
      <c r="F2332" s="77" t="s">
        <v>73</v>
      </c>
      <c r="G2332" s="77" t="s">
        <v>74</v>
      </c>
      <c r="H2332" s="77" t="s">
        <v>128</v>
      </c>
      <c r="I2332" s="77" t="s">
        <v>84</v>
      </c>
      <c r="J2332" s="467" cm="1">
        <f t="array" ref="J2332:J2355">Sensitivity!J42:J65</f>
        <v>4.1745598096881081E-2</v>
      </c>
    </row>
    <row r="2333" spans="1:10" x14ac:dyDescent="0.35">
      <c r="A2333" t="s">
        <v>14</v>
      </c>
      <c r="B2333" t="s">
        <v>31</v>
      </c>
      <c r="C2333" s="77" t="s">
        <v>73</v>
      </c>
      <c r="D2333" t="s">
        <v>81</v>
      </c>
      <c r="E2333" s="77" t="s">
        <v>86</v>
      </c>
      <c r="F2333" s="77" t="s">
        <v>73</v>
      </c>
      <c r="G2333" s="77" t="s">
        <v>74</v>
      </c>
      <c r="H2333" s="77" t="s">
        <v>128</v>
      </c>
      <c r="I2333" s="77" t="s">
        <v>84</v>
      </c>
      <c r="J2333" s="467">
        <v>1.8928725973451437E-3</v>
      </c>
    </row>
    <row r="2334" spans="1:10" x14ac:dyDescent="0.35">
      <c r="A2334" t="s">
        <v>14</v>
      </c>
      <c r="B2334" t="s">
        <v>31</v>
      </c>
      <c r="C2334" s="77" t="s">
        <v>88</v>
      </c>
      <c r="D2334" t="s">
        <v>81</v>
      </c>
      <c r="E2334" s="77" t="s">
        <v>82</v>
      </c>
      <c r="F2334" s="77" t="s">
        <v>73</v>
      </c>
      <c r="G2334" s="77" t="s">
        <v>74</v>
      </c>
      <c r="H2334" s="77" t="s">
        <v>128</v>
      </c>
      <c r="I2334" s="77" t="s">
        <v>84</v>
      </c>
      <c r="J2334" s="467">
        <v>2.6279577842549875E-2</v>
      </c>
    </row>
    <row r="2335" spans="1:10" x14ac:dyDescent="0.35">
      <c r="A2335" t="s">
        <v>14</v>
      </c>
      <c r="B2335" t="s">
        <v>31</v>
      </c>
      <c r="C2335" s="77" t="s">
        <v>88</v>
      </c>
      <c r="D2335" t="s">
        <v>81</v>
      </c>
      <c r="E2335" s="77" t="s">
        <v>86</v>
      </c>
      <c r="F2335" s="77" t="s">
        <v>73</v>
      </c>
      <c r="G2335" s="77" t="s">
        <v>74</v>
      </c>
      <c r="H2335" s="77" t="s">
        <v>128</v>
      </c>
      <c r="I2335" s="77" t="s">
        <v>84</v>
      </c>
      <c r="J2335" s="467">
        <v>4.2873313285756449E-2</v>
      </c>
    </row>
    <row r="2336" spans="1:10" x14ac:dyDescent="0.35">
      <c r="A2336" t="s">
        <v>14</v>
      </c>
      <c r="B2336" t="s">
        <v>31</v>
      </c>
      <c r="C2336" s="77" t="s">
        <v>90</v>
      </c>
      <c r="D2336" t="s">
        <v>81</v>
      </c>
      <c r="E2336" s="77" t="s">
        <v>82</v>
      </c>
      <c r="F2336" s="77" t="s">
        <v>73</v>
      </c>
      <c r="G2336" s="77" t="s">
        <v>74</v>
      </c>
      <c r="H2336" s="77" t="s">
        <v>128</v>
      </c>
      <c r="I2336" s="77" t="s">
        <v>84</v>
      </c>
      <c r="J2336" s="467">
        <v>6.3224022592840835E-6</v>
      </c>
    </row>
    <row r="2337" spans="1:10" x14ac:dyDescent="0.35">
      <c r="A2337" t="s">
        <v>14</v>
      </c>
      <c r="B2337" t="s">
        <v>31</v>
      </c>
      <c r="C2337" s="77" t="s">
        <v>90</v>
      </c>
      <c r="D2337" t="s">
        <v>81</v>
      </c>
      <c r="E2337" s="77" t="s">
        <v>86</v>
      </c>
      <c r="F2337" s="77" t="s">
        <v>73</v>
      </c>
      <c r="G2337" s="77" t="s">
        <v>74</v>
      </c>
      <c r="H2337" s="77" t="s">
        <v>128</v>
      </c>
      <c r="I2337" s="77" t="s">
        <v>84</v>
      </c>
      <c r="J2337" s="467">
        <v>5.6116726957544357E-3</v>
      </c>
    </row>
    <row r="2338" spans="1:10" x14ac:dyDescent="0.35">
      <c r="A2338" t="s">
        <v>14</v>
      </c>
      <c r="B2338" t="s">
        <v>31</v>
      </c>
      <c r="C2338" s="77" t="s">
        <v>91</v>
      </c>
      <c r="D2338" t="s">
        <v>81</v>
      </c>
      <c r="E2338" s="77" t="s">
        <v>82</v>
      </c>
      <c r="F2338" s="77" t="s">
        <v>73</v>
      </c>
      <c r="G2338" s="77" t="s">
        <v>74</v>
      </c>
      <c r="H2338" s="77" t="s">
        <v>128</v>
      </c>
      <c r="I2338" s="77" t="s">
        <v>84</v>
      </c>
      <c r="J2338" s="467">
        <v>1.230167843126702E-3</v>
      </c>
    </row>
    <row r="2339" spans="1:10" x14ac:dyDescent="0.35">
      <c r="A2339" t="s">
        <v>14</v>
      </c>
      <c r="B2339" t="s">
        <v>31</v>
      </c>
      <c r="C2339" s="77" t="s">
        <v>91</v>
      </c>
      <c r="D2339" t="s">
        <v>81</v>
      </c>
      <c r="E2339" s="77" t="s">
        <v>86</v>
      </c>
      <c r="F2339" s="77" t="s">
        <v>73</v>
      </c>
      <c r="G2339" s="77" t="s">
        <v>74</v>
      </c>
      <c r="H2339" s="77" t="s">
        <v>128</v>
      </c>
      <c r="I2339" s="77" t="s">
        <v>84</v>
      </c>
      <c r="J2339" s="467">
        <v>6.9823735421078153E-3</v>
      </c>
    </row>
    <row r="2340" spans="1:10" x14ac:dyDescent="0.35">
      <c r="A2340" t="s">
        <v>14</v>
      </c>
      <c r="B2340" t="s">
        <v>31</v>
      </c>
      <c r="C2340" s="77" t="s">
        <v>92</v>
      </c>
      <c r="D2340" t="s">
        <v>81</v>
      </c>
      <c r="E2340" s="77" t="s">
        <v>82</v>
      </c>
      <c r="F2340" s="77" t="s">
        <v>73</v>
      </c>
      <c r="G2340" s="77" t="s">
        <v>74</v>
      </c>
      <c r="H2340" s="77" t="s">
        <v>128</v>
      </c>
      <c r="I2340" s="77" t="s">
        <v>84</v>
      </c>
      <c r="J2340" s="467">
        <v>1.7077210460603577E-3</v>
      </c>
    </row>
    <row r="2341" spans="1:10" x14ac:dyDescent="0.35">
      <c r="A2341" t="s">
        <v>14</v>
      </c>
      <c r="B2341" t="s">
        <v>31</v>
      </c>
      <c r="C2341" s="77" t="s">
        <v>92</v>
      </c>
      <c r="D2341" t="s">
        <v>81</v>
      </c>
      <c r="E2341" s="77" t="s">
        <v>86</v>
      </c>
      <c r="F2341" s="77" t="s">
        <v>73</v>
      </c>
      <c r="G2341" s="77" t="s">
        <v>74</v>
      </c>
      <c r="H2341" s="77" t="s">
        <v>128</v>
      </c>
      <c r="I2341" s="77" t="s">
        <v>84</v>
      </c>
      <c r="J2341" s="467">
        <v>4.3480840034506481E-3</v>
      </c>
    </row>
    <row r="2342" spans="1:10" x14ac:dyDescent="0.35">
      <c r="A2342" t="s">
        <v>14</v>
      </c>
      <c r="B2342" t="s">
        <v>31</v>
      </c>
      <c r="C2342" s="77" t="s">
        <v>93</v>
      </c>
      <c r="D2342" t="s">
        <v>81</v>
      </c>
      <c r="E2342" s="77" t="s">
        <v>82</v>
      </c>
      <c r="F2342" s="77" t="s">
        <v>73</v>
      </c>
      <c r="G2342" s="77" t="s">
        <v>74</v>
      </c>
      <c r="H2342" s="77" t="s">
        <v>128</v>
      </c>
      <c r="I2342" s="77" t="s">
        <v>84</v>
      </c>
      <c r="J2342" s="467">
        <v>7.0782764884202284E-3</v>
      </c>
    </row>
    <row r="2343" spans="1:10" x14ac:dyDescent="0.35">
      <c r="A2343" t="s">
        <v>14</v>
      </c>
      <c r="B2343" t="s">
        <v>31</v>
      </c>
      <c r="C2343" s="77" t="s">
        <v>93</v>
      </c>
      <c r="D2343" t="s">
        <v>81</v>
      </c>
      <c r="E2343" s="77" t="s">
        <v>86</v>
      </c>
      <c r="F2343" s="77" t="s">
        <v>73</v>
      </c>
      <c r="G2343" s="77" t="s">
        <v>74</v>
      </c>
      <c r="H2343" s="77" t="s">
        <v>128</v>
      </c>
      <c r="I2343" s="77" t="s">
        <v>84</v>
      </c>
      <c r="J2343" s="467">
        <v>1.9445876842222126E-2</v>
      </c>
    </row>
    <row r="2344" spans="1:10" x14ac:dyDescent="0.35">
      <c r="A2344" t="s">
        <v>14</v>
      </c>
      <c r="B2344" t="s">
        <v>31</v>
      </c>
      <c r="C2344" s="77" t="s">
        <v>73</v>
      </c>
      <c r="D2344" t="s">
        <v>81</v>
      </c>
      <c r="E2344" s="77" t="s">
        <v>82</v>
      </c>
      <c r="F2344" s="77" t="s">
        <v>73</v>
      </c>
      <c r="G2344" s="77" t="s">
        <v>74</v>
      </c>
      <c r="H2344" s="77" t="s">
        <v>129</v>
      </c>
      <c r="I2344" s="77" t="s">
        <v>84</v>
      </c>
      <c r="J2344" s="467">
        <v>4.1745598096881081E-2</v>
      </c>
    </row>
    <row r="2345" spans="1:10" x14ac:dyDescent="0.35">
      <c r="A2345" t="s">
        <v>14</v>
      </c>
      <c r="B2345" t="s">
        <v>31</v>
      </c>
      <c r="C2345" s="77" t="s">
        <v>73</v>
      </c>
      <c r="D2345" t="s">
        <v>81</v>
      </c>
      <c r="E2345" s="77" t="s">
        <v>86</v>
      </c>
      <c r="F2345" s="77" t="s">
        <v>73</v>
      </c>
      <c r="G2345" s="77" t="s">
        <v>74</v>
      </c>
      <c r="H2345" s="77" t="s">
        <v>129</v>
      </c>
      <c r="I2345" s="77" t="s">
        <v>84</v>
      </c>
      <c r="J2345" s="467">
        <v>1.8928725973451437E-3</v>
      </c>
    </row>
    <row r="2346" spans="1:10" x14ac:dyDescent="0.35">
      <c r="A2346" t="s">
        <v>14</v>
      </c>
      <c r="B2346" t="s">
        <v>31</v>
      </c>
      <c r="C2346" s="77" t="s">
        <v>88</v>
      </c>
      <c r="D2346" t="s">
        <v>81</v>
      </c>
      <c r="E2346" s="77" t="s">
        <v>82</v>
      </c>
      <c r="F2346" s="77" t="s">
        <v>73</v>
      </c>
      <c r="G2346" s="77" t="s">
        <v>74</v>
      </c>
      <c r="H2346" s="77" t="s">
        <v>129</v>
      </c>
      <c r="I2346" s="77" t="s">
        <v>84</v>
      </c>
      <c r="J2346" s="467">
        <v>2.6279577842549875E-2</v>
      </c>
    </row>
    <row r="2347" spans="1:10" x14ac:dyDescent="0.35">
      <c r="A2347" t="s">
        <v>14</v>
      </c>
      <c r="B2347" t="s">
        <v>31</v>
      </c>
      <c r="C2347" s="77" t="s">
        <v>88</v>
      </c>
      <c r="D2347" t="s">
        <v>81</v>
      </c>
      <c r="E2347" s="77" t="s">
        <v>86</v>
      </c>
      <c r="F2347" s="77" t="s">
        <v>73</v>
      </c>
      <c r="G2347" s="77" t="s">
        <v>74</v>
      </c>
      <c r="H2347" s="77" t="s">
        <v>129</v>
      </c>
      <c r="I2347" s="77" t="s">
        <v>84</v>
      </c>
      <c r="J2347" s="467">
        <v>4.2873313285756449E-2</v>
      </c>
    </row>
    <row r="2348" spans="1:10" x14ac:dyDescent="0.35">
      <c r="A2348" t="s">
        <v>14</v>
      </c>
      <c r="B2348" t="s">
        <v>31</v>
      </c>
      <c r="C2348" s="77" t="s">
        <v>90</v>
      </c>
      <c r="D2348" t="s">
        <v>81</v>
      </c>
      <c r="E2348" s="77" t="s">
        <v>82</v>
      </c>
      <c r="F2348" s="77" t="s">
        <v>73</v>
      </c>
      <c r="G2348" s="77" t="s">
        <v>74</v>
      </c>
      <c r="H2348" s="77" t="s">
        <v>129</v>
      </c>
      <c r="I2348" s="77" t="s">
        <v>84</v>
      </c>
      <c r="J2348" s="467">
        <v>6.3224022592840835E-6</v>
      </c>
    </row>
    <row r="2349" spans="1:10" x14ac:dyDescent="0.35">
      <c r="A2349" t="s">
        <v>14</v>
      </c>
      <c r="B2349" t="s">
        <v>31</v>
      </c>
      <c r="C2349" s="77" t="s">
        <v>90</v>
      </c>
      <c r="D2349" t="s">
        <v>81</v>
      </c>
      <c r="E2349" s="77" t="s">
        <v>86</v>
      </c>
      <c r="F2349" s="77" t="s">
        <v>73</v>
      </c>
      <c r="G2349" s="77" t="s">
        <v>74</v>
      </c>
      <c r="H2349" s="77" t="s">
        <v>129</v>
      </c>
      <c r="I2349" s="77" t="s">
        <v>84</v>
      </c>
      <c r="J2349" s="467">
        <v>5.6116726957544357E-3</v>
      </c>
    </row>
    <row r="2350" spans="1:10" x14ac:dyDescent="0.35">
      <c r="A2350" t="s">
        <v>14</v>
      </c>
      <c r="B2350" t="s">
        <v>31</v>
      </c>
      <c r="C2350" s="77" t="s">
        <v>91</v>
      </c>
      <c r="D2350" t="s">
        <v>81</v>
      </c>
      <c r="E2350" s="77" t="s">
        <v>82</v>
      </c>
      <c r="F2350" s="77" t="s">
        <v>73</v>
      </c>
      <c r="G2350" s="77" t="s">
        <v>74</v>
      </c>
      <c r="H2350" s="77" t="s">
        <v>129</v>
      </c>
      <c r="I2350" s="77" t="s">
        <v>84</v>
      </c>
      <c r="J2350" s="467">
        <v>1.230167843126702E-3</v>
      </c>
    </row>
    <row r="2351" spans="1:10" x14ac:dyDescent="0.35">
      <c r="A2351" t="s">
        <v>14</v>
      </c>
      <c r="B2351" t="s">
        <v>31</v>
      </c>
      <c r="C2351" s="77" t="s">
        <v>91</v>
      </c>
      <c r="D2351" t="s">
        <v>81</v>
      </c>
      <c r="E2351" s="77" t="s">
        <v>86</v>
      </c>
      <c r="F2351" s="77" t="s">
        <v>73</v>
      </c>
      <c r="G2351" s="77" t="s">
        <v>74</v>
      </c>
      <c r="H2351" s="77" t="s">
        <v>129</v>
      </c>
      <c r="I2351" s="77" t="s">
        <v>84</v>
      </c>
      <c r="J2351" s="467">
        <v>6.9823735421078153E-3</v>
      </c>
    </row>
    <row r="2352" spans="1:10" x14ac:dyDescent="0.35">
      <c r="A2352" t="s">
        <v>14</v>
      </c>
      <c r="B2352" t="s">
        <v>31</v>
      </c>
      <c r="C2352" s="77" t="s">
        <v>92</v>
      </c>
      <c r="D2352" t="s">
        <v>81</v>
      </c>
      <c r="E2352" s="77" t="s">
        <v>82</v>
      </c>
      <c r="F2352" s="77" t="s">
        <v>73</v>
      </c>
      <c r="G2352" s="77" t="s">
        <v>74</v>
      </c>
      <c r="H2352" s="77" t="s">
        <v>129</v>
      </c>
      <c r="I2352" s="77" t="s">
        <v>84</v>
      </c>
      <c r="J2352" s="467">
        <v>1.7077210460603577E-3</v>
      </c>
    </row>
    <row r="2353" spans="1:10" x14ac:dyDescent="0.35">
      <c r="A2353" t="s">
        <v>14</v>
      </c>
      <c r="B2353" t="s">
        <v>31</v>
      </c>
      <c r="C2353" s="77" t="s">
        <v>92</v>
      </c>
      <c r="D2353" t="s">
        <v>81</v>
      </c>
      <c r="E2353" s="77" t="s">
        <v>86</v>
      </c>
      <c r="F2353" s="77" t="s">
        <v>73</v>
      </c>
      <c r="G2353" s="77" t="s">
        <v>74</v>
      </c>
      <c r="H2353" s="77" t="s">
        <v>129</v>
      </c>
      <c r="I2353" s="77" t="s">
        <v>84</v>
      </c>
      <c r="J2353" s="467">
        <v>4.3480840034506481E-3</v>
      </c>
    </row>
    <row r="2354" spans="1:10" x14ac:dyDescent="0.35">
      <c r="A2354" t="s">
        <v>14</v>
      </c>
      <c r="B2354" t="s">
        <v>31</v>
      </c>
      <c r="C2354" s="77" t="s">
        <v>93</v>
      </c>
      <c r="D2354" t="s">
        <v>81</v>
      </c>
      <c r="E2354" s="77" t="s">
        <v>82</v>
      </c>
      <c r="F2354" s="77" t="s">
        <v>73</v>
      </c>
      <c r="G2354" s="77" t="s">
        <v>74</v>
      </c>
      <c r="H2354" s="77" t="s">
        <v>129</v>
      </c>
      <c r="I2354" s="77" t="s">
        <v>84</v>
      </c>
      <c r="J2354" s="467">
        <v>7.0782764884202284E-3</v>
      </c>
    </row>
    <row r="2355" spans="1:10" x14ac:dyDescent="0.35">
      <c r="A2355" t="s">
        <v>14</v>
      </c>
      <c r="B2355" t="s">
        <v>31</v>
      </c>
      <c r="C2355" s="77" t="s">
        <v>93</v>
      </c>
      <c r="D2355" t="s">
        <v>81</v>
      </c>
      <c r="E2355" s="77" t="s">
        <v>86</v>
      </c>
      <c r="F2355" s="77" t="s">
        <v>73</v>
      </c>
      <c r="G2355" s="77" t="s">
        <v>74</v>
      </c>
      <c r="H2355" s="77" t="s">
        <v>129</v>
      </c>
      <c r="I2355" s="77" t="s">
        <v>84</v>
      </c>
      <c r="J2355" s="467">
        <v>1.9445876842222126E-2</v>
      </c>
    </row>
    <row r="2356" spans="1:10" x14ac:dyDescent="0.35">
      <c r="A2356" t="s">
        <v>14</v>
      </c>
      <c r="B2356" t="s">
        <v>31</v>
      </c>
      <c r="C2356" s="77" t="s">
        <v>73</v>
      </c>
      <c r="D2356" t="s">
        <v>81</v>
      </c>
      <c r="E2356" s="77" t="s">
        <v>82</v>
      </c>
      <c r="F2356" s="77" t="s">
        <v>73</v>
      </c>
      <c r="G2356" s="77" t="s">
        <v>74</v>
      </c>
      <c r="H2356" s="77" t="s">
        <v>130</v>
      </c>
      <c r="I2356" s="77" t="s">
        <v>84</v>
      </c>
      <c r="J2356" s="76">
        <f>'SUT_EU27 total'!$Q$28</f>
        <v>7.0611384178638645E-2</v>
      </c>
    </row>
    <row r="2357" spans="1:10" x14ac:dyDescent="0.35">
      <c r="A2357" t="s">
        <v>14</v>
      </c>
      <c r="B2357" t="s">
        <v>31</v>
      </c>
      <c r="C2357" s="77" t="s">
        <v>88</v>
      </c>
      <c r="D2357" t="s">
        <v>81</v>
      </c>
      <c r="E2357" s="77" t="s">
        <v>82</v>
      </c>
      <c r="F2357" s="77" t="s">
        <v>73</v>
      </c>
      <c r="G2357" s="77" t="s">
        <v>74</v>
      </c>
      <c r="H2357" s="77" t="s">
        <v>130</v>
      </c>
      <c r="I2357" s="77" t="s">
        <v>84</v>
      </c>
      <c r="J2357" s="76">
        <f>'SUT_EU27 total'!$Q$45</f>
        <v>4.4451090694311274E-2</v>
      </c>
    </row>
    <row r="2358" spans="1:10" x14ac:dyDescent="0.35">
      <c r="A2358" t="s">
        <v>14</v>
      </c>
      <c r="B2358" t="s">
        <v>31</v>
      </c>
      <c r="C2358" s="77" t="s">
        <v>90</v>
      </c>
      <c r="D2358" t="s">
        <v>81</v>
      </c>
      <c r="E2358" s="77" t="s">
        <v>82</v>
      </c>
      <c r="F2358" s="77" t="s">
        <v>73</v>
      </c>
      <c r="G2358" s="77" t="s">
        <v>74</v>
      </c>
      <c r="H2358" s="77" t="s">
        <v>130</v>
      </c>
      <c r="I2358" s="77" t="s">
        <v>84</v>
      </c>
      <c r="J2358" s="76">
        <f>'SUT_EU27 total'!$Q$62</f>
        <v>1.0694147292515508E-5</v>
      </c>
    </row>
    <row r="2359" spans="1:10" x14ac:dyDescent="0.35">
      <c r="A2359" t="s">
        <v>14</v>
      </c>
      <c r="B2359" t="s">
        <v>31</v>
      </c>
      <c r="C2359" s="77" t="s">
        <v>91</v>
      </c>
      <c r="D2359" t="s">
        <v>81</v>
      </c>
      <c r="E2359" s="77" t="s">
        <v>82</v>
      </c>
      <c r="F2359" s="77" t="s">
        <v>73</v>
      </c>
      <c r="G2359" s="77" t="s">
        <v>74</v>
      </c>
      <c r="H2359" s="77" t="s">
        <v>130</v>
      </c>
      <c r="I2359" s="77" t="s">
        <v>84</v>
      </c>
      <c r="J2359" s="76">
        <f>'SUT_EU27 total'!$Q$79</f>
        <v>2.0807907452574416E-3</v>
      </c>
    </row>
    <row r="2360" spans="1:10" x14ac:dyDescent="0.35">
      <c r="A2360" t="s">
        <v>14</v>
      </c>
      <c r="B2360" t="s">
        <v>31</v>
      </c>
      <c r="C2360" s="77" t="s">
        <v>92</v>
      </c>
      <c r="D2360" t="s">
        <v>81</v>
      </c>
      <c r="E2360" s="77" t="s">
        <v>82</v>
      </c>
      <c r="F2360" s="77" t="s">
        <v>73</v>
      </c>
      <c r="G2360" s="77" t="s">
        <v>74</v>
      </c>
      <c r="H2360" s="77" t="s">
        <v>130</v>
      </c>
      <c r="I2360" s="77" t="s">
        <v>84</v>
      </c>
      <c r="J2360" s="76">
        <f>'SUT_EU27 total'!$Q$96</f>
        <v>2.8885571737041122E-3</v>
      </c>
    </row>
    <row r="2361" spans="1:10" x14ac:dyDescent="0.35">
      <c r="A2361" t="s">
        <v>14</v>
      </c>
      <c r="B2361" t="s">
        <v>31</v>
      </c>
      <c r="C2361" s="77" t="s">
        <v>93</v>
      </c>
      <c r="D2361" t="s">
        <v>81</v>
      </c>
      <c r="E2361" s="77" t="s">
        <v>82</v>
      </c>
      <c r="F2361" s="77" t="s">
        <v>73</v>
      </c>
      <c r="G2361" s="77" t="s">
        <v>74</v>
      </c>
      <c r="H2361" s="77" t="s">
        <v>130</v>
      </c>
      <c r="I2361" s="77" t="s">
        <v>84</v>
      </c>
      <c r="J2361" s="76">
        <f>'SUT_EU27 total'!$Q$113</f>
        <v>1.1972685102906883E-2</v>
      </c>
    </row>
    <row r="2362" spans="1:10" x14ac:dyDescent="0.35">
      <c r="A2362" t="s">
        <v>14</v>
      </c>
      <c r="B2362" t="s">
        <v>31</v>
      </c>
      <c r="C2362" s="77" t="s">
        <v>73</v>
      </c>
      <c r="D2362" t="s">
        <v>81</v>
      </c>
      <c r="E2362" s="77" t="s">
        <v>131</v>
      </c>
      <c r="F2362" s="77" t="s">
        <v>73</v>
      </c>
      <c r="G2362" s="77" t="s">
        <v>74</v>
      </c>
      <c r="H2362" s="77" t="s">
        <v>112</v>
      </c>
      <c r="I2362" s="77" t="s">
        <v>84</v>
      </c>
      <c r="J2362" s="76">
        <f>'SUT_EU27 total'!$R$24</f>
        <v>4.0146105919003111E-8</v>
      </c>
    </row>
    <row r="2363" spans="1:10" x14ac:dyDescent="0.35">
      <c r="A2363" t="s">
        <v>14</v>
      </c>
      <c r="B2363" t="s">
        <v>31</v>
      </c>
      <c r="C2363" s="77" t="s">
        <v>73</v>
      </c>
      <c r="D2363" t="s">
        <v>81</v>
      </c>
      <c r="E2363" s="77" t="s">
        <v>122</v>
      </c>
      <c r="F2363" s="77" t="s">
        <v>73</v>
      </c>
      <c r="G2363" s="77" t="s">
        <v>74</v>
      </c>
      <c r="H2363" s="77" t="s">
        <v>112</v>
      </c>
      <c r="I2363" s="77" t="s">
        <v>84</v>
      </c>
      <c r="J2363" s="76">
        <f>'SUT_EU27 total'!$R$30</f>
        <v>3.9708116569218732E-4</v>
      </c>
    </row>
    <row r="2364" spans="1:10" x14ac:dyDescent="0.35">
      <c r="A2364" t="s">
        <v>14</v>
      </c>
      <c r="B2364" t="s">
        <v>31</v>
      </c>
      <c r="C2364" s="77" t="s">
        <v>73</v>
      </c>
      <c r="D2364" t="s">
        <v>81</v>
      </c>
      <c r="E2364" s="77" t="s">
        <v>101</v>
      </c>
      <c r="F2364" s="77" t="s">
        <v>73</v>
      </c>
      <c r="G2364" s="77" t="s">
        <v>74</v>
      </c>
      <c r="H2364" s="77" t="s">
        <v>112</v>
      </c>
      <c r="I2364" s="77" t="s">
        <v>84</v>
      </c>
      <c r="J2364" s="76" cm="1">
        <f t="array" ref="J2364:J2366">'SUT_EU27 total'!$R$32:$R$34</f>
        <v>1.2183459827918709E-7</v>
      </c>
    </row>
    <row r="2365" spans="1:10" x14ac:dyDescent="0.35">
      <c r="A2365" t="s">
        <v>14</v>
      </c>
      <c r="B2365" t="s">
        <v>31</v>
      </c>
      <c r="C2365" s="77" t="s">
        <v>73</v>
      </c>
      <c r="D2365" t="s">
        <v>81</v>
      </c>
      <c r="E2365" s="77" t="s">
        <v>104</v>
      </c>
      <c r="F2365" s="77" t="s">
        <v>73</v>
      </c>
      <c r="G2365" s="77" t="s">
        <v>74</v>
      </c>
      <c r="H2365" s="77" t="s">
        <v>112</v>
      </c>
      <c r="I2365" s="77" t="s">
        <v>84</v>
      </c>
      <c r="J2365" s="76">
        <v>2.3068290654205609E-7</v>
      </c>
    </row>
    <row r="2366" spans="1:10" x14ac:dyDescent="0.35">
      <c r="A2366" t="s">
        <v>14</v>
      </c>
      <c r="B2366" t="s">
        <v>31</v>
      </c>
      <c r="C2366" s="77" t="s">
        <v>73</v>
      </c>
      <c r="D2366" t="s">
        <v>81</v>
      </c>
      <c r="E2366" s="77" t="s">
        <v>106</v>
      </c>
      <c r="F2366" s="77" t="s">
        <v>73</v>
      </c>
      <c r="G2366" s="77" t="s">
        <v>74</v>
      </c>
      <c r="H2366" s="77" t="s">
        <v>112</v>
      </c>
      <c r="I2366" s="77" t="s">
        <v>84</v>
      </c>
      <c r="J2366" s="76">
        <v>7.8463573653760568E-7</v>
      </c>
    </row>
    <row r="2367" spans="1:10" x14ac:dyDescent="0.35">
      <c r="A2367" t="s">
        <v>14</v>
      </c>
      <c r="B2367" t="s">
        <v>31</v>
      </c>
      <c r="C2367" s="77" t="s">
        <v>88</v>
      </c>
      <c r="D2367" t="s">
        <v>81</v>
      </c>
      <c r="E2367" s="77" t="s">
        <v>131</v>
      </c>
      <c r="F2367" s="77" t="s">
        <v>73</v>
      </c>
      <c r="G2367" s="77" t="s">
        <v>74</v>
      </c>
      <c r="H2367" s="77" t="s">
        <v>112</v>
      </c>
      <c r="I2367" s="77" t="s">
        <v>84</v>
      </c>
      <c r="J2367" s="76">
        <f>'SUT_EU27 total'!$R$41</f>
        <v>0</v>
      </c>
    </row>
    <row r="2368" spans="1:10" x14ac:dyDescent="0.35">
      <c r="A2368" t="s">
        <v>14</v>
      </c>
      <c r="B2368" t="s">
        <v>31</v>
      </c>
      <c r="C2368" s="77" t="s">
        <v>88</v>
      </c>
      <c r="D2368" t="s">
        <v>81</v>
      </c>
      <c r="E2368" s="77" t="s">
        <v>122</v>
      </c>
      <c r="F2368" s="77" t="s">
        <v>73</v>
      </c>
      <c r="G2368" s="77" t="s">
        <v>74</v>
      </c>
      <c r="H2368" s="77" t="s">
        <v>112</v>
      </c>
      <c r="I2368" s="77" t="s">
        <v>84</v>
      </c>
      <c r="J2368" s="76">
        <f>'SUT_EU27 total'!$R$47</f>
        <v>0</v>
      </c>
    </row>
    <row r="2369" spans="1:10" x14ac:dyDescent="0.35">
      <c r="A2369" t="s">
        <v>14</v>
      </c>
      <c r="B2369" t="s">
        <v>31</v>
      </c>
      <c r="C2369" s="77" t="s">
        <v>88</v>
      </c>
      <c r="D2369" t="s">
        <v>81</v>
      </c>
      <c r="E2369" s="77" t="s">
        <v>101</v>
      </c>
      <c r="F2369" s="77" t="s">
        <v>73</v>
      </c>
      <c r="G2369" s="77" t="s">
        <v>74</v>
      </c>
      <c r="H2369" s="77" t="s">
        <v>112</v>
      </c>
      <c r="I2369" s="77" t="s">
        <v>84</v>
      </c>
      <c r="J2369" s="76" cm="1">
        <f t="array" ref="J2369:J2371">'SUT_EU27 total'!$R$49:$R$51</f>
        <v>0</v>
      </c>
    </row>
    <row r="2370" spans="1:10" x14ac:dyDescent="0.35">
      <c r="A2370" t="s">
        <v>14</v>
      </c>
      <c r="B2370" t="s">
        <v>31</v>
      </c>
      <c r="C2370" s="77" t="s">
        <v>88</v>
      </c>
      <c r="D2370" t="s">
        <v>81</v>
      </c>
      <c r="E2370" s="77" t="s">
        <v>104</v>
      </c>
      <c r="F2370" s="77" t="s">
        <v>73</v>
      </c>
      <c r="G2370" s="77" t="s">
        <v>74</v>
      </c>
      <c r="H2370" s="77" t="s">
        <v>112</v>
      </c>
      <c r="I2370" s="77" t="s">
        <v>84</v>
      </c>
      <c r="J2370" s="76">
        <v>0</v>
      </c>
    </row>
    <row r="2371" spans="1:10" x14ac:dyDescent="0.35">
      <c r="A2371" t="s">
        <v>14</v>
      </c>
      <c r="B2371" t="s">
        <v>31</v>
      </c>
      <c r="C2371" s="77" t="s">
        <v>88</v>
      </c>
      <c r="D2371" t="s">
        <v>81</v>
      </c>
      <c r="E2371" s="77" t="s">
        <v>106</v>
      </c>
      <c r="F2371" s="77" t="s">
        <v>73</v>
      </c>
      <c r="G2371" s="77" t="s">
        <v>74</v>
      </c>
      <c r="H2371" s="77" t="s">
        <v>112</v>
      </c>
      <c r="I2371" s="77" t="s">
        <v>84</v>
      </c>
      <c r="J2371" s="76">
        <v>0</v>
      </c>
    </row>
    <row r="2372" spans="1:10" x14ac:dyDescent="0.35">
      <c r="A2372" t="s">
        <v>14</v>
      </c>
      <c r="B2372" t="s">
        <v>31</v>
      </c>
      <c r="C2372" s="77" t="s">
        <v>90</v>
      </c>
      <c r="D2372" t="s">
        <v>81</v>
      </c>
      <c r="E2372" s="77" t="s">
        <v>131</v>
      </c>
      <c r="F2372" s="77" t="s">
        <v>73</v>
      </c>
      <c r="G2372" s="77" t="s">
        <v>74</v>
      </c>
      <c r="H2372" s="77" t="s">
        <v>112</v>
      </c>
      <c r="I2372" s="77" t="s">
        <v>84</v>
      </c>
      <c r="J2372" s="76">
        <f>'SUT_EU27 total'!$R$58</f>
        <v>0</v>
      </c>
    </row>
    <row r="2373" spans="1:10" x14ac:dyDescent="0.35">
      <c r="A2373" t="s">
        <v>14</v>
      </c>
      <c r="B2373" t="s">
        <v>31</v>
      </c>
      <c r="C2373" s="77" t="s">
        <v>90</v>
      </c>
      <c r="D2373" t="s">
        <v>81</v>
      </c>
      <c r="E2373" s="77" t="s">
        <v>122</v>
      </c>
      <c r="F2373" s="77" t="s">
        <v>73</v>
      </c>
      <c r="G2373" s="77" t="s">
        <v>74</v>
      </c>
      <c r="H2373" s="77" t="s">
        <v>112</v>
      </c>
      <c r="I2373" s="77" t="s">
        <v>84</v>
      </c>
      <c r="J2373" s="76">
        <f>'SUT_EU27 total'!$R$64</f>
        <v>6.4108466461028498E-4</v>
      </c>
    </row>
    <row r="2374" spans="1:10" x14ac:dyDescent="0.35">
      <c r="A2374" t="s">
        <v>14</v>
      </c>
      <c r="B2374" t="s">
        <v>31</v>
      </c>
      <c r="C2374" s="77" t="s">
        <v>90</v>
      </c>
      <c r="D2374" t="s">
        <v>81</v>
      </c>
      <c r="E2374" s="77" t="s">
        <v>101</v>
      </c>
      <c r="F2374" s="77" t="s">
        <v>73</v>
      </c>
      <c r="G2374" s="77" t="s">
        <v>74</v>
      </c>
      <c r="H2374" s="77" t="s">
        <v>112</v>
      </c>
      <c r="I2374" s="77" t="s">
        <v>84</v>
      </c>
      <c r="J2374" s="76" cm="1">
        <f t="array" ref="J2374:J2376">'SUT_EU27 total'!$R$66:$R$68</f>
        <v>0</v>
      </c>
    </row>
    <row r="2375" spans="1:10" x14ac:dyDescent="0.35">
      <c r="A2375" t="s">
        <v>14</v>
      </c>
      <c r="B2375" t="s">
        <v>31</v>
      </c>
      <c r="C2375" s="77" t="s">
        <v>90</v>
      </c>
      <c r="D2375" t="s">
        <v>81</v>
      </c>
      <c r="E2375" s="77" t="s">
        <v>104</v>
      </c>
      <c r="F2375" s="77" t="s">
        <v>73</v>
      </c>
      <c r="G2375" s="77" t="s">
        <v>74</v>
      </c>
      <c r="H2375" s="77" t="s">
        <v>112</v>
      </c>
      <c r="I2375" s="77" t="s">
        <v>84</v>
      </c>
      <c r="J2375" s="76">
        <v>0</v>
      </c>
    </row>
    <row r="2376" spans="1:10" x14ac:dyDescent="0.35">
      <c r="A2376" t="s">
        <v>14</v>
      </c>
      <c r="B2376" t="s">
        <v>31</v>
      </c>
      <c r="C2376" s="77" t="s">
        <v>90</v>
      </c>
      <c r="D2376" t="s">
        <v>81</v>
      </c>
      <c r="E2376" s="77" t="s">
        <v>106</v>
      </c>
      <c r="F2376" s="77" t="s">
        <v>73</v>
      </c>
      <c r="G2376" s="77" t="s">
        <v>74</v>
      </c>
      <c r="H2376" s="77" t="s">
        <v>112</v>
      </c>
      <c r="I2376" s="77" t="s">
        <v>84</v>
      </c>
      <c r="J2376" s="76">
        <v>0</v>
      </c>
    </row>
    <row r="2377" spans="1:10" x14ac:dyDescent="0.35">
      <c r="A2377" t="s">
        <v>14</v>
      </c>
      <c r="B2377" t="s">
        <v>31</v>
      </c>
      <c r="C2377" s="77" t="s">
        <v>91</v>
      </c>
      <c r="D2377" t="s">
        <v>81</v>
      </c>
      <c r="E2377" s="77" t="s">
        <v>131</v>
      </c>
      <c r="F2377" s="77" t="s">
        <v>73</v>
      </c>
      <c r="G2377" s="77" t="s">
        <v>74</v>
      </c>
      <c r="H2377" s="77" t="s">
        <v>112</v>
      </c>
      <c r="I2377" s="77" t="s">
        <v>84</v>
      </c>
      <c r="J2377" s="76">
        <f>'SUT_EU27 total'!$R$75</f>
        <v>0</v>
      </c>
    </row>
    <row r="2378" spans="1:10" x14ac:dyDescent="0.35">
      <c r="A2378" t="s">
        <v>14</v>
      </c>
      <c r="B2378" t="s">
        <v>31</v>
      </c>
      <c r="C2378" s="77" t="s">
        <v>91</v>
      </c>
      <c r="D2378" t="s">
        <v>81</v>
      </c>
      <c r="E2378" s="77" t="s">
        <v>122</v>
      </c>
      <c r="F2378" s="77" t="s">
        <v>73</v>
      </c>
      <c r="G2378" s="77" t="s">
        <v>74</v>
      </c>
      <c r="H2378" s="77" t="s">
        <v>112</v>
      </c>
      <c r="I2378" s="77" t="s">
        <v>84</v>
      </c>
      <c r="J2378" s="76">
        <f>'SUT_EU27 total'!$R$81</f>
        <v>0</v>
      </c>
    </row>
    <row r="2379" spans="1:10" x14ac:dyDescent="0.35">
      <c r="A2379" t="s">
        <v>14</v>
      </c>
      <c r="B2379" t="s">
        <v>31</v>
      </c>
      <c r="C2379" s="77" t="s">
        <v>91</v>
      </c>
      <c r="D2379" t="s">
        <v>81</v>
      </c>
      <c r="E2379" s="77" t="s">
        <v>101</v>
      </c>
      <c r="F2379" s="77" t="s">
        <v>73</v>
      </c>
      <c r="G2379" s="77" t="s">
        <v>74</v>
      </c>
      <c r="H2379" s="77" t="s">
        <v>112</v>
      </c>
      <c r="I2379" s="77" t="s">
        <v>84</v>
      </c>
      <c r="J2379" s="76" cm="1">
        <f t="array" ref="J2379:J2381">'SUT_EU27 total'!$R$83:$R$85</f>
        <v>0</v>
      </c>
    </row>
    <row r="2380" spans="1:10" x14ac:dyDescent="0.35">
      <c r="A2380" t="s">
        <v>14</v>
      </c>
      <c r="B2380" t="s">
        <v>31</v>
      </c>
      <c r="C2380" s="77" t="s">
        <v>91</v>
      </c>
      <c r="D2380" t="s">
        <v>81</v>
      </c>
      <c r="E2380" s="77" t="s">
        <v>104</v>
      </c>
      <c r="F2380" s="77" t="s">
        <v>73</v>
      </c>
      <c r="G2380" s="77" t="s">
        <v>74</v>
      </c>
      <c r="H2380" s="77" t="s">
        <v>112</v>
      </c>
      <c r="I2380" s="77" t="s">
        <v>84</v>
      </c>
      <c r="J2380" s="76">
        <v>0</v>
      </c>
    </row>
    <row r="2381" spans="1:10" x14ac:dyDescent="0.35">
      <c r="A2381" t="s">
        <v>14</v>
      </c>
      <c r="B2381" t="s">
        <v>31</v>
      </c>
      <c r="C2381" s="77" t="s">
        <v>91</v>
      </c>
      <c r="D2381" t="s">
        <v>81</v>
      </c>
      <c r="E2381" s="77" t="s">
        <v>106</v>
      </c>
      <c r="F2381" s="77" t="s">
        <v>73</v>
      </c>
      <c r="G2381" s="77" t="s">
        <v>74</v>
      </c>
      <c r="H2381" s="77" t="s">
        <v>112</v>
      </c>
      <c r="I2381" s="77" t="s">
        <v>84</v>
      </c>
      <c r="J2381" s="76">
        <v>0</v>
      </c>
    </row>
    <row r="2382" spans="1:10" x14ac:dyDescent="0.35">
      <c r="A2382" t="s">
        <v>14</v>
      </c>
      <c r="B2382" t="s">
        <v>31</v>
      </c>
      <c r="C2382" s="77" t="s">
        <v>92</v>
      </c>
      <c r="D2382" t="s">
        <v>81</v>
      </c>
      <c r="E2382" s="77" t="s">
        <v>131</v>
      </c>
      <c r="F2382" s="77" t="s">
        <v>73</v>
      </c>
      <c r="G2382" s="77" t="s">
        <v>74</v>
      </c>
      <c r="H2382" s="77" t="s">
        <v>112</v>
      </c>
      <c r="I2382" s="77" t="s">
        <v>84</v>
      </c>
      <c r="J2382" s="76">
        <f>'SUT_EU27 total'!$R$92</f>
        <v>0</v>
      </c>
    </row>
    <row r="2383" spans="1:10" x14ac:dyDescent="0.35">
      <c r="A2383" t="s">
        <v>14</v>
      </c>
      <c r="B2383" t="s">
        <v>31</v>
      </c>
      <c r="C2383" s="77" t="s">
        <v>92</v>
      </c>
      <c r="D2383" t="s">
        <v>81</v>
      </c>
      <c r="E2383" s="77" t="s">
        <v>122</v>
      </c>
      <c r="F2383" s="77" t="s">
        <v>73</v>
      </c>
      <c r="G2383" s="77" t="s">
        <v>74</v>
      </c>
      <c r="H2383" s="77" t="s">
        <v>112</v>
      </c>
      <c r="I2383" s="77" t="s">
        <v>84</v>
      </c>
      <c r="J2383" s="76">
        <f>'SUT_EU27 total'!$R$98</f>
        <v>0</v>
      </c>
    </row>
    <row r="2384" spans="1:10" x14ac:dyDescent="0.35">
      <c r="A2384" t="s">
        <v>14</v>
      </c>
      <c r="B2384" t="s">
        <v>31</v>
      </c>
      <c r="C2384" s="77" t="s">
        <v>92</v>
      </c>
      <c r="D2384" t="s">
        <v>81</v>
      </c>
      <c r="E2384" s="77" t="s">
        <v>101</v>
      </c>
      <c r="F2384" s="77" t="s">
        <v>73</v>
      </c>
      <c r="G2384" s="77" t="s">
        <v>74</v>
      </c>
      <c r="H2384" s="77" t="s">
        <v>112</v>
      </c>
      <c r="I2384" s="77" t="s">
        <v>84</v>
      </c>
      <c r="J2384" s="76" cm="1">
        <f t="array" ref="J2384:J2386">'SUT_EU27 total'!$R$100:$R$102</f>
        <v>0</v>
      </c>
    </row>
    <row r="2385" spans="1:10" x14ac:dyDescent="0.35">
      <c r="A2385" t="s">
        <v>14</v>
      </c>
      <c r="B2385" t="s">
        <v>31</v>
      </c>
      <c r="C2385" s="77" t="s">
        <v>92</v>
      </c>
      <c r="D2385" t="s">
        <v>81</v>
      </c>
      <c r="E2385" s="77" t="s">
        <v>104</v>
      </c>
      <c r="F2385" s="77" t="s">
        <v>73</v>
      </c>
      <c r="G2385" s="77" t="s">
        <v>74</v>
      </c>
      <c r="H2385" s="77" t="s">
        <v>112</v>
      </c>
      <c r="I2385" s="77" t="s">
        <v>84</v>
      </c>
      <c r="J2385" s="76">
        <v>0</v>
      </c>
    </row>
    <row r="2386" spans="1:10" x14ac:dyDescent="0.35">
      <c r="A2386" t="s">
        <v>14</v>
      </c>
      <c r="B2386" t="s">
        <v>31</v>
      </c>
      <c r="C2386" s="77" t="s">
        <v>92</v>
      </c>
      <c r="D2386" t="s">
        <v>81</v>
      </c>
      <c r="E2386" s="77" t="s">
        <v>106</v>
      </c>
      <c r="F2386" s="77" t="s">
        <v>73</v>
      </c>
      <c r="G2386" s="77" t="s">
        <v>74</v>
      </c>
      <c r="H2386" s="77" t="s">
        <v>112</v>
      </c>
      <c r="I2386" s="77" t="s">
        <v>84</v>
      </c>
      <c r="J2386" s="76">
        <v>0</v>
      </c>
    </row>
    <row r="2387" spans="1:10" x14ac:dyDescent="0.35">
      <c r="A2387" t="s">
        <v>14</v>
      </c>
      <c r="B2387" t="s">
        <v>31</v>
      </c>
      <c r="C2387" s="77" t="s">
        <v>93</v>
      </c>
      <c r="D2387" t="s">
        <v>81</v>
      </c>
      <c r="E2387" s="77" t="s">
        <v>131</v>
      </c>
      <c r="F2387" s="77" t="s">
        <v>73</v>
      </c>
      <c r="G2387" s="77" t="s">
        <v>74</v>
      </c>
      <c r="H2387" s="77" t="s">
        <v>112</v>
      </c>
      <c r="I2387" s="77" t="s">
        <v>84</v>
      </c>
      <c r="J2387" s="76">
        <f>'SUT_EU27 total'!$R$109</f>
        <v>0</v>
      </c>
    </row>
    <row r="2388" spans="1:10" x14ac:dyDescent="0.35">
      <c r="A2388" t="s">
        <v>14</v>
      </c>
      <c r="B2388" t="s">
        <v>31</v>
      </c>
      <c r="C2388" s="77" t="s">
        <v>93</v>
      </c>
      <c r="D2388" t="s">
        <v>81</v>
      </c>
      <c r="E2388" s="77" t="s">
        <v>122</v>
      </c>
      <c r="F2388" s="77" t="s">
        <v>73</v>
      </c>
      <c r="G2388" s="77" t="s">
        <v>74</v>
      </c>
      <c r="H2388" s="77" t="s">
        <v>112</v>
      </c>
      <c r="I2388" s="77" t="s">
        <v>84</v>
      </c>
      <c r="J2388" s="76">
        <f>'SUT_EU27 total'!$R$115</f>
        <v>2.188358424259166E-3</v>
      </c>
    </row>
    <row r="2389" spans="1:10" x14ac:dyDescent="0.35">
      <c r="A2389" t="s">
        <v>14</v>
      </c>
      <c r="B2389" t="s">
        <v>31</v>
      </c>
      <c r="C2389" s="77" t="s">
        <v>93</v>
      </c>
      <c r="D2389" t="s">
        <v>81</v>
      </c>
      <c r="E2389" s="77" t="s">
        <v>101</v>
      </c>
      <c r="F2389" s="77" t="s">
        <v>73</v>
      </c>
      <c r="G2389" s="77" t="s">
        <v>74</v>
      </c>
      <c r="H2389" s="77" t="s">
        <v>112</v>
      </c>
      <c r="I2389" s="77" t="s">
        <v>84</v>
      </c>
      <c r="J2389" s="76" cm="1">
        <f t="array" ref="J2389:J2391">'SUT_EU27 total'!$R$117:$R$119</f>
        <v>0</v>
      </c>
    </row>
    <row r="2390" spans="1:10" x14ac:dyDescent="0.35">
      <c r="A2390" t="s">
        <v>14</v>
      </c>
      <c r="B2390" t="s">
        <v>31</v>
      </c>
      <c r="C2390" s="77" t="s">
        <v>93</v>
      </c>
      <c r="D2390" t="s">
        <v>81</v>
      </c>
      <c r="E2390" s="77" t="s">
        <v>104</v>
      </c>
      <c r="F2390" s="77" t="s">
        <v>73</v>
      </c>
      <c r="G2390" s="77" t="s">
        <v>74</v>
      </c>
      <c r="H2390" s="77" t="s">
        <v>112</v>
      </c>
      <c r="I2390" s="77" t="s">
        <v>84</v>
      </c>
      <c r="J2390" s="76">
        <v>0</v>
      </c>
    </row>
    <row r="2391" spans="1:10" x14ac:dyDescent="0.35">
      <c r="A2391" t="s">
        <v>14</v>
      </c>
      <c r="B2391" t="s">
        <v>31</v>
      </c>
      <c r="C2391" s="77" t="s">
        <v>93</v>
      </c>
      <c r="D2391" t="s">
        <v>81</v>
      </c>
      <c r="E2391" s="77" t="s">
        <v>106</v>
      </c>
      <c r="F2391" s="77" t="s">
        <v>73</v>
      </c>
      <c r="G2391" s="77" t="s">
        <v>74</v>
      </c>
      <c r="H2391" s="77" t="s">
        <v>112</v>
      </c>
      <c r="I2391" s="77" t="s">
        <v>84</v>
      </c>
      <c r="J2391" s="76">
        <v>0</v>
      </c>
    </row>
    <row r="2392" spans="1:10" x14ac:dyDescent="0.35">
      <c r="A2392" t="s">
        <v>14</v>
      </c>
      <c r="B2392" t="s">
        <v>31</v>
      </c>
      <c r="C2392" s="77" t="s">
        <v>73</v>
      </c>
      <c r="D2392" t="s">
        <v>81</v>
      </c>
      <c r="E2392" s="77" t="s">
        <v>131</v>
      </c>
      <c r="F2392" s="77" t="s">
        <v>73</v>
      </c>
      <c r="G2392" s="77" t="s">
        <v>74</v>
      </c>
      <c r="H2392" s="77" t="s">
        <v>113</v>
      </c>
      <c r="I2392" s="77" t="s">
        <v>84</v>
      </c>
      <c r="J2392" s="76">
        <f>'SUT_EU27 total'!$S$24</f>
        <v>5.0294789999999994E-8</v>
      </c>
    </row>
    <row r="2393" spans="1:10" x14ac:dyDescent="0.35">
      <c r="A2393" t="s">
        <v>14</v>
      </c>
      <c r="B2393" t="s">
        <v>31</v>
      </c>
      <c r="C2393" s="77" t="s">
        <v>73</v>
      </c>
      <c r="D2393" t="s">
        <v>81</v>
      </c>
      <c r="E2393" s="77" t="s">
        <v>101</v>
      </c>
      <c r="F2393" s="77" t="s">
        <v>73</v>
      </c>
      <c r="G2393" s="77" t="s">
        <v>74</v>
      </c>
      <c r="H2393" s="77" t="s">
        <v>113</v>
      </c>
      <c r="I2393" s="77" t="s">
        <v>84</v>
      </c>
      <c r="J2393" s="76" cm="1">
        <f t="array" ref="J2393:J2395">'SUT_EU27 total'!$S$32:$S$34</f>
        <v>1.7883556705882356E-5</v>
      </c>
    </row>
    <row r="2394" spans="1:10" x14ac:dyDescent="0.35">
      <c r="A2394" t="s">
        <v>14</v>
      </c>
      <c r="B2394" t="s">
        <v>31</v>
      </c>
      <c r="C2394" s="77" t="s">
        <v>73</v>
      </c>
      <c r="D2394" t="s">
        <v>81</v>
      </c>
      <c r="E2394" s="77" t="s">
        <v>104</v>
      </c>
      <c r="F2394" s="77" t="s">
        <v>73</v>
      </c>
      <c r="G2394" s="77" t="s">
        <v>74</v>
      </c>
      <c r="H2394" s="77" t="s">
        <v>113</v>
      </c>
      <c r="I2394" s="77" t="s">
        <v>84</v>
      </c>
      <c r="J2394" s="76">
        <v>3.3860913882352942E-5</v>
      </c>
    </row>
    <row r="2395" spans="1:10" x14ac:dyDescent="0.35">
      <c r="A2395" t="s">
        <v>14</v>
      </c>
      <c r="B2395" t="s">
        <v>31</v>
      </c>
      <c r="C2395" s="77" t="s">
        <v>73</v>
      </c>
      <c r="D2395" t="s">
        <v>81</v>
      </c>
      <c r="E2395" s="77" t="s">
        <v>106</v>
      </c>
      <c r="F2395" s="77" t="s">
        <v>73</v>
      </c>
      <c r="G2395" s="77" t="s">
        <v>74</v>
      </c>
      <c r="H2395" s="77" t="s">
        <v>113</v>
      </c>
      <c r="I2395" s="77" t="s">
        <v>84</v>
      </c>
      <c r="J2395" s="76">
        <v>1.1517317647058823E-4</v>
      </c>
    </row>
    <row r="2396" spans="1:10" x14ac:dyDescent="0.35">
      <c r="A2396" t="s">
        <v>14</v>
      </c>
      <c r="B2396" t="s">
        <v>31</v>
      </c>
      <c r="C2396" s="77" t="s">
        <v>88</v>
      </c>
      <c r="D2396" t="s">
        <v>81</v>
      </c>
      <c r="E2396" s="77" t="s">
        <v>131</v>
      </c>
      <c r="F2396" s="77" t="s">
        <v>73</v>
      </c>
      <c r="G2396" s="77" t="s">
        <v>74</v>
      </c>
      <c r="H2396" s="77" t="s">
        <v>113</v>
      </c>
      <c r="I2396" s="77" t="s">
        <v>84</v>
      </c>
      <c r="J2396" s="76">
        <f>'SUT_EU27 total'!$S$41</f>
        <v>0</v>
      </c>
    </row>
    <row r="2397" spans="1:10" x14ac:dyDescent="0.35">
      <c r="A2397" t="s">
        <v>14</v>
      </c>
      <c r="B2397" t="s">
        <v>31</v>
      </c>
      <c r="C2397" s="77" t="s">
        <v>88</v>
      </c>
      <c r="D2397" t="s">
        <v>81</v>
      </c>
      <c r="E2397" s="77" t="s">
        <v>101</v>
      </c>
      <c r="F2397" s="77" t="s">
        <v>73</v>
      </c>
      <c r="G2397" s="77" t="s">
        <v>74</v>
      </c>
      <c r="H2397" s="77" t="s">
        <v>113</v>
      </c>
      <c r="I2397" s="77" t="s">
        <v>84</v>
      </c>
      <c r="J2397" s="76" cm="1">
        <f t="array" ref="J2397:J2399">'SUT_EU27 total'!$S$49:$S$51</f>
        <v>0</v>
      </c>
    </row>
    <row r="2398" spans="1:10" x14ac:dyDescent="0.35">
      <c r="A2398" t="s">
        <v>14</v>
      </c>
      <c r="B2398" t="s">
        <v>31</v>
      </c>
      <c r="C2398" s="77" t="s">
        <v>88</v>
      </c>
      <c r="D2398" t="s">
        <v>81</v>
      </c>
      <c r="E2398" s="77" t="s">
        <v>104</v>
      </c>
      <c r="F2398" s="77" t="s">
        <v>73</v>
      </c>
      <c r="G2398" s="77" t="s">
        <v>74</v>
      </c>
      <c r="H2398" s="77" t="s">
        <v>113</v>
      </c>
      <c r="I2398" s="77" t="s">
        <v>84</v>
      </c>
      <c r="J2398" s="76">
        <v>0</v>
      </c>
    </row>
    <row r="2399" spans="1:10" x14ac:dyDescent="0.35">
      <c r="A2399" t="s">
        <v>14</v>
      </c>
      <c r="B2399" t="s">
        <v>31</v>
      </c>
      <c r="C2399" s="77" t="s">
        <v>88</v>
      </c>
      <c r="D2399" t="s">
        <v>81</v>
      </c>
      <c r="E2399" s="77" t="s">
        <v>106</v>
      </c>
      <c r="F2399" s="77" t="s">
        <v>73</v>
      </c>
      <c r="G2399" s="77" t="s">
        <v>74</v>
      </c>
      <c r="H2399" s="77" t="s">
        <v>113</v>
      </c>
      <c r="I2399" s="77" t="s">
        <v>84</v>
      </c>
      <c r="J2399" s="76">
        <v>0</v>
      </c>
    </row>
    <row r="2400" spans="1:10" x14ac:dyDescent="0.35">
      <c r="A2400" t="s">
        <v>14</v>
      </c>
      <c r="B2400" t="s">
        <v>31</v>
      </c>
      <c r="C2400" s="77" t="s">
        <v>90</v>
      </c>
      <c r="D2400" t="s">
        <v>81</v>
      </c>
      <c r="E2400" s="77" t="s">
        <v>131</v>
      </c>
      <c r="F2400" s="77" t="s">
        <v>73</v>
      </c>
      <c r="G2400" s="77" t="s">
        <v>74</v>
      </c>
      <c r="H2400" s="77" t="s">
        <v>113</v>
      </c>
      <c r="I2400" s="77" t="s">
        <v>84</v>
      </c>
      <c r="J2400" s="76">
        <f>'SUT_EU27 total'!$S$58</f>
        <v>0</v>
      </c>
    </row>
    <row r="2401" spans="1:10" x14ac:dyDescent="0.35">
      <c r="A2401" t="s">
        <v>14</v>
      </c>
      <c r="B2401" t="s">
        <v>31</v>
      </c>
      <c r="C2401" s="77" t="s">
        <v>90</v>
      </c>
      <c r="D2401" t="s">
        <v>81</v>
      </c>
      <c r="E2401" s="77" t="s">
        <v>101</v>
      </c>
      <c r="F2401" s="77" t="s">
        <v>73</v>
      </c>
      <c r="G2401" s="77" t="s">
        <v>74</v>
      </c>
      <c r="H2401" s="77" t="s">
        <v>113</v>
      </c>
      <c r="I2401" s="77" t="s">
        <v>84</v>
      </c>
      <c r="J2401" s="76" cm="1">
        <f t="array" ref="J2401:J2403">'SUT_EU27 total'!$S$66:$S$68</f>
        <v>0</v>
      </c>
    </row>
    <row r="2402" spans="1:10" x14ac:dyDescent="0.35">
      <c r="A2402" t="s">
        <v>14</v>
      </c>
      <c r="B2402" t="s">
        <v>31</v>
      </c>
      <c r="C2402" s="77" t="s">
        <v>90</v>
      </c>
      <c r="D2402" t="s">
        <v>81</v>
      </c>
      <c r="E2402" s="77" t="s">
        <v>104</v>
      </c>
      <c r="F2402" s="77" t="s">
        <v>73</v>
      </c>
      <c r="G2402" s="77" t="s">
        <v>74</v>
      </c>
      <c r="H2402" s="77" t="s">
        <v>113</v>
      </c>
      <c r="I2402" s="77" t="s">
        <v>84</v>
      </c>
      <c r="J2402" s="76">
        <v>0</v>
      </c>
    </row>
    <row r="2403" spans="1:10" x14ac:dyDescent="0.35">
      <c r="A2403" t="s">
        <v>14</v>
      </c>
      <c r="B2403" t="s">
        <v>31</v>
      </c>
      <c r="C2403" s="77" t="s">
        <v>90</v>
      </c>
      <c r="D2403" t="s">
        <v>81</v>
      </c>
      <c r="E2403" s="77" t="s">
        <v>106</v>
      </c>
      <c r="F2403" s="77" t="s">
        <v>73</v>
      </c>
      <c r="G2403" s="77" t="s">
        <v>74</v>
      </c>
      <c r="H2403" s="77" t="s">
        <v>113</v>
      </c>
      <c r="I2403" s="77" t="s">
        <v>84</v>
      </c>
      <c r="J2403" s="76">
        <v>0</v>
      </c>
    </row>
    <row r="2404" spans="1:10" x14ac:dyDescent="0.35">
      <c r="A2404" t="s">
        <v>14</v>
      </c>
      <c r="B2404" t="s">
        <v>31</v>
      </c>
      <c r="C2404" s="77" t="s">
        <v>91</v>
      </c>
      <c r="D2404" t="s">
        <v>81</v>
      </c>
      <c r="E2404" s="77" t="s">
        <v>131</v>
      </c>
      <c r="F2404" s="77" t="s">
        <v>73</v>
      </c>
      <c r="G2404" s="77" t="s">
        <v>74</v>
      </c>
      <c r="H2404" s="77" t="s">
        <v>113</v>
      </c>
      <c r="I2404" s="77" t="s">
        <v>84</v>
      </c>
      <c r="J2404" s="76">
        <f>'SUT_EU27 total'!$S$75</f>
        <v>0</v>
      </c>
    </row>
    <row r="2405" spans="1:10" x14ac:dyDescent="0.35">
      <c r="A2405" t="s">
        <v>14</v>
      </c>
      <c r="B2405" t="s">
        <v>31</v>
      </c>
      <c r="C2405" s="77" t="s">
        <v>91</v>
      </c>
      <c r="D2405" t="s">
        <v>81</v>
      </c>
      <c r="E2405" s="77" t="s">
        <v>101</v>
      </c>
      <c r="F2405" s="77" t="s">
        <v>73</v>
      </c>
      <c r="G2405" s="77" t="s">
        <v>74</v>
      </c>
      <c r="H2405" s="77" t="s">
        <v>113</v>
      </c>
      <c r="I2405" s="77" t="s">
        <v>84</v>
      </c>
      <c r="J2405" s="76" cm="1">
        <f t="array" ref="J2405:J2407">'SUT_EU27 total'!$S$83:$S$85</f>
        <v>0</v>
      </c>
    </row>
    <row r="2406" spans="1:10" x14ac:dyDescent="0.35">
      <c r="A2406" t="s">
        <v>14</v>
      </c>
      <c r="B2406" t="s">
        <v>31</v>
      </c>
      <c r="C2406" s="77" t="s">
        <v>91</v>
      </c>
      <c r="D2406" t="s">
        <v>81</v>
      </c>
      <c r="E2406" s="77" t="s">
        <v>104</v>
      </c>
      <c r="F2406" s="77" t="s">
        <v>73</v>
      </c>
      <c r="G2406" s="77" t="s">
        <v>74</v>
      </c>
      <c r="H2406" s="77" t="s">
        <v>113</v>
      </c>
      <c r="I2406" s="77" t="s">
        <v>84</v>
      </c>
      <c r="J2406" s="76">
        <v>0</v>
      </c>
    </row>
    <row r="2407" spans="1:10" x14ac:dyDescent="0.35">
      <c r="A2407" t="s">
        <v>14</v>
      </c>
      <c r="B2407" t="s">
        <v>31</v>
      </c>
      <c r="C2407" s="77" t="s">
        <v>91</v>
      </c>
      <c r="D2407" t="s">
        <v>81</v>
      </c>
      <c r="E2407" s="77" t="s">
        <v>106</v>
      </c>
      <c r="F2407" s="77" t="s">
        <v>73</v>
      </c>
      <c r="G2407" s="77" t="s">
        <v>74</v>
      </c>
      <c r="H2407" s="77" t="s">
        <v>113</v>
      </c>
      <c r="I2407" s="77" t="s">
        <v>84</v>
      </c>
      <c r="J2407" s="76">
        <v>0</v>
      </c>
    </row>
    <row r="2408" spans="1:10" x14ac:dyDescent="0.35">
      <c r="A2408" t="s">
        <v>14</v>
      </c>
      <c r="B2408" t="s">
        <v>31</v>
      </c>
      <c r="C2408" s="77" t="s">
        <v>92</v>
      </c>
      <c r="D2408" t="s">
        <v>81</v>
      </c>
      <c r="E2408" s="77" t="s">
        <v>131</v>
      </c>
      <c r="F2408" s="77" t="s">
        <v>73</v>
      </c>
      <c r="G2408" s="77" t="s">
        <v>74</v>
      </c>
      <c r="H2408" s="77" t="s">
        <v>113</v>
      </c>
      <c r="I2408" s="77" t="s">
        <v>84</v>
      </c>
      <c r="J2408" s="76">
        <f>'SUT_EU27 total'!$S$92</f>
        <v>0</v>
      </c>
    </row>
    <row r="2409" spans="1:10" x14ac:dyDescent="0.35">
      <c r="A2409" t="s">
        <v>14</v>
      </c>
      <c r="B2409" t="s">
        <v>31</v>
      </c>
      <c r="C2409" s="77" t="s">
        <v>92</v>
      </c>
      <c r="D2409" t="s">
        <v>81</v>
      </c>
      <c r="E2409" s="77" t="s">
        <v>101</v>
      </c>
      <c r="F2409" s="77" t="s">
        <v>73</v>
      </c>
      <c r="G2409" s="77" t="s">
        <v>74</v>
      </c>
      <c r="H2409" s="77" t="s">
        <v>113</v>
      </c>
      <c r="I2409" s="77" t="s">
        <v>84</v>
      </c>
      <c r="J2409" s="76" cm="1">
        <f t="array" ref="J2409:J2411">'SUT_EU27 total'!$S$100:$S$102</f>
        <v>0</v>
      </c>
    </row>
    <row r="2410" spans="1:10" x14ac:dyDescent="0.35">
      <c r="A2410" t="s">
        <v>14</v>
      </c>
      <c r="B2410" t="s">
        <v>31</v>
      </c>
      <c r="C2410" s="77" t="s">
        <v>92</v>
      </c>
      <c r="D2410" t="s">
        <v>81</v>
      </c>
      <c r="E2410" s="77" t="s">
        <v>104</v>
      </c>
      <c r="F2410" s="77" t="s">
        <v>73</v>
      </c>
      <c r="G2410" s="77" t="s">
        <v>74</v>
      </c>
      <c r="H2410" s="77" t="s">
        <v>113</v>
      </c>
      <c r="I2410" s="77" t="s">
        <v>84</v>
      </c>
      <c r="J2410" s="76">
        <v>0</v>
      </c>
    </row>
    <row r="2411" spans="1:10" x14ac:dyDescent="0.35">
      <c r="A2411" t="s">
        <v>14</v>
      </c>
      <c r="B2411" t="s">
        <v>31</v>
      </c>
      <c r="C2411" s="77" t="s">
        <v>92</v>
      </c>
      <c r="D2411" t="s">
        <v>81</v>
      </c>
      <c r="E2411" s="77" t="s">
        <v>106</v>
      </c>
      <c r="F2411" s="77" t="s">
        <v>73</v>
      </c>
      <c r="G2411" s="77" t="s">
        <v>74</v>
      </c>
      <c r="H2411" s="77" t="s">
        <v>113</v>
      </c>
      <c r="I2411" s="77" t="s">
        <v>84</v>
      </c>
      <c r="J2411" s="76">
        <v>0</v>
      </c>
    </row>
    <row r="2412" spans="1:10" x14ac:dyDescent="0.35">
      <c r="A2412" t="s">
        <v>14</v>
      </c>
      <c r="B2412" t="s">
        <v>31</v>
      </c>
      <c r="C2412" s="77" t="s">
        <v>93</v>
      </c>
      <c r="D2412" t="s">
        <v>81</v>
      </c>
      <c r="E2412" s="77" t="s">
        <v>131</v>
      </c>
      <c r="F2412" s="77" t="s">
        <v>73</v>
      </c>
      <c r="G2412" s="77" t="s">
        <v>74</v>
      </c>
      <c r="H2412" s="77" t="s">
        <v>113</v>
      </c>
      <c r="I2412" s="77" t="s">
        <v>84</v>
      </c>
      <c r="J2412" s="76">
        <f>'SUT_EU27 total'!$S$109</f>
        <v>0</v>
      </c>
    </row>
    <row r="2413" spans="1:10" x14ac:dyDescent="0.35">
      <c r="A2413" t="s">
        <v>14</v>
      </c>
      <c r="B2413" t="s">
        <v>31</v>
      </c>
      <c r="C2413" s="77" t="s">
        <v>93</v>
      </c>
      <c r="D2413" t="s">
        <v>81</v>
      </c>
      <c r="E2413" s="77" t="s">
        <v>101</v>
      </c>
      <c r="F2413" s="77" t="s">
        <v>73</v>
      </c>
      <c r="G2413" s="77" t="s">
        <v>74</v>
      </c>
      <c r="H2413" s="77" t="s">
        <v>113</v>
      </c>
      <c r="I2413" s="77" t="s">
        <v>84</v>
      </c>
      <c r="J2413" s="76" cm="1">
        <f t="array" ref="J2413:J2415">'SUT_EU27 total'!$S$117:$S$119</f>
        <v>0</v>
      </c>
    </row>
    <row r="2414" spans="1:10" x14ac:dyDescent="0.35">
      <c r="A2414" t="s">
        <v>14</v>
      </c>
      <c r="B2414" t="s">
        <v>31</v>
      </c>
      <c r="C2414" s="77" t="s">
        <v>93</v>
      </c>
      <c r="D2414" t="s">
        <v>81</v>
      </c>
      <c r="E2414" s="77" t="s">
        <v>104</v>
      </c>
      <c r="F2414" s="77" t="s">
        <v>73</v>
      </c>
      <c r="G2414" s="77" t="s">
        <v>74</v>
      </c>
      <c r="H2414" s="77" t="s">
        <v>113</v>
      </c>
      <c r="I2414" s="77" t="s">
        <v>84</v>
      </c>
      <c r="J2414" s="76">
        <v>0</v>
      </c>
    </row>
    <row r="2415" spans="1:10" x14ac:dyDescent="0.35">
      <c r="A2415" t="s">
        <v>14</v>
      </c>
      <c r="B2415" t="s">
        <v>31</v>
      </c>
      <c r="C2415" s="77" t="s">
        <v>93</v>
      </c>
      <c r="D2415" t="s">
        <v>81</v>
      </c>
      <c r="E2415" s="77" t="s">
        <v>106</v>
      </c>
      <c r="F2415" s="77" t="s">
        <v>73</v>
      </c>
      <c r="G2415" s="77" t="s">
        <v>74</v>
      </c>
      <c r="H2415" s="77" t="s">
        <v>113</v>
      </c>
      <c r="I2415" s="77" t="s">
        <v>84</v>
      </c>
      <c r="J2415" s="76">
        <v>0</v>
      </c>
    </row>
    <row r="2416" spans="1:10" x14ac:dyDescent="0.35">
      <c r="A2416" t="s">
        <v>14</v>
      </c>
      <c r="B2416" t="s">
        <v>31</v>
      </c>
      <c r="C2416" s="77" t="s">
        <v>73</v>
      </c>
      <c r="D2416" t="s">
        <v>74</v>
      </c>
      <c r="E2416" s="77" t="s">
        <v>123</v>
      </c>
      <c r="F2416" s="77" t="s">
        <v>73</v>
      </c>
      <c r="G2416" s="77" t="s">
        <v>81</v>
      </c>
      <c r="H2416" s="77" t="s">
        <v>115</v>
      </c>
      <c r="I2416" s="77" t="s">
        <v>84</v>
      </c>
      <c r="J2416" s="76" cm="1">
        <f t="array" ref="J2416:J2422">TRANSPOSE('2030 pathways'!$C$9:$I$9)</f>
        <v>5.8999999999999997E-2</v>
      </c>
    </row>
    <row r="2417" spans="1:10" x14ac:dyDescent="0.35">
      <c r="A2417" t="s">
        <v>14</v>
      </c>
      <c r="B2417" t="s">
        <v>31</v>
      </c>
      <c r="C2417" s="77" t="s">
        <v>73</v>
      </c>
      <c r="D2417" t="s">
        <v>74</v>
      </c>
      <c r="E2417" s="77" t="s">
        <v>127</v>
      </c>
      <c r="F2417" s="77" t="s">
        <v>73</v>
      </c>
      <c r="G2417" s="77" t="s">
        <v>81</v>
      </c>
      <c r="H2417" s="77" t="s">
        <v>115</v>
      </c>
      <c r="I2417" s="77" t="s">
        <v>84</v>
      </c>
      <c r="J2417" s="76">
        <v>5.8999999999999999E-3</v>
      </c>
    </row>
    <row r="2418" spans="1:10" x14ac:dyDescent="0.35">
      <c r="A2418" t="s">
        <v>14</v>
      </c>
      <c r="B2418" t="s">
        <v>31</v>
      </c>
      <c r="C2418" s="77" t="s">
        <v>73</v>
      </c>
      <c r="D2418" t="s">
        <v>74</v>
      </c>
      <c r="E2418" s="77" t="s">
        <v>128</v>
      </c>
      <c r="F2418" s="77" t="s">
        <v>73</v>
      </c>
      <c r="G2418" s="77" t="s">
        <v>81</v>
      </c>
      <c r="H2418" s="77" t="s">
        <v>115</v>
      </c>
      <c r="I2418" s="77" t="s">
        <v>84</v>
      </c>
      <c r="J2418" s="76">
        <v>1.18E-2</v>
      </c>
    </row>
    <row r="2419" spans="1:10" x14ac:dyDescent="0.35">
      <c r="A2419" t="s">
        <v>14</v>
      </c>
      <c r="B2419" t="s">
        <v>31</v>
      </c>
      <c r="C2419" s="77" t="s">
        <v>73</v>
      </c>
      <c r="D2419" t="s">
        <v>74</v>
      </c>
      <c r="E2419" s="77" t="s">
        <v>129</v>
      </c>
      <c r="F2419" s="77" t="s">
        <v>73</v>
      </c>
      <c r="G2419" s="77" t="s">
        <v>81</v>
      </c>
      <c r="H2419" s="77" t="s">
        <v>115</v>
      </c>
      <c r="I2419" s="77" t="s">
        <v>84</v>
      </c>
      <c r="J2419" s="76">
        <v>3.5399999999999994E-2</v>
      </c>
    </row>
    <row r="2420" spans="1:10" x14ac:dyDescent="0.35">
      <c r="A2420" t="s">
        <v>14</v>
      </c>
      <c r="B2420" t="s">
        <v>31</v>
      </c>
      <c r="C2420" s="77" t="s">
        <v>73</v>
      </c>
      <c r="D2420" t="s">
        <v>74</v>
      </c>
      <c r="E2420" s="77" t="s">
        <v>77</v>
      </c>
      <c r="F2420" s="77" t="s">
        <v>73</v>
      </c>
      <c r="G2420" s="77" t="s">
        <v>81</v>
      </c>
      <c r="H2420" s="77" t="s">
        <v>115</v>
      </c>
      <c r="I2420" s="77" t="s">
        <v>84</v>
      </c>
      <c r="J2420" s="76">
        <v>1.7699999999999997E-2</v>
      </c>
    </row>
    <row r="2421" spans="1:10" x14ac:dyDescent="0.35">
      <c r="A2421" t="s">
        <v>14</v>
      </c>
      <c r="B2421" t="s">
        <v>31</v>
      </c>
      <c r="C2421" s="77" t="s">
        <v>73</v>
      </c>
      <c r="D2421" t="s">
        <v>74</v>
      </c>
      <c r="E2421" s="77" t="s">
        <v>130</v>
      </c>
      <c r="F2421" s="77" t="s">
        <v>73</v>
      </c>
      <c r="G2421" s="77" t="s">
        <v>81</v>
      </c>
      <c r="H2421" s="77" t="s">
        <v>115</v>
      </c>
      <c r="I2421" s="77" t="s">
        <v>84</v>
      </c>
      <c r="J2421" s="76">
        <v>0.4602</v>
      </c>
    </row>
    <row r="2422" spans="1:10" x14ac:dyDescent="0.35">
      <c r="A2422" t="s">
        <v>14</v>
      </c>
      <c r="B2422" t="s">
        <v>31</v>
      </c>
      <c r="C2422" s="77" t="s">
        <v>73</v>
      </c>
      <c r="D2422" t="s">
        <v>74</v>
      </c>
      <c r="E2422" s="77" t="s">
        <v>132</v>
      </c>
      <c r="F2422" s="77" t="s">
        <v>73</v>
      </c>
      <c r="G2422" s="77" t="s">
        <v>81</v>
      </c>
      <c r="H2422" s="77" t="s">
        <v>115</v>
      </c>
      <c r="I2422" s="77" t="s">
        <v>84</v>
      </c>
      <c r="J2422" s="76">
        <v>0.41</v>
      </c>
    </row>
    <row r="2423" spans="1:10" x14ac:dyDescent="0.35">
      <c r="A2423" t="s">
        <v>14</v>
      </c>
      <c r="B2423" t="s">
        <v>31</v>
      </c>
      <c r="C2423" s="77" t="s">
        <v>73</v>
      </c>
      <c r="D2423" t="s">
        <v>74</v>
      </c>
      <c r="E2423" s="77" t="s">
        <v>133</v>
      </c>
      <c r="F2423" s="77" t="s">
        <v>73</v>
      </c>
      <c r="G2423" s="77" t="s">
        <v>81</v>
      </c>
      <c r="H2423" s="77" t="s">
        <v>115</v>
      </c>
      <c r="I2423" s="77" t="s">
        <v>84</v>
      </c>
      <c r="J2423" s="76">
        <v>0</v>
      </c>
    </row>
    <row r="2424" spans="1:10" x14ac:dyDescent="0.35">
      <c r="A2424" s="468" t="s">
        <v>14</v>
      </c>
      <c r="B2424" s="468" t="s">
        <v>35</v>
      </c>
      <c r="C2424" s="478" t="s">
        <v>73</v>
      </c>
      <c r="D2424" s="468" t="s">
        <v>81</v>
      </c>
      <c r="E2424" s="478" t="s">
        <v>115</v>
      </c>
      <c r="F2424" s="478" t="s">
        <v>73</v>
      </c>
      <c r="G2424" s="478" t="s">
        <v>74</v>
      </c>
      <c r="H2424" s="478" t="s">
        <v>102</v>
      </c>
      <c r="I2424" s="478" t="s">
        <v>84</v>
      </c>
      <c r="J2424" s="479" cm="1">
        <f t="array" ref="J2424:J2425">'SUT_EU27 total'!$J$19:$J$20</f>
        <v>11.828571428571427</v>
      </c>
    </row>
    <row r="2425" spans="1:10" x14ac:dyDescent="0.35">
      <c r="A2425" t="s">
        <v>14</v>
      </c>
      <c r="B2425" t="s">
        <v>35</v>
      </c>
      <c r="C2425" s="77" t="s">
        <v>73</v>
      </c>
      <c r="D2425" t="s">
        <v>81</v>
      </c>
      <c r="E2425" s="77" t="s">
        <v>116</v>
      </c>
      <c r="F2425" s="77" t="s">
        <v>73</v>
      </c>
      <c r="G2425" s="77" t="s">
        <v>74</v>
      </c>
      <c r="H2425" s="77" t="s">
        <v>102</v>
      </c>
      <c r="I2425" s="77" t="s">
        <v>84</v>
      </c>
      <c r="J2425" s="76">
        <v>3.3421988920214002E-2</v>
      </c>
    </row>
    <row r="2426" spans="1:10" x14ac:dyDescent="0.35">
      <c r="A2426" t="s">
        <v>14</v>
      </c>
      <c r="B2426" t="s">
        <v>35</v>
      </c>
      <c r="C2426" s="77" t="s">
        <v>73</v>
      </c>
      <c r="D2426" t="s">
        <v>81</v>
      </c>
      <c r="E2426" s="77" t="s">
        <v>117</v>
      </c>
      <c r="F2426" s="77" t="s">
        <v>73</v>
      </c>
      <c r="G2426" s="77" t="s">
        <v>74</v>
      </c>
      <c r="H2426" s="77" t="s">
        <v>102</v>
      </c>
      <c r="I2426" s="77" t="s">
        <v>84</v>
      </c>
      <c r="J2426" s="76">
        <f>'SUT_EU27 total'!$J$27</f>
        <v>20.996100000000002</v>
      </c>
    </row>
    <row r="2427" spans="1:10" x14ac:dyDescent="0.35">
      <c r="A2427" t="s">
        <v>14</v>
      </c>
      <c r="B2427" t="s">
        <v>35</v>
      </c>
      <c r="C2427" s="77" t="s">
        <v>73</v>
      </c>
      <c r="D2427" t="s">
        <v>81</v>
      </c>
      <c r="E2427" s="77" t="s">
        <v>101</v>
      </c>
      <c r="F2427" s="77" t="s">
        <v>73</v>
      </c>
      <c r="G2427" s="77" t="s">
        <v>74</v>
      </c>
      <c r="H2427" s="77" t="s">
        <v>102</v>
      </c>
      <c r="I2427" s="77" t="s">
        <v>84</v>
      </c>
      <c r="J2427" s="76" cm="1">
        <f t="array" ref="J2427:J2429">'SUT_EU27 total'!$J$32:$J$34</f>
        <v>0.13437998483817604</v>
      </c>
    </row>
    <row r="2428" spans="1:10" x14ac:dyDescent="0.35">
      <c r="A2428" t="s">
        <v>14</v>
      </c>
      <c r="B2428" t="s">
        <v>35</v>
      </c>
      <c r="C2428" s="77" t="s">
        <v>73</v>
      </c>
      <c r="D2428" t="s">
        <v>81</v>
      </c>
      <c r="E2428" s="77" t="s">
        <v>104</v>
      </c>
      <c r="F2428" s="77" t="s">
        <v>73</v>
      </c>
      <c r="G2428" s="77" t="s">
        <v>74</v>
      </c>
      <c r="H2428" s="77" t="s">
        <v>102</v>
      </c>
      <c r="I2428" s="77" t="s">
        <v>84</v>
      </c>
      <c r="J2428" s="76">
        <v>0.25443647306582401</v>
      </c>
    </row>
    <row r="2429" spans="1:10" x14ac:dyDescent="0.35">
      <c r="A2429" t="s">
        <v>14</v>
      </c>
      <c r="B2429" t="s">
        <v>35</v>
      </c>
      <c r="C2429" s="77" t="s">
        <v>73</v>
      </c>
      <c r="D2429" t="s">
        <v>81</v>
      </c>
      <c r="E2429" s="77" t="s">
        <v>106</v>
      </c>
      <c r="F2429" s="77" t="s">
        <v>73</v>
      </c>
      <c r="G2429" s="77" t="s">
        <v>74</v>
      </c>
      <c r="H2429" s="77" t="s">
        <v>102</v>
      </c>
      <c r="I2429" s="77" t="s">
        <v>84</v>
      </c>
      <c r="J2429" s="76">
        <v>0.86543018049599985</v>
      </c>
    </row>
    <row r="2430" spans="1:10" x14ac:dyDescent="0.35">
      <c r="A2430" t="s">
        <v>14</v>
      </c>
      <c r="B2430" t="s">
        <v>35</v>
      </c>
      <c r="C2430" s="77" t="s">
        <v>88</v>
      </c>
      <c r="D2430" t="s">
        <v>81</v>
      </c>
      <c r="E2430" s="77" t="s">
        <v>115</v>
      </c>
      <c r="F2430" s="77" t="s">
        <v>73</v>
      </c>
      <c r="G2430" s="77" t="s">
        <v>74</v>
      </c>
      <c r="H2430" s="77" t="s">
        <v>102</v>
      </c>
      <c r="I2430" s="77" t="s">
        <v>84</v>
      </c>
      <c r="J2430" s="76" cm="1">
        <f t="array" ref="J2430:J2431">'SUT_EU27 total'!$J$36:$J$37</f>
        <v>78.857142857142847</v>
      </c>
    </row>
    <row r="2431" spans="1:10" x14ac:dyDescent="0.35">
      <c r="A2431" t="s">
        <v>14</v>
      </c>
      <c r="B2431" t="s">
        <v>35</v>
      </c>
      <c r="C2431" s="77" t="s">
        <v>88</v>
      </c>
      <c r="D2431" t="s">
        <v>81</v>
      </c>
      <c r="E2431" s="77" t="s">
        <v>116</v>
      </c>
      <c r="F2431" s="77" t="s">
        <v>73</v>
      </c>
      <c r="G2431" s="77" t="s">
        <v>74</v>
      </c>
      <c r="H2431" s="77" t="s">
        <v>102</v>
      </c>
      <c r="I2431" s="77" t="s">
        <v>84</v>
      </c>
      <c r="J2431" s="76">
        <v>0.7862213561563367</v>
      </c>
    </row>
    <row r="2432" spans="1:10" x14ac:dyDescent="0.35">
      <c r="A2432" t="s">
        <v>14</v>
      </c>
      <c r="B2432" t="s">
        <v>35</v>
      </c>
      <c r="C2432" s="77" t="s">
        <v>88</v>
      </c>
      <c r="D2432" t="s">
        <v>81</v>
      </c>
      <c r="E2432" s="77" t="s">
        <v>117</v>
      </c>
      <c r="F2432" s="77" t="s">
        <v>73</v>
      </c>
      <c r="G2432" s="77" t="s">
        <v>74</v>
      </c>
      <c r="H2432" s="77" t="s">
        <v>102</v>
      </c>
      <c r="I2432" s="77" t="s">
        <v>84</v>
      </c>
      <c r="J2432" s="76">
        <f>'SUT_EU27 total'!$J$44</f>
        <v>286.26390000000004</v>
      </c>
    </row>
    <row r="2433" spans="1:10" x14ac:dyDescent="0.35">
      <c r="A2433" t="s">
        <v>14</v>
      </c>
      <c r="B2433" t="s">
        <v>35</v>
      </c>
      <c r="C2433" s="77" t="s">
        <v>88</v>
      </c>
      <c r="D2433" t="s">
        <v>81</v>
      </c>
      <c r="E2433" s="77" t="s">
        <v>101</v>
      </c>
      <c r="F2433" s="77" t="s">
        <v>73</v>
      </c>
      <c r="G2433" s="77" t="s">
        <v>74</v>
      </c>
      <c r="H2433" s="77" t="s">
        <v>102</v>
      </c>
      <c r="I2433" s="77" t="s">
        <v>84</v>
      </c>
      <c r="J2433" s="76" cm="1">
        <f t="array" ref="J2433:J2435">'SUT_EU27 total'!$J$49:$J$51</f>
        <v>0</v>
      </c>
    </row>
    <row r="2434" spans="1:10" x14ac:dyDescent="0.35">
      <c r="A2434" t="s">
        <v>14</v>
      </c>
      <c r="B2434" t="s">
        <v>35</v>
      </c>
      <c r="C2434" s="77" t="s">
        <v>88</v>
      </c>
      <c r="D2434" t="s">
        <v>81</v>
      </c>
      <c r="E2434" s="77" t="s">
        <v>104</v>
      </c>
      <c r="F2434" s="77" t="s">
        <v>73</v>
      </c>
      <c r="G2434" s="77" t="s">
        <v>74</v>
      </c>
      <c r="H2434" s="77" t="s">
        <v>102</v>
      </c>
      <c r="I2434" s="77" t="s">
        <v>84</v>
      </c>
      <c r="J2434" s="76">
        <v>0</v>
      </c>
    </row>
    <row r="2435" spans="1:10" x14ac:dyDescent="0.35">
      <c r="A2435" t="s">
        <v>14</v>
      </c>
      <c r="B2435" t="s">
        <v>35</v>
      </c>
      <c r="C2435" s="77" t="s">
        <v>88</v>
      </c>
      <c r="D2435" t="s">
        <v>81</v>
      </c>
      <c r="E2435" s="77" t="s">
        <v>106</v>
      </c>
      <c r="F2435" s="77" t="s">
        <v>73</v>
      </c>
      <c r="G2435" s="77" t="s">
        <v>74</v>
      </c>
      <c r="H2435" s="77" t="s">
        <v>102</v>
      </c>
      <c r="I2435" s="77" t="s">
        <v>84</v>
      </c>
      <c r="J2435" s="76">
        <v>0</v>
      </c>
    </row>
    <row r="2436" spans="1:10" x14ac:dyDescent="0.35">
      <c r="A2436" t="s">
        <v>14</v>
      </c>
      <c r="B2436" t="s">
        <v>35</v>
      </c>
      <c r="C2436" s="77" t="s">
        <v>90</v>
      </c>
      <c r="D2436" t="s">
        <v>81</v>
      </c>
      <c r="E2436" s="77" t="s">
        <v>115</v>
      </c>
      <c r="F2436" s="77" t="s">
        <v>73</v>
      </c>
      <c r="G2436" s="77" t="s">
        <v>74</v>
      </c>
      <c r="H2436" s="77" t="s">
        <v>102</v>
      </c>
      <c r="I2436" s="77" t="s">
        <v>84</v>
      </c>
      <c r="J2436" s="76" cm="1">
        <f t="array" ref="J2436:J2437">'SUT_EU27 total'!$J$53:$J$54</f>
        <v>7.7904761904761894</v>
      </c>
    </row>
    <row r="2437" spans="1:10" x14ac:dyDescent="0.35">
      <c r="A2437" t="s">
        <v>14</v>
      </c>
      <c r="B2437" t="s">
        <v>35</v>
      </c>
      <c r="C2437" s="77" t="s">
        <v>90</v>
      </c>
      <c r="D2437" t="s">
        <v>81</v>
      </c>
      <c r="E2437" s="77" t="s">
        <v>116</v>
      </c>
      <c r="F2437" s="77" t="s">
        <v>73</v>
      </c>
      <c r="G2437" s="77" t="s">
        <v>74</v>
      </c>
      <c r="H2437" s="77" t="s">
        <v>102</v>
      </c>
      <c r="I2437" s="77" t="s">
        <v>84</v>
      </c>
      <c r="J2437" s="76">
        <v>1.5473889063756709E-2</v>
      </c>
    </row>
    <row r="2438" spans="1:10" x14ac:dyDescent="0.35">
      <c r="A2438" t="s">
        <v>14</v>
      </c>
      <c r="B2438" t="s">
        <v>35</v>
      </c>
      <c r="C2438" s="77" t="s">
        <v>90</v>
      </c>
      <c r="D2438" t="s">
        <v>81</v>
      </c>
      <c r="E2438" s="77" t="s">
        <v>117</v>
      </c>
      <c r="F2438" s="77" t="s">
        <v>73</v>
      </c>
      <c r="G2438" s="77" t="s">
        <v>74</v>
      </c>
      <c r="H2438" s="77" t="s">
        <v>102</v>
      </c>
      <c r="I2438" s="77" t="s">
        <v>84</v>
      </c>
      <c r="J2438" s="76">
        <f>'SUT_EU27 total'!$J$61</f>
        <v>11.2662</v>
      </c>
    </row>
    <row r="2439" spans="1:10" x14ac:dyDescent="0.35">
      <c r="A2439" t="s">
        <v>14</v>
      </c>
      <c r="B2439" t="s">
        <v>35</v>
      </c>
      <c r="C2439" s="77" t="s">
        <v>90</v>
      </c>
      <c r="D2439" t="s">
        <v>81</v>
      </c>
      <c r="E2439" s="77" t="s">
        <v>101</v>
      </c>
      <c r="F2439" s="77" t="s">
        <v>73</v>
      </c>
      <c r="G2439" s="77" t="s">
        <v>74</v>
      </c>
      <c r="H2439" s="77" t="s">
        <v>102</v>
      </c>
      <c r="I2439" s="77" t="s">
        <v>84</v>
      </c>
      <c r="J2439" s="76" cm="1">
        <f t="array" ref="J2439:J2441">'SUT_EU27 total'!$J$66:$J$68</f>
        <v>0</v>
      </c>
    </row>
    <row r="2440" spans="1:10" x14ac:dyDescent="0.35">
      <c r="A2440" t="s">
        <v>14</v>
      </c>
      <c r="B2440" t="s">
        <v>35</v>
      </c>
      <c r="C2440" s="77" t="s">
        <v>90</v>
      </c>
      <c r="D2440" t="s">
        <v>81</v>
      </c>
      <c r="E2440" s="77" t="s">
        <v>104</v>
      </c>
      <c r="F2440" s="77" t="s">
        <v>73</v>
      </c>
      <c r="G2440" s="77" t="s">
        <v>74</v>
      </c>
      <c r="H2440" s="77" t="s">
        <v>102</v>
      </c>
      <c r="I2440" s="77" t="s">
        <v>84</v>
      </c>
      <c r="J2440" s="76">
        <v>0</v>
      </c>
    </row>
    <row r="2441" spans="1:10" x14ac:dyDescent="0.35">
      <c r="A2441" t="s">
        <v>14</v>
      </c>
      <c r="B2441" t="s">
        <v>35</v>
      </c>
      <c r="C2441" s="77" t="s">
        <v>90</v>
      </c>
      <c r="D2441" t="s">
        <v>81</v>
      </c>
      <c r="E2441" s="77" t="s">
        <v>106</v>
      </c>
      <c r="F2441" s="77" t="s">
        <v>73</v>
      </c>
      <c r="G2441" s="77" t="s">
        <v>74</v>
      </c>
      <c r="H2441" s="77" t="s">
        <v>102</v>
      </c>
      <c r="I2441" s="77" t="s">
        <v>84</v>
      </c>
      <c r="J2441" s="76">
        <v>0</v>
      </c>
    </row>
    <row r="2442" spans="1:10" x14ac:dyDescent="0.35">
      <c r="A2442" t="s">
        <v>14</v>
      </c>
      <c r="B2442" t="s">
        <v>35</v>
      </c>
      <c r="C2442" s="77" t="s">
        <v>91</v>
      </c>
      <c r="D2442" t="s">
        <v>81</v>
      </c>
      <c r="E2442" s="77" t="s">
        <v>115</v>
      </c>
      <c r="F2442" s="77" t="s">
        <v>73</v>
      </c>
      <c r="G2442" s="77" t="s">
        <v>74</v>
      </c>
      <c r="H2442" s="77" t="s">
        <v>102</v>
      </c>
      <c r="I2442" s="77" t="s">
        <v>84</v>
      </c>
      <c r="J2442" s="76" cm="1">
        <f t="array" ref="J2442:J2443">'SUT_EU27 total'!$J$70:$J$71</f>
        <v>15.771428571428569</v>
      </c>
    </row>
    <row r="2443" spans="1:10" x14ac:dyDescent="0.35">
      <c r="A2443" t="s">
        <v>14</v>
      </c>
      <c r="B2443" t="s">
        <v>35</v>
      </c>
      <c r="C2443" s="77" t="s">
        <v>91</v>
      </c>
      <c r="D2443" t="s">
        <v>81</v>
      </c>
      <c r="E2443" s="77" t="s">
        <v>116</v>
      </c>
      <c r="F2443" s="77" t="s">
        <v>73</v>
      </c>
      <c r="G2443" s="77" t="s">
        <v>74</v>
      </c>
      <c r="H2443" s="77" t="s">
        <v>102</v>
      </c>
      <c r="I2443" s="77" t="s">
        <v>84</v>
      </c>
      <c r="J2443" s="76">
        <v>8.7507175559917313E-2</v>
      </c>
    </row>
    <row r="2444" spans="1:10" x14ac:dyDescent="0.35">
      <c r="A2444" t="s">
        <v>14</v>
      </c>
      <c r="B2444" t="s">
        <v>35</v>
      </c>
      <c r="C2444" s="77" t="s">
        <v>91</v>
      </c>
      <c r="D2444" t="s">
        <v>81</v>
      </c>
      <c r="E2444" s="77" t="s">
        <v>117</v>
      </c>
      <c r="F2444" s="77" t="s">
        <v>73</v>
      </c>
      <c r="G2444" s="77" t="s">
        <v>74</v>
      </c>
      <c r="H2444" s="77" t="s">
        <v>102</v>
      </c>
      <c r="I2444" s="77" t="s">
        <v>84</v>
      </c>
      <c r="J2444" s="76">
        <f>'SUT_EU27 total'!$J$78</f>
        <v>41.4801</v>
      </c>
    </row>
    <row r="2445" spans="1:10" x14ac:dyDescent="0.35">
      <c r="A2445" t="s">
        <v>14</v>
      </c>
      <c r="B2445" t="s">
        <v>35</v>
      </c>
      <c r="C2445" s="77" t="s">
        <v>91</v>
      </c>
      <c r="D2445" t="s">
        <v>81</v>
      </c>
      <c r="E2445" s="77" t="s">
        <v>101</v>
      </c>
      <c r="F2445" s="77" t="s">
        <v>73</v>
      </c>
      <c r="G2445" s="77" t="s">
        <v>74</v>
      </c>
      <c r="H2445" s="77" t="s">
        <v>102</v>
      </c>
      <c r="I2445" s="77" t="s">
        <v>84</v>
      </c>
      <c r="J2445" s="76" cm="1">
        <f t="array" ref="J2445:J2447">'SUT_EU27 total'!$J$83:$J$85</f>
        <v>0</v>
      </c>
    </row>
    <row r="2446" spans="1:10" x14ac:dyDescent="0.35">
      <c r="A2446" t="s">
        <v>14</v>
      </c>
      <c r="B2446" t="s">
        <v>35</v>
      </c>
      <c r="C2446" s="77" t="s">
        <v>91</v>
      </c>
      <c r="D2446" t="s">
        <v>81</v>
      </c>
      <c r="E2446" s="77" t="s">
        <v>104</v>
      </c>
      <c r="F2446" s="77" t="s">
        <v>73</v>
      </c>
      <c r="G2446" s="77" t="s">
        <v>74</v>
      </c>
      <c r="H2446" s="77" t="s">
        <v>102</v>
      </c>
      <c r="I2446" s="77" t="s">
        <v>84</v>
      </c>
      <c r="J2446" s="76">
        <v>0</v>
      </c>
    </row>
    <row r="2447" spans="1:10" x14ac:dyDescent="0.35">
      <c r="A2447" t="s">
        <v>14</v>
      </c>
      <c r="B2447" t="s">
        <v>35</v>
      </c>
      <c r="C2447" s="77" t="s">
        <v>91</v>
      </c>
      <c r="D2447" t="s">
        <v>81</v>
      </c>
      <c r="E2447" s="77" t="s">
        <v>106</v>
      </c>
      <c r="F2447" s="77" t="s">
        <v>73</v>
      </c>
      <c r="G2447" s="77" t="s">
        <v>74</v>
      </c>
      <c r="H2447" s="77" t="s">
        <v>102</v>
      </c>
      <c r="I2447" s="77" t="s">
        <v>84</v>
      </c>
      <c r="J2447" s="76">
        <v>0</v>
      </c>
    </row>
    <row r="2448" spans="1:10" x14ac:dyDescent="0.35">
      <c r="A2448" t="s">
        <v>14</v>
      </c>
      <c r="B2448" t="s">
        <v>35</v>
      </c>
      <c r="C2448" s="77" t="s">
        <v>92</v>
      </c>
      <c r="D2448" t="s">
        <v>81</v>
      </c>
      <c r="E2448" s="77" t="s">
        <v>115</v>
      </c>
      <c r="F2448" s="77" t="s">
        <v>73</v>
      </c>
      <c r="G2448" s="77" t="s">
        <v>74</v>
      </c>
      <c r="H2448" s="77" t="s">
        <v>102</v>
      </c>
      <c r="I2448" s="77" t="s">
        <v>84</v>
      </c>
      <c r="J2448" s="76" cm="1">
        <f t="array" ref="J2448:J2449">'SUT_EU27 total'!$J$87:$J$88</f>
        <v>6.6239999999999997</v>
      </c>
    </row>
    <row r="2449" spans="1:10" x14ac:dyDescent="0.35">
      <c r="A2449" t="s">
        <v>14</v>
      </c>
      <c r="B2449" t="s">
        <v>35</v>
      </c>
      <c r="C2449" s="77" t="s">
        <v>92</v>
      </c>
      <c r="D2449" t="s">
        <v>81</v>
      </c>
      <c r="E2449" s="77" t="s">
        <v>116</v>
      </c>
      <c r="F2449" s="77" t="s">
        <v>73</v>
      </c>
      <c r="G2449" s="77" t="s">
        <v>74</v>
      </c>
      <c r="H2449" s="77" t="s">
        <v>102</v>
      </c>
      <c r="I2449" s="77" t="s">
        <v>84</v>
      </c>
      <c r="J2449" s="76">
        <v>6.0040746268656714E-2</v>
      </c>
    </row>
    <row r="2450" spans="1:10" x14ac:dyDescent="0.35">
      <c r="A2450" t="s">
        <v>14</v>
      </c>
      <c r="B2450" t="s">
        <v>35</v>
      </c>
      <c r="C2450" s="77" t="s">
        <v>92</v>
      </c>
      <c r="D2450" t="s">
        <v>81</v>
      </c>
      <c r="E2450" s="77" t="s">
        <v>117</v>
      </c>
      <c r="F2450" s="77" t="s">
        <v>73</v>
      </c>
      <c r="G2450" s="77" t="s">
        <v>74</v>
      </c>
      <c r="H2450" s="77" t="s">
        <v>102</v>
      </c>
      <c r="I2450" s="77" t="s">
        <v>84</v>
      </c>
      <c r="J2450" s="76">
        <f>'SUT_EU27 total'!$J$95</f>
        <v>13.3146</v>
      </c>
    </row>
    <row r="2451" spans="1:10" x14ac:dyDescent="0.35">
      <c r="A2451" t="s">
        <v>14</v>
      </c>
      <c r="B2451" t="s">
        <v>35</v>
      </c>
      <c r="C2451" s="77" t="s">
        <v>92</v>
      </c>
      <c r="D2451" t="s">
        <v>81</v>
      </c>
      <c r="E2451" s="77" t="s">
        <v>101</v>
      </c>
      <c r="F2451" s="77" t="s">
        <v>73</v>
      </c>
      <c r="G2451" s="77" t="s">
        <v>74</v>
      </c>
      <c r="H2451" s="77" t="s">
        <v>102</v>
      </c>
      <c r="I2451" s="77" t="s">
        <v>84</v>
      </c>
      <c r="J2451" s="76" cm="1">
        <f t="array" ref="J2451:J2453">'SUT_EU27 total'!$J$100:$J$102</f>
        <v>0</v>
      </c>
    </row>
    <row r="2452" spans="1:10" x14ac:dyDescent="0.35">
      <c r="A2452" t="s">
        <v>14</v>
      </c>
      <c r="B2452" t="s">
        <v>35</v>
      </c>
      <c r="C2452" s="77" t="s">
        <v>92</v>
      </c>
      <c r="D2452" t="s">
        <v>81</v>
      </c>
      <c r="E2452" s="77" t="s">
        <v>104</v>
      </c>
      <c r="F2452" s="77" t="s">
        <v>73</v>
      </c>
      <c r="G2452" s="77" t="s">
        <v>74</v>
      </c>
      <c r="H2452" s="77" t="s">
        <v>102</v>
      </c>
      <c r="I2452" s="77" t="s">
        <v>84</v>
      </c>
      <c r="J2452" s="76">
        <v>0</v>
      </c>
    </row>
    <row r="2453" spans="1:10" x14ac:dyDescent="0.35">
      <c r="A2453" t="s">
        <v>14</v>
      </c>
      <c r="B2453" t="s">
        <v>35</v>
      </c>
      <c r="C2453" s="77" t="s">
        <v>92</v>
      </c>
      <c r="D2453" t="s">
        <v>81</v>
      </c>
      <c r="E2453" s="77" t="s">
        <v>106</v>
      </c>
      <c r="F2453" s="77" t="s">
        <v>73</v>
      </c>
      <c r="G2453" s="77" t="s">
        <v>74</v>
      </c>
      <c r="H2453" s="77" t="s">
        <v>102</v>
      </c>
      <c r="I2453" s="77" t="s">
        <v>84</v>
      </c>
      <c r="J2453" s="76">
        <v>0</v>
      </c>
    </row>
    <row r="2454" spans="1:10" x14ac:dyDescent="0.35">
      <c r="A2454" t="s">
        <v>14</v>
      </c>
      <c r="B2454" t="s">
        <v>35</v>
      </c>
      <c r="C2454" s="77" t="s">
        <v>93</v>
      </c>
      <c r="D2454" t="s">
        <v>81</v>
      </c>
      <c r="E2454" s="77" t="s">
        <v>115</v>
      </c>
      <c r="F2454" s="77" t="s">
        <v>73</v>
      </c>
      <c r="G2454" s="77" t="s">
        <v>74</v>
      </c>
      <c r="H2454" s="77" t="s">
        <v>102</v>
      </c>
      <c r="I2454" s="77" t="s">
        <v>84</v>
      </c>
      <c r="J2454" s="76" cm="1">
        <f t="array" ref="J2454:J2455">'SUT_EU27 total'!$J$104:$J$105</f>
        <v>44.633142857142865</v>
      </c>
    </row>
    <row r="2455" spans="1:10" x14ac:dyDescent="0.35">
      <c r="A2455" t="s">
        <v>14</v>
      </c>
      <c r="B2455" t="s">
        <v>35</v>
      </c>
      <c r="C2455" s="77" t="s">
        <v>93</v>
      </c>
      <c r="D2455" t="s">
        <v>81</v>
      </c>
      <c r="E2455" s="77" t="s">
        <v>116</v>
      </c>
      <c r="F2455" s="77" t="s">
        <v>73</v>
      </c>
      <c r="G2455" s="77" t="s">
        <v>74</v>
      </c>
      <c r="H2455" s="77" t="s">
        <v>102</v>
      </c>
      <c r="I2455" s="77" t="s">
        <v>84</v>
      </c>
      <c r="J2455" s="76">
        <v>0.3673348440311186</v>
      </c>
    </row>
    <row r="2456" spans="1:10" x14ac:dyDescent="0.35">
      <c r="A2456" t="s">
        <v>14</v>
      </c>
      <c r="B2456" t="s">
        <v>35</v>
      </c>
      <c r="C2456" s="77" t="s">
        <v>93</v>
      </c>
      <c r="D2456" t="s">
        <v>81</v>
      </c>
      <c r="E2456" s="77" t="s">
        <v>117</v>
      </c>
      <c r="F2456" s="77" t="s">
        <v>73</v>
      </c>
      <c r="G2456" s="77" t="s">
        <v>74</v>
      </c>
      <c r="H2456" s="77" t="s">
        <v>102</v>
      </c>
      <c r="I2456" s="77" t="s">
        <v>84</v>
      </c>
      <c r="J2456" s="76">
        <f>'SUT_EU27 total'!$J$112</f>
        <v>138.77909999999997</v>
      </c>
    </row>
    <row r="2457" spans="1:10" x14ac:dyDescent="0.35">
      <c r="A2457" t="s">
        <v>14</v>
      </c>
      <c r="B2457" t="s">
        <v>35</v>
      </c>
      <c r="C2457" s="77" t="s">
        <v>93</v>
      </c>
      <c r="D2457" t="s">
        <v>81</v>
      </c>
      <c r="E2457" s="77" t="s">
        <v>101</v>
      </c>
      <c r="F2457" s="77" t="s">
        <v>73</v>
      </c>
      <c r="G2457" s="77" t="s">
        <v>74</v>
      </c>
      <c r="H2457" s="77" t="s">
        <v>102</v>
      </c>
      <c r="I2457" s="77" t="s">
        <v>84</v>
      </c>
      <c r="J2457" s="76" cm="1">
        <f t="array" ref="J2457:J2459">'SUT_EU27 total'!$J$117:$J$119</f>
        <v>0</v>
      </c>
    </row>
    <row r="2458" spans="1:10" x14ac:dyDescent="0.35">
      <c r="A2458" t="s">
        <v>14</v>
      </c>
      <c r="B2458" t="s">
        <v>35</v>
      </c>
      <c r="C2458" s="77" t="s">
        <v>93</v>
      </c>
      <c r="D2458" t="s">
        <v>81</v>
      </c>
      <c r="E2458" s="77" t="s">
        <v>104</v>
      </c>
      <c r="F2458" s="77" t="s">
        <v>73</v>
      </c>
      <c r="G2458" s="77" t="s">
        <v>74</v>
      </c>
      <c r="H2458" s="77" t="s">
        <v>102</v>
      </c>
      <c r="I2458" s="77" t="s">
        <v>84</v>
      </c>
      <c r="J2458" s="76">
        <v>0</v>
      </c>
    </row>
    <row r="2459" spans="1:10" x14ac:dyDescent="0.35">
      <c r="A2459" t="s">
        <v>14</v>
      </c>
      <c r="B2459" t="s">
        <v>35</v>
      </c>
      <c r="C2459" s="77" t="s">
        <v>93</v>
      </c>
      <c r="D2459" t="s">
        <v>81</v>
      </c>
      <c r="E2459" s="77" t="s">
        <v>106</v>
      </c>
      <c r="F2459" s="77" t="s">
        <v>73</v>
      </c>
      <c r="G2459" s="77" t="s">
        <v>74</v>
      </c>
      <c r="H2459" s="77" t="s">
        <v>102</v>
      </c>
      <c r="I2459" s="77" t="s">
        <v>84</v>
      </c>
      <c r="J2459" s="76">
        <v>0</v>
      </c>
    </row>
    <row r="2460" spans="1:10" x14ac:dyDescent="0.35">
      <c r="A2460" t="s">
        <v>14</v>
      </c>
      <c r="B2460" t="s">
        <v>35</v>
      </c>
      <c r="C2460" s="77" t="s">
        <v>73</v>
      </c>
      <c r="D2460" t="s">
        <v>81</v>
      </c>
      <c r="E2460" s="77" t="s">
        <v>118</v>
      </c>
      <c r="F2460" s="77" t="s">
        <v>73</v>
      </c>
      <c r="G2460" s="77" t="s">
        <v>74</v>
      </c>
      <c r="H2460" s="77" t="s">
        <v>108</v>
      </c>
      <c r="I2460" s="77" t="s">
        <v>84</v>
      </c>
      <c r="J2460" s="76" cm="1">
        <f t="array" ref="J2460:J2462">'SUT_EU27 total'!$K$21:$K$23</f>
        <v>1.4582562144772118E-3</v>
      </c>
    </row>
    <row r="2461" spans="1:10" x14ac:dyDescent="0.35">
      <c r="A2461" t="s">
        <v>14</v>
      </c>
      <c r="B2461" t="s">
        <v>35</v>
      </c>
      <c r="C2461" s="77" t="s">
        <v>73</v>
      </c>
      <c r="D2461" t="s">
        <v>81</v>
      </c>
      <c r="E2461" s="77" t="s">
        <v>119</v>
      </c>
      <c r="F2461" s="77" t="s">
        <v>73</v>
      </c>
      <c r="G2461" s="77" t="s">
        <v>74</v>
      </c>
      <c r="H2461" s="77" t="s">
        <v>108</v>
      </c>
      <c r="I2461" s="77" t="s">
        <v>84</v>
      </c>
      <c r="J2461" s="76">
        <v>8.4634636521458274E-4</v>
      </c>
    </row>
    <row r="2462" spans="1:10" x14ac:dyDescent="0.35">
      <c r="A2462" t="s">
        <v>14</v>
      </c>
      <c r="B2462" t="s">
        <v>35</v>
      </c>
      <c r="C2462" s="77" t="s">
        <v>73</v>
      </c>
      <c r="D2462" t="s">
        <v>81</v>
      </c>
      <c r="E2462" s="77" t="s">
        <v>120</v>
      </c>
      <c r="F2462" s="77" t="s">
        <v>73</v>
      </c>
      <c r="G2462" s="77" t="s">
        <v>74</v>
      </c>
      <c r="H2462" s="77" t="s">
        <v>108</v>
      </c>
      <c r="I2462" s="77" t="s">
        <v>84</v>
      </c>
      <c r="J2462" s="76">
        <v>1.2517329093179335E-4</v>
      </c>
    </row>
    <row r="2463" spans="1:10" x14ac:dyDescent="0.35">
      <c r="A2463" t="s">
        <v>14</v>
      </c>
      <c r="B2463" t="s">
        <v>35</v>
      </c>
      <c r="C2463" s="77" t="s">
        <v>73</v>
      </c>
      <c r="D2463" t="s">
        <v>81</v>
      </c>
      <c r="E2463" s="77" t="s">
        <v>121</v>
      </c>
      <c r="F2463" s="77" t="s">
        <v>73</v>
      </c>
      <c r="G2463" s="77" t="s">
        <v>74</v>
      </c>
      <c r="H2463" s="77" t="s">
        <v>108</v>
      </c>
      <c r="I2463" s="77" t="s">
        <v>84</v>
      </c>
      <c r="J2463" s="76">
        <f>'SUT_EU27 total'!$K$25</f>
        <v>6.9749679999999994E-2</v>
      </c>
    </row>
    <row r="2464" spans="1:10" x14ac:dyDescent="0.35">
      <c r="A2464" t="s">
        <v>14</v>
      </c>
      <c r="B2464" t="s">
        <v>35</v>
      </c>
      <c r="C2464" s="77" t="s">
        <v>73</v>
      </c>
      <c r="D2464" t="s">
        <v>81</v>
      </c>
      <c r="E2464" s="77" t="s">
        <v>117</v>
      </c>
      <c r="F2464" s="77" t="s">
        <v>73</v>
      </c>
      <c r="G2464" s="77" t="s">
        <v>74</v>
      </c>
      <c r="H2464" s="77" t="s">
        <v>108</v>
      </c>
      <c r="I2464" s="77" t="s">
        <v>84</v>
      </c>
      <c r="J2464" s="76">
        <f>'SUT_EU27 total'!$K$27</f>
        <v>1.1932942595726979E-3</v>
      </c>
    </row>
    <row r="2465" spans="1:10" x14ac:dyDescent="0.35">
      <c r="A2465" t="s">
        <v>14</v>
      </c>
      <c r="B2465" t="s">
        <v>35</v>
      </c>
      <c r="C2465" s="77" t="s">
        <v>73</v>
      </c>
      <c r="D2465" t="s">
        <v>81</v>
      </c>
      <c r="E2465" s="77" t="s">
        <v>122</v>
      </c>
      <c r="F2465" s="77" t="s">
        <v>73</v>
      </c>
      <c r="G2465" s="77" t="s">
        <v>74</v>
      </c>
      <c r="H2465" s="77" t="s">
        <v>108</v>
      </c>
      <c r="I2465" s="77" t="s">
        <v>84</v>
      </c>
      <c r="J2465" s="76">
        <f>'SUT_EU27 total'!$K$30</f>
        <v>1.5965533412604042E-3</v>
      </c>
    </row>
    <row r="2466" spans="1:10" x14ac:dyDescent="0.35">
      <c r="A2466" t="s">
        <v>14</v>
      </c>
      <c r="B2466" t="s">
        <v>35</v>
      </c>
      <c r="C2466" s="77" t="s">
        <v>73</v>
      </c>
      <c r="D2466" t="s">
        <v>81</v>
      </c>
      <c r="E2466" s="77" t="s">
        <v>101</v>
      </c>
      <c r="F2466" s="77" t="s">
        <v>73</v>
      </c>
      <c r="G2466" s="77" t="s">
        <v>74</v>
      </c>
      <c r="H2466" s="77" t="s">
        <v>108</v>
      </c>
      <c r="I2466" s="77" t="s">
        <v>84</v>
      </c>
      <c r="J2466" s="76" cm="1">
        <f t="array" ref="J2466:J2468">'SUT_EU27 total'!$K$32:$K$34</f>
        <v>2.4335351040000001E-4</v>
      </c>
    </row>
    <row r="2467" spans="1:10" x14ac:dyDescent="0.35">
      <c r="A2467" t="s">
        <v>14</v>
      </c>
      <c r="B2467" t="s">
        <v>35</v>
      </c>
      <c r="C2467" s="77" t="s">
        <v>73</v>
      </c>
      <c r="D2467" t="s">
        <v>81</v>
      </c>
      <c r="E2467" s="77" t="s">
        <v>104</v>
      </c>
      <c r="F2467" s="77" t="s">
        <v>73</v>
      </c>
      <c r="G2467" s="77" t="s">
        <v>74</v>
      </c>
      <c r="H2467" s="77" t="s">
        <v>108</v>
      </c>
      <c r="I2467" s="77" t="s">
        <v>84</v>
      </c>
      <c r="J2467" s="76">
        <v>4.6076808959999996E-4</v>
      </c>
    </row>
    <row r="2468" spans="1:10" x14ac:dyDescent="0.35">
      <c r="A2468" t="s">
        <v>14</v>
      </c>
      <c r="B2468" t="s">
        <v>35</v>
      </c>
      <c r="C2468" s="77" t="s">
        <v>73</v>
      </c>
      <c r="D2468" t="s">
        <v>81</v>
      </c>
      <c r="E2468" s="77" t="s">
        <v>106</v>
      </c>
      <c r="F2468" s="77" t="s">
        <v>73</v>
      </c>
      <c r="G2468" s="77" t="s">
        <v>74</v>
      </c>
      <c r="H2468" s="77" t="s">
        <v>108</v>
      </c>
      <c r="I2468" s="77" t="s">
        <v>84</v>
      </c>
      <c r="J2468" s="76">
        <v>1.5672383999999996E-3</v>
      </c>
    </row>
    <row r="2469" spans="1:10" x14ac:dyDescent="0.35">
      <c r="A2469" t="s">
        <v>14</v>
      </c>
      <c r="B2469" t="s">
        <v>35</v>
      </c>
      <c r="C2469" s="77" t="s">
        <v>88</v>
      </c>
      <c r="D2469" t="s">
        <v>81</v>
      </c>
      <c r="E2469" s="77" t="s">
        <v>118</v>
      </c>
      <c r="F2469" s="77" t="s">
        <v>73</v>
      </c>
      <c r="G2469" s="77" t="s">
        <v>74</v>
      </c>
      <c r="H2469" s="77" t="s">
        <v>108</v>
      </c>
      <c r="I2469" s="77" t="s">
        <v>84</v>
      </c>
      <c r="J2469" s="76" cm="1">
        <f t="array" ref="J2469:J2471">'SUT_EU27 total'!$K$38:$K$40</f>
        <v>3.3029309855227888E-2</v>
      </c>
    </row>
    <row r="2470" spans="1:10" x14ac:dyDescent="0.35">
      <c r="A2470" t="s">
        <v>14</v>
      </c>
      <c r="B2470" t="s">
        <v>35</v>
      </c>
      <c r="C2470" s="77" t="s">
        <v>88</v>
      </c>
      <c r="D2470" t="s">
        <v>81</v>
      </c>
      <c r="E2470" s="77" t="s">
        <v>119</v>
      </c>
      <c r="F2470" s="77" t="s">
        <v>73</v>
      </c>
      <c r="G2470" s="77" t="s">
        <v>74</v>
      </c>
      <c r="H2470" s="77" t="s">
        <v>108</v>
      </c>
      <c r="I2470" s="77" t="s">
        <v>84</v>
      </c>
      <c r="J2470" s="76">
        <v>6.9915569300335089E-3</v>
      </c>
    </row>
    <row r="2471" spans="1:10" x14ac:dyDescent="0.35">
      <c r="A2471" t="s">
        <v>14</v>
      </c>
      <c r="B2471" t="s">
        <v>35</v>
      </c>
      <c r="C2471" s="77" t="s">
        <v>88</v>
      </c>
      <c r="D2471" t="s">
        <v>81</v>
      </c>
      <c r="E2471" s="77" t="s">
        <v>120</v>
      </c>
      <c r="F2471" s="77" t="s">
        <v>73</v>
      </c>
      <c r="G2471" s="77" t="s">
        <v>74</v>
      </c>
      <c r="H2471" s="77" t="s">
        <v>108</v>
      </c>
      <c r="I2471" s="77" t="s">
        <v>84</v>
      </c>
      <c r="J2471" s="76">
        <v>1.5283979779928203E-3</v>
      </c>
    </row>
    <row r="2472" spans="1:10" x14ac:dyDescent="0.35">
      <c r="A2472" t="s">
        <v>14</v>
      </c>
      <c r="B2472" t="s">
        <v>35</v>
      </c>
      <c r="C2472" s="77" t="s">
        <v>88</v>
      </c>
      <c r="D2472" t="s">
        <v>81</v>
      </c>
      <c r="E2472" s="77" t="s">
        <v>121</v>
      </c>
      <c r="F2472" s="77" t="s">
        <v>73</v>
      </c>
      <c r="G2472" s="77" t="s">
        <v>74</v>
      </c>
      <c r="H2472" s="77" t="s">
        <v>108</v>
      </c>
      <c r="I2472" s="77" t="s">
        <v>84</v>
      </c>
      <c r="J2472" s="76">
        <f>'SUT_EU27 total'!$K$42</f>
        <v>0</v>
      </c>
    </row>
    <row r="2473" spans="1:10" x14ac:dyDescent="0.35">
      <c r="A2473" t="s">
        <v>14</v>
      </c>
      <c r="B2473" t="s">
        <v>35</v>
      </c>
      <c r="C2473" s="77" t="s">
        <v>88</v>
      </c>
      <c r="D2473" t="s">
        <v>81</v>
      </c>
      <c r="E2473" s="77" t="s">
        <v>117</v>
      </c>
      <c r="F2473" s="77" t="s">
        <v>73</v>
      </c>
      <c r="G2473" s="77" t="s">
        <v>74</v>
      </c>
      <c r="H2473" s="77" t="s">
        <v>108</v>
      </c>
      <c r="I2473" s="77" t="s">
        <v>84</v>
      </c>
      <c r="J2473" s="76">
        <f>'SUT_EU27 total'!$K$44</f>
        <v>9.9090099874062521E-4</v>
      </c>
    </row>
    <row r="2474" spans="1:10" x14ac:dyDescent="0.35">
      <c r="A2474" t="s">
        <v>14</v>
      </c>
      <c r="B2474" t="s">
        <v>35</v>
      </c>
      <c r="C2474" s="77" t="s">
        <v>88</v>
      </c>
      <c r="D2474" t="s">
        <v>81</v>
      </c>
      <c r="E2474" s="77" t="s">
        <v>122</v>
      </c>
      <c r="F2474" s="77" t="s">
        <v>73</v>
      </c>
      <c r="G2474" s="77" t="s">
        <v>74</v>
      </c>
      <c r="H2474" s="77" t="s">
        <v>108</v>
      </c>
      <c r="I2474" s="77" t="s">
        <v>84</v>
      </c>
      <c r="J2474" s="76">
        <f>'SUT_EU27 total'!$K$47</f>
        <v>0</v>
      </c>
    </row>
    <row r="2475" spans="1:10" x14ac:dyDescent="0.35">
      <c r="A2475" t="s">
        <v>14</v>
      </c>
      <c r="B2475" t="s">
        <v>35</v>
      </c>
      <c r="C2475" s="77" t="s">
        <v>88</v>
      </c>
      <c r="D2475" t="s">
        <v>81</v>
      </c>
      <c r="E2475" s="77" t="s">
        <v>101</v>
      </c>
      <c r="F2475" s="77" t="s">
        <v>73</v>
      </c>
      <c r="G2475" s="77" t="s">
        <v>74</v>
      </c>
      <c r="H2475" s="77" t="s">
        <v>108</v>
      </c>
      <c r="I2475" s="77" t="s">
        <v>84</v>
      </c>
      <c r="J2475" s="76" cm="1">
        <f t="array" ref="J2475:J2477">'SUT_EU27 total'!$K$49:$K$51</f>
        <v>0</v>
      </c>
    </row>
    <row r="2476" spans="1:10" x14ac:dyDescent="0.35">
      <c r="A2476" t="s">
        <v>14</v>
      </c>
      <c r="B2476" t="s">
        <v>35</v>
      </c>
      <c r="C2476" s="77" t="s">
        <v>88</v>
      </c>
      <c r="D2476" t="s">
        <v>81</v>
      </c>
      <c r="E2476" s="77" t="s">
        <v>104</v>
      </c>
      <c r="F2476" s="77" t="s">
        <v>73</v>
      </c>
      <c r="G2476" s="77" t="s">
        <v>74</v>
      </c>
      <c r="H2476" s="77" t="s">
        <v>108</v>
      </c>
      <c r="I2476" s="77" t="s">
        <v>84</v>
      </c>
      <c r="J2476" s="76">
        <v>0</v>
      </c>
    </row>
    <row r="2477" spans="1:10" x14ac:dyDescent="0.35">
      <c r="A2477" t="s">
        <v>14</v>
      </c>
      <c r="B2477" t="s">
        <v>35</v>
      </c>
      <c r="C2477" s="77" t="s">
        <v>88</v>
      </c>
      <c r="D2477" t="s">
        <v>81</v>
      </c>
      <c r="E2477" s="77" t="s">
        <v>106</v>
      </c>
      <c r="F2477" s="77" t="s">
        <v>73</v>
      </c>
      <c r="G2477" s="77" t="s">
        <v>74</v>
      </c>
      <c r="H2477" s="77" t="s">
        <v>108</v>
      </c>
      <c r="I2477" s="77" t="s">
        <v>84</v>
      </c>
      <c r="J2477" s="76">
        <v>0</v>
      </c>
    </row>
    <row r="2478" spans="1:10" x14ac:dyDescent="0.35">
      <c r="A2478" t="s">
        <v>14</v>
      </c>
      <c r="B2478" t="s">
        <v>35</v>
      </c>
      <c r="C2478" s="77" t="s">
        <v>90</v>
      </c>
      <c r="D2478" t="s">
        <v>81</v>
      </c>
      <c r="E2478" s="77" t="s">
        <v>118</v>
      </c>
      <c r="F2478" s="77" t="s">
        <v>73</v>
      </c>
      <c r="G2478" s="77" t="s">
        <v>74</v>
      </c>
      <c r="H2478" s="77" t="s">
        <v>108</v>
      </c>
      <c r="I2478" s="77" t="s">
        <v>84</v>
      </c>
      <c r="J2478" s="76" cm="1">
        <f t="array" ref="J2478:J2480">'SUT_EU27 total'!$K$55:$K$57</f>
        <v>4.323194595174263E-3</v>
      </c>
    </row>
    <row r="2479" spans="1:10" x14ac:dyDescent="0.35">
      <c r="A2479" t="s">
        <v>14</v>
      </c>
      <c r="B2479" t="s">
        <v>35</v>
      </c>
      <c r="C2479" s="77" t="s">
        <v>90</v>
      </c>
      <c r="D2479" t="s">
        <v>81</v>
      </c>
      <c r="E2479" s="77" t="s">
        <v>119</v>
      </c>
      <c r="F2479" s="77" t="s">
        <v>73</v>
      </c>
      <c r="G2479" s="77" t="s">
        <v>74</v>
      </c>
      <c r="H2479" s="77" t="s">
        <v>108</v>
      </c>
      <c r="I2479" s="77" t="s">
        <v>84</v>
      </c>
      <c r="J2479" s="76">
        <v>1.2800331672655335E-3</v>
      </c>
    </row>
    <row r="2480" spans="1:10" x14ac:dyDescent="0.35">
      <c r="A2480" t="s">
        <v>14</v>
      </c>
      <c r="B2480" t="s">
        <v>35</v>
      </c>
      <c r="C2480" s="77" t="s">
        <v>90</v>
      </c>
      <c r="D2480" t="s">
        <v>81</v>
      </c>
      <c r="E2480" s="77" t="s">
        <v>120</v>
      </c>
      <c r="F2480" s="77" t="s">
        <v>73</v>
      </c>
      <c r="G2480" s="77" t="s">
        <v>74</v>
      </c>
      <c r="H2480" s="77" t="s">
        <v>108</v>
      </c>
      <c r="I2480" s="77" t="s">
        <v>84</v>
      </c>
      <c r="J2480" s="76">
        <v>5.6700291220540041E-3</v>
      </c>
    </row>
    <row r="2481" spans="1:10" x14ac:dyDescent="0.35">
      <c r="A2481" t="s">
        <v>14</v>
      </c>
      <c r="B2481" t="s">
        <v>35</v>
      </c>
      <c r="C2481" s="77" t="s">
        <v>90</v>
      </c>
      <c r="D2481" t="s">
        <v>81</v>
      </c>
      <c r="E2481" s="77" t="s">
        <v>121</v>
      </c>
      <c r="F2481" s="77" t="s">
        <v>73</v>
      </c>
      <c r="G2481" s="77" t="s">
        <v>74</v>
      </c>
      <c r="H2481" s="77" t="s">
        <v>108</v>
      </c>
      <c r="I2481" s="77" t="s">
        <v>84</v>
      </c>
      <c r="J2481" s="76">
        <f>'SUT_EU27 total'!$K$59</f>
        <v>0</v>
      </c>
    </row>
    <row r="2482" spans="1:10" x14ac:dyDescent="0.35">
      <c r="A2482" t="s">
        <v>14</v>
      </c>
      <c r="B2482" t="s">
        <v>35</v>
      </c>
      <c r="C2482" s="77" t="s">
        <v>90</v>
      </c>
      <c r="D2482" t="s">
        <v>81</v>
      </c>
      <c r="E2482" s="77" t="s">
        <v>117</v>
      </c>
      <c r="F2482" s="77" t="s">
        <v>73</v>
      </c>
      <c r="G2482" s="77" t="s">
        <v>74</v>
      </c>
      <c r="H2482" s="77" t="s">
        <v>108</v>
      </c>
      <c r="I2482" s="77" t="s">
        <v>84</v>
      </c>
      <c r="J2482" s="76">
        <f>'SUT_EU27 total'!$K$61</f>
        <v>1.1930979242119881E-3</v>
      </c>
    </row>
    <row r="2483" spans="1:10" x14ac:dyDescent="0.35">
      <c r="A2483" t="s">
        <v>14</v>
      </c>
      <c r="B2483" t="s">
        <v>35</v>
      </c>
      <c r="C2483" s="77" t="s">
        <v>90</v>
      </c>
      <c r="D2483" t="s">
        <v>81</v>
      </c>
      <c r="E2483" s="77" t="s">
        <v>122</v>
      </c>
      <c r="F2483" s="77" t="s">
        <v>73</v>
      </c>
      <c r="G2483" s="77" t="s">
        <v>74</v>
      </c>
      <c r="H2483" s="77" t="s">
        <v>108</v>
      </c>
      <c r="I2483" s="77" t="s">
        <v>84</v>
      </c>
      <c r="J2483" s="76">
        <f>'SUT_EU27 total'!$K$64</f>
        <v>2.5776238002378116E-3</v>
      </c>
    </row>
    <row r="2484" spans="1:10" x14ac:dyDescent="0.35">
      <c r="A2484" t="s">
        <v>14</v>
      </c>
      <c r="B2484" t="s">
        <v>35</v>
      </c>
      <c r="C2484" s="77" t="s">
        <v>90</v>
      </c>
      <c r="D2484" t="s">
        <v>81</v>
      </c>
      <c r="E2484" s="77" t="s">
        <v>101</v>
      </c>
      <c r="F2484" s="77" t="s">
        <v>73</v>
      </c>
      <c r="G2484" s="77" t="s">
        <v>74</v>
      </c>
      <c r="H2484" s="77" t="s">
        <v>108</v>
      </c>
      <c r="I2484" s="77" t="s">
        <v>84</v>
      </c>
      <c r="J2484" s="76" cm="1">
        <f t="array" ref="J2484:J2486">'SUT_EU27 total'!$K$66:$K$68</f>
        <v>0</v>
      </c>
    </row>
    <row r="2485" spans="1:10" x14ac:dyDescent="0.35">
      <c r="A2485" t="s">
        <v>14</v>
      </c>
      <c r="B2485" t="s">
        <v>35</v>
      </c>
      <c r="C2485" s="77" t="s">
        <v>90</v>
      </c>
      <c r="D2485" t="s">
        <v>81</v>
      </c>
      <c r="E2485" s="77" t="s">
        <v>104</v>
      </c>
      <c r="F2485" s="77" t="s">
        <v>73</v>
      </c>
      <c r="G2485" s="77" t="s">
        <v>74</v>
      </c>
      <c r="H2485" s="77" t="s">
        <v>108</v>
      </c>
      <c r="I2485" s="77" t="s">
        <v>84</v>
      </c>
      <c r="J2485" s="76">
        <v>0</v>
      </c>
    </row>
    <row r="2486" spans="1:10" x14ac:dyDescent="0.35">
      <c r="A2486" t="s">
        <v>14</v>
      </c>
      <c r="B2486" t="s">
        <v>35</v>
      </c>
      <c r="C2486" s="77" t="s">
        <v>90</v>
      </c>
      <c r="D2486" t="s">
        <v>81</v>
      </c>
      <c r="E2486" s="77" t="s">
        <v>106</v>
      </c>
      <c r="F2486" s="77" t="s">
        <v>73</v>
      </c>
      <c r="G2486" s="77" t="s">
        <v>74</v>
      </c>
      <c r="H2486" s="77" t="s">
        <v>108</v>
      </c>
      <c r="I2486" s="77" t="s">
        <v>84</v>
      </c>
      <c r="J2486" s="76">
        <v>0</v>
      </c>
    </row>
    <row r="2487" spans="1:10" x14ac:dyDescent="0.35">
      <c r="A2487" t="s">
        <v>14</v>
      </c>
      <c r="B2487" t="s">
        <v>35</v>
      </c>
      <c r="C2487" s="77" t="s">
        <v>91</v>
      </c>
      <c r="D2487" t="s">
        <v>81</v>
      </c>
      <c r="E2487" s="77" t="s">
        <v>118</v>
      </c>
      <c r="F2487" s="77" t="s">
        <v>73</v>
      </c>
      <c r="G2487" s="77" t="s">
        <v>74</v>
      </c>
      <c r="H2487" s="77" t="s">
        <v>108</v>
      </c>
      <c r="I2487" s="77" t="s">
        <v>84</v>
      </c>
      <c r="J2487" s="76" cm="1">
        <f t="array" ref="J2487:J2489">'SUT_EU27 total'!$K$72:$K$74</f>
        <v>5.3791732332439677E-3</v>
      </c>
    </row>
    <row r="2488" spans="1:10" x14ac:dyDescent="0.35">
      <c r="A2488" t="s">
        <v>14</v>
      </c>
      <c r="B2488" t="s">
        <v>35</v>
      </c>
      <c r="C2488" s="77" t="s">
        <v>91</v>
      </c>
      <c r="D2488" t="s">
        <v>81</v>
      </c>
      <c r="E2488" s="77" t="s">
        <v>119</v>
      </c>
      <c r="F2488" s="77" t="s">
        <v>73</v>
      </c>
      <c r="G2488" s="77" t="s">
        <v>74</v>
      </c>
      <c r="H2488" s="77" t="s">
        <v>108</v>
      </c>
      <c r="I2488" s="77" t="s">
        <v>84</v>
      </c>
      <c r="J2488" s="76">
        <v>6.5526133182607291E-3</v>
      </c>
    </row>
    <row r="2489" spans="1:10" x14ac:dyDescent="0.35">
      <c r="A2489" t="s">
        <v>14</v>
      </c>
      <c r="B2489" t="s">
        <v>35</v>
      </c>
      <c r="C2489" s="77" t="s">
        <v>91</v>
      </c>
      <c r="D2489" t="s">
        <v>81</v>
      </c>
      <c r="E2489" s="77" t="s">
        <v>120</v>
      </c>
      <c r="F2489" s="77" t="s">
        <v>73</v>
      </c>
      <c r="G2489" s="77" t="s">
        <v>74</v>
      </c>
      <c r="H2489" s="77" t="s">
        <v>108</v>
      </c>
      <c r="I2489" s="77" t="s">
        <v>84</v>
      </c>
      <c r="J2489" s="76">
        <v>2.464950959887623E-4</v>
      </c>
    </row>
    <row r="2490" spans="1:10" x14ac:dyDescent="0.35">
      <c r="A2490" t="s">
        <v>14</v>
      </c>
      <c r="B2490" t="s">
        <v>35</v>
      </c>
      <c r="C2490" s="77" t="s">
        <v>91</v>
      </c>
      <c r="D2490" t="s">
        <v>81</v>
      </c>
      <c r="E2490" s="77" t="s">
        <v>121</v>
      </c>
      <c r="F2490" s="77" t="s">
        <v>73</v>
      </c>
      <c r="G2490" s="77" t="s">
        <v>74</v>
      </c>
      <c r="H2490" s="77" t="s">
        <v>108</v>
      </c>
      <c r="I2490" s="77" t="s">
        <v>84</v>
      </c>
      <c r="J2490" s="76">
        <f>'SUT_EU27 total'!$K$76</f>
        <v>0</v>
      </c>
    </row>
    <row r="2491" spans="1:10" x14ac:dyDescent="0.35">
      <c r="A2491" t="s">
        <v>14</v>
      </c>
      <c r="B2491" t="s">
        <v>35</v>
      </c>
      <c r="C2491" s="77" t="s">
        <v>91</v>
      </c>
      <c r="D2491" t="s">
        <v>81</v>
      </c>
      <c r="E2491" s="77" t="s">
        <v>117</v>
      </c>
      <c r="F2491" s="77" t="s">
        <v>73</v>
      </c>
      <c r="G2491" s="77" t="s">
        <v>74</v>
      </c>
      <c r="H2491" s="77" t="s">
        <v>108</v>
      </c>
      <c r="I2491" s="77" t="s">
        <v>84</v>
      </c>
      <c r="J2491" s="76">
        <f>'SUT_EU27 total'!$K$78</f>
        <v>1.1485683451306521E-3</v>
      </c>
    </row>
    <row r="2492" spans="1:10" x14ac:dyDescent="0.35">
      <c r="A2492" t="s">
        <v>14</v>
      </c>
      <c r="B2492" t="s">
        <v>35</v>
      </c>
      <c r="C2492" s="77" t="s">
        <v>91</v>
      </c>
      <c r="D2492" t="s">
        <v>81</v>
      </c>
      <c r="E2492" s="77" t="s">
        <v>122</v>
      </c>
      <c r="F2492" s="77" t="s">
        <v>73</v>
      </c>
      <c r="G2492" s="77" t="s">
        <v>74</v>
      </c>
      <c r="H2492" s="77" t="s">
        <v>108</v>
      </c>
      <c r="I2492" s="77" t="s">
        <v>84</v>
      </c>
      <c r="J2492" s="76">
        <f>'SUT_EU27 total'!$K$81</f>
        <v>0</v>
      </c>
    </row>
    <row r="2493" spans="1:10" x14ac:dyDescent="0.35">
      <c r="A2493" t="s">
        <v>14</v>
      </c>
      <c r="B2493" t="s">
        <v>35</v>
      </c>
      <c r="C2493" s="77" t="s">
        <v>91</v>
      </c>
      <c r="D2493" t="s">
        <v>81</v>
      </c>
      <c r="E2493" s="77" t="s">
        <v>101</v>
      </c>
      <c r="F2493" s="77" t="s">
        <v>73</v>
      </c>
      <c r="G2493" s="77" t="s">
        <v>74</v>
      </c>
      <c r="H2493" s="77" t="s">
        <v>108</v>
      </c>
      <c r="I2493" s="77" t="s">
        <v>84</v>
      </c>
      <c r="J2493" s="76" cm="1">
        <f t="array" ref="J2493:J2495">'SUT_EU27 total'!$K$83:$K$85</f>
        <v>0</v>
      </c>
    </row>
    <row r="2494" spans="1:10" x14ac:dyDescent="0.35">
      <c r="A2494" t="s">
        <v>14</v>
      </c>
      <c r="B2494" t="s">
        <v>35</v>
      </c>
      <c r="C2494" s="77" t="s">
        <v>91</v>
      </c>
      <c r="D2494" t="s">
        <v>81</v>
      </c>
      <c r="E2494" s="77" t="s">
        <v>104</v>
      </c>
      <c r="F2494" s="77" t="s">
        <v>73</v>
      </c>
      <c r="G2494" s="77" t="s">
        <v>74</v>
      </c>
      <c r="H2494" s="77" t="s">
        <v>108</v>
      </c>
      <c r="I2494" s="77" t="s">
        <v>84</v>
      </c>
      <c r="J2494" s="76">
        <v>0</v>
      </c>
    </row>
    <row r="2495" spans="1:10" x14ac:dyDescent="0.35">
      <c r="A2495" t="s">
        <v>14</v>
      </c>
      <c r="B2495" t="s">
        <v>35</v>
      </c>
      <c r="C2495" s="77" t="s">
        <v>91</v>
      </c>
      <c r="D2495" t="s">
        <v>81</v>
      </c>
      <c r="E2495" s="77" t="s">
        <v>106</v>
      </c>
      <c r="F2495" s="77" t="s">
        <v>73</v>
      </c>
      <c r="G2495" s="77" t="s">
        <v>74</v>
      </c>
      <c r="H2495" s="77" t="s">
        <v>108</v>
      </c>
      <c r="I2495" s="77" t="s">
        <v>84</v>
      </c>
      <c r="J2495" s="76">
        <v>0</v>
      </c>
    </row>
    <row r="2496" spans="1:10" x14ac:dyDescent="0.35">
      <c r="A2496" t="s">
        <v>14</v>
      </c>
      <c r="B2496" t="s">
        <v>35</v>
      </c>
      <c r="C2496" s="77" t="s">
        <v>92</v>
      </c>
      <c r="D2496" t="s">
        <v>81</v>
      </c>
      <c r="E2496" s="77" t="s">
        <v>118</v>
      </c>
      <c r="F2496" s="77" t="s">
        <v>73</v>
      </c>
      <c r="G2496" s="77" t="s">
        <v>74</v>
      </c>
      <c r="H2496" s="77" t="s">
        <v>108</v>
      </c>
      <c r="I2496" s="77" t="s">
        <v>84</v>
      </c>
      <c r="J2496" s="76" cm="1">
        <f t="array" ref="J2496:J2498">'SUT_EU27 total'!$K$89:$K$91</f>
        <v>3.3497344343163542E-3</v>
      </c>
    </row>
    <row r="2497" spans="1:10" x14ac:dyDescent="0.35">
      <c r="A2497" t="s">
        <v>14</v>
      </c>
      <c r="B2497" t="s">
        <v>35</v>
      </c>
      <c r="C2497" s="77" t="s">
        <v>92</v>
      </c>
      <c r="D2497" t="s">
        <v>81</v>
      </c>
      <c r="E2497" s="77" t="s">
        <v>119</v>
      </c>
      <c r="F2497" s="77" t="s">
        <v>73</v>
      </c>
      <c r="G2497" s="77" t="s">
        <v>74</v>
      </c>
      <c r="H2497" s="77" t="s">
        <v>108</v>
      </c>
      <c r="I2497" s="77" t="s">
        <v>84</v>
      </c>
      <c r="J2497" s="76">
        <v>6.0269323460777589E-3</v>
      </c>
    </row>
    <row r="2498" spans="1:10" x14ac:dyDescent="0.35">
      <c r="A2498" t="s">
        <v>14</v>
      </c>
      <c r="B2498" t="s">
        <v>35</v>
      </c>
      <c r="C2498" s="77" t="s">
        <v>92</v>
      </c>
      <c r="D2498" t="s">
        <v>81</v>
      </c>
      <c r="E2498" s="77" t="s">
        <v>120</v>
      </c>
      <c r="F2498" s="77" t="s">
        <v>73</v>
      </c>
      <c r="G2498" s="77" t="s">
        <v>74</v>
      </c>
      <c r="H2498" s="77" t="s">
        <v>108</v>
      </c>
      <c r="I2498" s="77" t="s">
        <v>84</v>
      </c>
      <c r="J2498" s="76">
        <v>4.0947713992508196E-3</v>
      </c>
    </row>
    <row r="2499" spans="1:10" x14ac:dyDescent="0.35">
      <c r="A2499" t="s">
        <v>14</v>
      </c>
      <c r="B2499" t="s">
        <v>35</v>
      </c>
      <c r="C2499" s="77" t="s">
        <v>92</v>
      </c>
      <c r="D2499" t="s">
        <v>81</v>
      </c>
      <c r="E2499" s="77" t="s">
        <v>121</v>
      </c>
      <c r="F2499" s="77" t="s">
        <v>73</v>
      </c>
      <c r="G2499" s="77" t="s">
        <v>74</v>
      </c>
      <c r="H2499" s="77" t="s">
        <v>108</v>
      </c>
      <c r="I2499" s="77" t="s">
        <v>84</v>
      </c>
      <c r="J2499" s="76">
        <f>'SUT_EU27 total'!$K$93</f>
        <v>0</v>
      </c>
    </row>
    <row r="2500" spans="1:10" x14ac:dyDescent="0.35">
      <c r="A2500" t="s">
        <v>14</v>
      </c>
      <c r="B2500" t="s">
        <v>35</v>
      </c>
      <c r="C2500" s="77" t="s">
        <v>92</v>
      </c>
      <c r="D2500" t="s">
        <v>81</v>
      </c>
      <c r="E2500" s="77" t="s">
        <v>117</v>
      </c>
      <c r="F2500" s="77" t="s">
        <v>73</v>
      </c>
      <c r="G2500" s="77" t="s">
        <v>74</v>
      </c>
      <c r="H2500" s="77" t="s">
        <v>108</v>
      </c>
      <c r="I2500" s="77" t="s">
        <v>84</v>
      </c>
      <c r="J2500" s="76">
        <f>'SUT_EU27 total'!$K$95</f>
        <v>0</v>
      </c>
    </row>
    <row r="2501" spans="1:10" x14ac:dyDescent="0.35">
      <c r="A2501" t="s">
        <v>14</v>
      </c>
      <c r="B2501" t="s">
        <v>35</v>
      </c>
      <c r="C2501" s="77" t="s">
        <v>92</v>
      </c>
      <c r="D2501" t="s">
        <v>81</v>
      </c>
      <c r="E2501" s="77" t="s">
        <v>122</v>
      </c>
      <c r="F2501" s="77" t="s">
        <v>73</v>
      </c>
      <c r="G2501" s="77" t="s">
        <v>74</v>
      </c>
      <c r="H2501" s="77" t="s">
        <v>108</v>
      </c>
      <c r="I2501" s="77" t="s">
        <v>84</v>
      </c>
      <c r="J2501" s="76">
        <f>'SUT_EU27 total'!$K$98</f>
        <v>0</v>
      </c>
    </row>
    <row r="2502" spans="1:10" x14ac:dyDescent="0.35">
      <c r="A2502" t="s">
        <v>14</v>
      </c>
      <c r="B2502" t="s">
        <v>35</v>
      </c>
      <c r="C2502" s="77" t="s">
        <v>92</v>
      </c>
      <c r="D2502" t="s">
        <v>81</v>
      </c>
      <c r="E2502" s="77" t="s">
        <v>101</v>
      </c>
      <c r="F2502" s="77" t="s">
        <v>73</v>
      </c>
      <c r="G2502" s="77" t="s">
        <v>74</v>
      </c>
      <c r="H2502" s="77" t="s">
        <v>108</v>
      </c>
      <c r="I2502" s="77" t="s">
        <v>84</v>
      </c>
      <c r="J2502" s="76" cm="1">
        <f t="array" ref="J2502:J2504">'SUT_EU27 total'!$K$100:$K$102</f>
        <v>0</v>
      </c>
    </row>
    <row r="2503" spans="1:10" x14ac:dyDescent="0.35">
      <c r="A2503" t="s">
        <v>14</v>
      </c>
      <c r="B2503" t="s">
        <v>35</v>
      </c>
      <c r="C2503" s="77" t="s">
        <v>92</v>
      </c>
      <c r="D2503" t="s">
        <v>81</v>
      </c>
      <c r="E2503" s="77" t="s">
        <v>104</v>
      </c>
      <c r="F2503" s="77" t="s">
        <v>73</v>
      </c>
      <c r="G2503" s="77" t="s">
        <v>74</v>
      </c>
      <c r="H2503" s="77" t="s">
        <v>108</v>
      </c>
      <c r="I2503" s="77" t="s">
        <v>84</v>
      </c>
      <c r="J2503" s="76">
        <v>0</v>
      </c>
    </row>
    <row r="2504" spans="1:10" x14ac:dyDescent="0.35">
      <c r="A2504" t="s">
        <v>14</v>
      </c>
      <c r="B2504" t="s">
        <v>35</v>
      </c>
      <c r="C2504" s="77" t="s">
        <v>92</v>
      </c>
      <c r="D2504" t="s">
        <v>81</v>
      </c>
      <c r="E2504" s="77" t="s">
        <v>106</v>
      </c>
      <c r="F2504" s="77" t="s">
        <v>73</v>
      </c>
      <c r="G2504" s="77" t="s">
        <v>74</v>
      </c>
      <c r="H2504" s="77" t="s">
        <v>108</v>
      </c>
      <c r="I2504" s="77" t="s">
        <v>84</v>
      </c>
      <c r="J2504" s="76">
        <v>0</v>
      </c>
    </row>
    <row r="2505" spans="1:10" x14ac:dyDescent="0.35">
      <c r="A2505" t="s">
        <v>14</v>
      </c>
      <c r="B2505" t="s">
        <v>35</v>
      </c>
      <c r="C2505" s="77" t="s">
        <v>93</v>
      </c>
      <c r="D2505" t="s">
        <v>81</v>
      </c>
      <c r="E2505" s="77" t="s">
        <v>118</v>
      </c>
      <c r="F2505" s="77" t="s">
        <v>73</v>
      </c>
      <c r="G2505" s="77" t="s">
        <v>74</v>
      </c>
      <c r="H2505" s="77" t="s">
        <v>108</v>
      </c>
      <c r="I2505" s="77" t="s">
        <v>84</v>
      </c>
      <c r="J2505" s="76" cm="1">
        <f t="array" ref="J2505:J2507">'SUT_EU27 total'!$K$106:$K$108</f>
        <v>1.4980971667560324E-2</v>
      </c>
    </row>
    <row r="2506" spans="1:10" x14ac:dyDescent="0.35">
      <c r="A2506" t="s">
        <v>14</v>
      </c>
      <c r="B2506" t="s">
        <v>35</v>
      </c>
      <c r="C2506" s="77" t="s">
        <v>93</v>
      </c>
      <c r="D2506" t="s">
        <v>81</v>
      </c>
      <c r="E2506" s="77" t="s">
        <v>119</v>
      </c>
      <c r="F2506" s="77" t="s">
        <v>73</v>
      </c>
      <c r="G2506" s="77" t="s">
        <v>74</v>
      </c>
      <c r="H2506" s="77" t="s">
        <v>108</v>
      </c>
      <c r="I2506" s="77" t="s">
        <v>84</v>
      </c>
      <c r="J2506" s="76">
        <v>4.3405477873147885E-2</v>
      </c>
    </row>
    <row r="2507" spans="1:10" x14ac:dyDescent="0.35">
      <c r="A2507" t="s">
        <v>14</v>
      </c>
      <c r="B2507" t="s">
        <v>35</v>
      </c>
      <c r="C2507" s="77" t="s">
        <v>93</v>
      </c>
      <c r="D2507" t="s">
        <v>81</v>
      </c>
      <c r="E2507" s="77" t="s">
        <v>120</v>
      </c>
      <c r="F2507" s="77" t="s">
        <v>73</v>
      </c>
      <c r="G2507" s="77" t="s">
        <v>74</v>
      </c>
      <c r="H2507" s="77" t="s">
        <v>108</v>
      </c>
      <c r="I2507" s="77" t="s">
        <v>84</v>
      </c>
      <c r="J2507" s="76">
        <v>2.1237093113781802E-2</v>
      </c>
    </row>
    <row r="2508" spans="1:10" x14ac:dyDescent="0.35">
      <c r="A2508" t="s">
        <v>14</v>
      </c>
      <c r="B2508" t="s">
        <v>35</v>
      </c>
      <c r="C2508" s="77" t="s">
        <v>93</v>
      </c>
      <c r="D2508" t="s">
        <v>81</v>
      </c>
      <c r="E2508" s="77" t="s">
        <v>121</v>
      </c>
      <c r="F2508" s="77" t="s">
        <v>73</v>
      </c>
      <c r="G2508" s="77" t="s">
        <v>74</v>
      </c>
      <c r="H2508" s="77" t="s">
        <v>108</v>
      </c>
      <c r="I2508" s="77" t="s">
        <v>84</v>
      </c>
      <c r="J2508" s="76">
        <f>'SUT_EU27 total'!$K$110</f>
        <v>0</v>
      </c>
    </row>
    <row r="2509" spans="1:10" x14ac:dyDescent="0.35">
      <c r="A2509" t="s">
        <v>14</v>
      </c>
      <c r="B2509" t="s">
        <v>35</v>
      </c>
      <c r="C2509" s="77" t="s">
        <v>93</v>
      </c>
      <c r="D2509" t="s">
        <v>81</v>
      </c>
      <c r="E2509" s="77" t="s">
        <v>117</v>
      </c>
      <c r="F2509" s="77" t="s">
        <v>73</v>
      </c>
      <c r="G2509" s="77" t="s">
        <v>74</v>
      </c>
      <c r="H2509" s="77" t="s">
        <v>108</v>
      </c>
      <c r="I2509" s="77" t="s">
        <v>84</v>
      </c>
      <c r="J2509" s="76">
        <f>'SUT_EU27 total'!$K$112</f>
        <v>1.1930984723440377E-3</v>
      </c>
    </row>
    <row r="2510" spans="1:10" x14ac:dyDescent="0.35">
      <c r="A2510" t="s">
        <v>14</v>
      </c>
      <c r="B2510" t="s">
        <v>35</v>
      </c>
      <c r="C2510" s="77" t="s">
        <v>93</v>
      </c>
      <c r="D2510" t="s">
        <v>81</v>
      </c>
      <c r="E2510" s="77" t="s">
        <v>122</v>
      </c>
      <c r="F2510" s="77" t="s">
        <v>73</v>
      </c>
      <c r="G2510" s="77" t="s">
        <v>74</v>
      </c>
      <c r="H2510" s="77" t="s">
        <v>108</v>
      </c>
      <c r="I2510" s="77" t="s">
        <v>84</v>
      </c>
      <c r="J2510" s="76">
        <f>'SUT_EU27 total'!$K$115</f>
        <v>8.7987828585017833E-3</v>
      </c>
    </row>
    <row r="2511" spans="1:10" x14ac:dyDescent="0.35">
      <c r="A2511" t="s">
        <v>14</v>
      </c>
      <c r="B2511" t="s">
        <v>35</v>
      </c>
      <c r="C2511" s="77" t="s">
        <v>93</v>
      </c>
      <c r="D2511" t="s">
        <v>81</v>
      </c>
      <c r="E2511" s="77" t="s">
        <v>101</v>
      </c>
      <c r="F2511" s="77" t="s">
        <v>73</v>
      </c>
      <c r="G2511" s="77" t="s">
        <v>74</v>
      </c>
      <c r="H2511" s="77" t="s">
        <v>108</v>
      </c>
      <c r="I2511" s="77" t="s">
        <v>84</v>
      </c>
      <c r="J2511" s="76" cm="1">
        <f t="array" ref="J2511:J2513">'SUT_EU27 total'!$K$117:$K$119</f>
        <v>0</v>
      </c>
    </row>
    <row r="2512" spans="1:10" x14ac:dyDescent="0.35">
      <c r="A2512" t="s">
        <v>14</v>
      </c>
      <c r="B2512" t="s">
        <v>35</v>
      </c>
      <c r="C2512" s="77" t="s">
        <v>93</v>
      </c>
      <c r="D2512" t="s">
        <v>81</v>
      </c>
      <c r="E2512" s="77" t="s">
        <v>104</v>
      </c>
      <c r="F2512" s="77" t="s">
        <v>73</v>
      </c>
      <c r="G2512" s="77" t="s">
        <v>74</v>
      </c>
      <c r="H2512" s="77" t="s">
        <v>108</v>
      </c>
      <c r="I2512" s="77" t="s">
        <v>84</v>
      </c>
      <c r="J2512" s="76">
        <v>0</v>
      </c>
    </row>
    <row r="2513" spans="1:10" x14ac:dyDescent="0.35">
      <c r="A2513" t="s">
        <v>14</v>
      </c>
      <c r="B2513" t="s">
        <v>35</v>
      </c>
      <c r="C2513" s="77" t="s">
        <v>93</v>
      </c>
      <c r="D2513" t="s">
        <v>81</v>
      </c>
      <c r="E2513" s="77" t="s">
        <v>106</v>
      </c>
      <c r="F2513" s="77" t="s">
        <v>73</v>
      </c>
      <c r="G2513" s="77" t="s">
        <v>74</v>
      </c>
      <c r="H2513" s="77" t="s">
        <v>108</v>
      </c>
      <c r="I2513" s="77" t="s">
        <v>84</v>
      </c>
      <c r="J2513" s="76">
        <v>0</v>
      </c>
    </row>
    <row r="2514" spans="1:10" x14ac:dyDescent="0.35">
      <c r="A2514" t="s">
        <v>14</v>
      </c>
      <c r="B2514" t="s">
        <v>35</v>
      </c>
      <c r="C2514" s="77" t="s">
        <v>73</v>
      </c>
      <c r="D2514" t="s">
        <v>81</v>
      </c>
      <c r="E2514" s="77" t="s">
        <v>119</v>
      </c>
      <c r="F2514" s="77" t="s">
        <v>73</v>
      </c>
      <c r="G2514" s="77" t="s">
        <v>74</v>
      </c>
      <c r="H2514" s="77" t="s">
        <v>123</v>
      </c>
      <c r="I2514" s="77" t="s">
        <v>84</v>
      </c>
      <c r="J2514" s="76">
        <f>'SUT_EU27 total'!$L$22</f>
        <v>1.9500181678711294E-2</v>
      </c>
    </row>
    <row r="2515" spans="1:10" x14ac:dyDescent="0.35">
      <c r="A2515" t="s">
        <v>14</v>
      </c>
      <c r="B2515" t="s">
        <v>35</v>
      </c>
      <c r="C2515" s="77" t="s">
        <v>73</v>
      </c>
      <c r="D2515" t="s">
        <v>81</v>
      </c>
      <c r="E2515" s="77" t="s">
        <v>124</v>
      </c>
      <c r="F2515" s="77" t="s">
        <v>73</v>
      </c>
      <c r="G2515" s="77" t="s">
        <v>74</v>
      </c>
      <c r="H2515" s="77" t="s">
        <v>123</v>
      </c>
      <c r="I2515" s="77" t="s">
        <v>84</v>
      </c>
      <c r="J2515" s="76" cm="1">
        <f t="array" ref="J2515:J2523">'SUT_EU27 total'!$L$26:$L$34</f>
        <v>1.9404661061278542E-3</v>
      </c>
    </row>
    <row r="2516" spans="1:10" x14ac:dyDescent="0.35">
      <c r="A2516" t="s">
        <v>14</v>
      </c>
      <c r="B2516" t="s">
        <v>35</v>
      </c>
      <c r="C2516" s="77" t="s">
        <v>73</v>
      </c>
      <c r="D2516" t="s">
        <v>81</v>
      </c>
      <c r="E2516" s="77" t="s">
        <v>117</v>
      </c>
      <c r="F2516" s="77" t="s">
        <v>73</v>
      </c>
      <c r="G2516" s="77" t="s">
        <v>74</v>
      </c>
      <c r="H2516" s="77" t="s">
        <v>123</v>
      </c>
      <c r="I2516" s="77" t="s">
        <v>84</v>
      </c>
      <c r="J2516" s="76">
        <v>5.8423628191201782E-3</v>
      </c>
    </row>
    <row r="2517" spans="1:10" x14ac:dyDescent="0.35">
      <c r="A2517" t="s">
        <v>14</v>
      </c>
      <c r="B2517" t="s">
        <v>35</v>
      </c>
      <c r="C2517" s="77" t="s">
        <v>73</v>
      </c>
      <c r="D2517" t="s">
        <v>81</v>
      </c>
      <c r="E2517" s="77" t="s">
        <v>82</v>
      </c>
      <c r="F2517" s="77" t="s">
        <v>73</v>
      </c>
      <c r="G2517" s="77" t="s">
        <v>74</v>
      </c>
      <c r="H2517" s="77" t="s">
        <v>123</v>
      </c>
      <c r="I2517" s="77" t="s">
        <v>84</v>
      </c>
      <c r="J2517" s="76">
        <v>4.8981233243967828E-4</v>
      </c>
    </row>
    <row r="2518" spans="1:10" x14ac:dyDescent="0.35">
      <c r="A2518" t="s">
        <v>14</v>
      </c>
      <c r="B2518" t="s">
        <v>35</v>
      </c>
      <c r="C2518" s="77" t="s">
        <v>73</v>
      </c>
      <c r="D2518" t="s">
        <v>81</v>
      </c>
      <c r="E2518" s="77" t="s">
        <v>125</v>
      </c>
      <c r="F2518" s="77" t="s">
        <v>73</v>
      </c>
      <c r="G2518" s="77" t="s">
        <v>74</v>
      </c>
      <c r="H2518" s="77" t="s">
        <v>123</v>
      </c>
      <c r="I2518" s="77" t="s">
        <v>84</v>
      </c>
      <c r="J2518" s="76">
        <v>2.4658201215687387E-3</v>
      </c>
    </row>
    <row r="2519" spans="1:10" x14ac:dyDescent="0.35">
      <c r="A2519" t="s">
        <v>14</v>
      </c>
      <c r="B2519" t="s">
        <v>35</v>
      </c>
      <c r="C2519" s="77" t="s">
        <v>73</v>
      </c>
      <c r="D2519" t="s">
        <v>81</v>
      </c>
      <c r="E2519" s="77" t="s">
        <v>122</v>
      </c>
      <c r="F2519" s="77" t="s">
        <v>73</v>
      </c>
      <c r="G2519" s="77" t="s">
        <v>74</v>
      </c>
      <c r="H2519" s="77" t="s">
        <v>123</v>
      </c>
      <c r="I2519" s="77" t="s">
        <v>84</v>
      </c>
      <c r="J2519" s="76">
        <v>4.922711058263972E-4</v>
      </c>
    </row>
    <row r="2520" spans="1:10" x14ac:dyDescent="0.35">
      <c r="A2520" t="s">
        <v>14</v>
      </c>
      <c r="B2520" t="s">
        <v>35</v>
      </c>
      <c r="C2520" s="77" t="s">
        <v>73</v>
      </c>
      <c r="D2520" t="s">
        <v>81</v>
      </c>
      <c r="E2520" s="77" t="s">
        <v>126</v>
      </c>
      <c r="F2520" s="77" t="s">
        <v>73</v>
      </c>
      <c r="G2520" s="77" t="s">
        <v>74</v>
      </c>
      <c r="H2520" s="77" t="s">
        <v>123</v>
      </c>
      <c r="I2520" s="77" t="s">
        <v>84</v>
      </c>
      <c r="J2520" s="76">
        <v>0</v>
      </c>
    </row>
    <row r="2521" spans="1:10" x14ac:dyDescent="0.35">
      <c r="A2521" t="s">
        <v>14</v>
      </c>
      <c r="B2521" t="s">
        <v>35</v>
      </c>
      <c r="C2521" s="77" t="s">
        <v>73</v>
      </c>
      <c r="D2521" t="s">
        <v>81</v>
      </c>
      <c r="E2521" s="77" t="s">
        <v>101</v>
      </c>
      <c r="F2521" s="77" t="s">
        <v>73</v>
      </c>
      <c r="G2521" s="77" t="s">
        <v>74</v>
      </c>
      <c r="H2521" s="77" t="s">
        <v>123</v>
      </c>
      <c r="I2521" s="77" t="s">
        <v>84</v>
      </c>
      <c r="J2521" s="76">
        <v>3.7860913795851507E-4</v>
      </c>
    </row>
    <row r="2522" spans="1:10" x14ac:dyDescent="0.35">
      <c r="A2522" t="s">
        <v>14</v>
      </c>
      <c r="B2522" t="s">
        <v>35</v>
      </c>
      <c r="C2522" s="77" t="s">
        <v>73</v>
      </c>
      <c r="D2522" t="s">
        <v>81</v>
      </c>
      <c r="E2522" s="77" t="s">
        <v>104</v>
      </c>
      <c r="F2522" s="77" t="s">
        <v>73</v>
      </c>
      <c r="G2522" s="77" t="s">
        <v>74</v>
      </c>
      <c r="H2522" s="77" t="s">
        <v>123</v>
      </c>
      <c r="I2522" s="77" t="s">
        <v>84</v>
      </c>
      <c r="J2522" s="76">
        <v>7.1686251377883477E-4</v>
      </c>
    </row>
    <row r="2523" spans="1:10" x14ac:dyDescent="0.35">
      <c r="A2523" t="s">
        <v>14</v>
      </c>
      <c r="B2523" t="s">
        <v>35</v>
      </c>
      <c r="C2523" s="77" t="s">
        <v>73</v>
      </c>
      <c r="D2523" t="s">
        <v>81</v>
      </c>
      <c r="E2523" s="77" t="s">
        <v>106</v>
      </c>
      <c r="F2523" s="77" t="s">
        <v>73</v>
      </c>
      <c r="G2523" s="77" t="s">
        <v>74</v>
      </c>
      <c r="H2523" s="77" t="s">
        <v>123</v>
      </c>
      <c r="I2523" s="77" t="s">
        <v>84</v>
      </c>
      <c r="J2523" s="76">
        <v>2.438307869996036E-3</v>
      </c>
    </row>
    <row r="2524" spans="1:10" x14ac:dyDescent="0.35">
      <c r="A2524" t="s">
        <v>14</v>
      </c>
      <c r="B2524" t="s">
        <v>35</v>
      </c>
      <c r="C2524" s="77" t="s">
        <v>88</v>
      </c>
      <c r="D2524" t="s">
        <v>81</v>
      </c>
      <c r="E2524" s="77" t="s">
        <v>119</v>
      </c>
      <c r="F2524" s="77" t="s">
        <v>73</v>
      </c>
      <c r="G2524" s="77" t="s">
        <v>74</v>
      </c>
      <c r="H2524" s="77" t="s">
        <v>123</v>
      </c>
      <c r="I2524" s="77" t="s">
        <v>84</v>
      </c>
      <c r="J2524" s="76">
        <f>'SUT_EU27 total'!$L$39</f>
        <v>0.16108845734587587</v>
      </c>
    </row>
    <row r="2525" spans="1:10" x14ac:dyDescent="0.35">
      <c r="A2525" t="s">
        <v>14</v>
      </c>
      <c r="B2525" t="s">
        <v>35</v>
      </c>
      <c r="C2525" s="77" t="s">
        <v>88</v>
      </c>
      <c r="D2525" t="s">
        <v>81</v>
      </c>
      <c r="E2525" s="77" t="s">
        <v>124</v>
      </c>
      <c r="F2525" s="77" t="s">
        <v>73</v>
      </c>
      <c r="G2525" s="77" t="s">
        <v>74</v>
      </c>
      <c r="H2525" s="77" t="s">
        <v>123</v>
      </c>
      <c r="I2525" s="77" t="s">
        <v>84</v>
      </c>
      <c r="J2525" s="76" cm="1">
        <f t="array" ref="J2525:J2533">'SUT_EU27 total'!$M$43:$M$51</f>
        <v>5.0558836222750793E-4</v>
      </c>
    </row>
    <row r="2526" spans="1:10" x14ac:dyDescent="0.35">
      <c r="A2526" t="s">
        <v>14</v>
      </c>
      <c r="B2526" t="s">
        <v>35</v>
      </c>
      <c r="C2526" s="77" t="s">
        <v>88</v>
      </c>
      <c r="D2526" t="s">
        <v>81</v>
      </c>
      <c r="E2526" s="77" t="s">
        <v>117</v>
      </c>
      <c r="F2526" s="77" t="s">
        <v>73</v>
      </c>
      <c r="G2526" s="77" t="s">
        <v>74</v>
      </c>
      <c r="H2526" s="77" t="s">
        <v>123</v>
      </c>
      <c r="I2526" s="77" t="s">
        <v>84</v>
      </c>
      <c r="J2526" s="76">
        <v>4.8514464106651379E-3</v>
      </c>
    </row>
    <row r="2527" spans="1:10" x14ac:dyDescent="0.35">
      <c r="A2527" t="s">
        <v>14</v>
      </c>
      <c r="B2527" t="s">
        <v>35</v>
      </c>
      <c r="C2527" s="77" t="s">
        <v>88</v>
      </c>
      <c r="D2527" t="s">
        <v>81</v>
      </c>
      <c r="E2527" s="77" t="s">
        <v>82</v>
      </c>
      <c r="F2527" s="77" t="s">
        <v>73</v>
      </c>
      <c r="G2527" s="77" t="s">
        <v>74</v>
      </c>
      <c r="H2527" s="77" t="s">
        <v>123</v>
      </c>
      <c r="I2527" s="77" t="s">
        <v>84</v>
      </c>
      <c r="J2527" s="76">
        <v>1.109418436791091E-2</v>
      </c>
    </row>
    <row r="2528" spans="1:10" x14ac:dyDescent="0.35">
      <c r="A2528" t="s">
        <v>14</v>
      </c>
      <c r="B2528" t="s">
        <v>35</v>
      </c>
      <c r="C2528" s="77" t="s">
        <v>88</v>
      </c>
      <c r="D2528" t="s">
        <v>81</v>
      </c>
      <c r="E2528" s="77" t="s">
        <v>125</v>
      </c>
      <c r="F2528" s="77" t="s">
        <v>73</v>
      </c>
      <c r="G2528" s="77" t="s">
        <v>74</v>
      </c>
      <c r="H2528" s="77" t="s">
        <v>123</v>
      </c>
      <c r="I2528" s="77" t="s">
        <v>84</v>
      </c>
      <c r="J2528" s="76">
        <v>2.890870278990243E-5</v>
      </c>
    </row>
    <row r="2529" spans="1:10" x14ac:dyDescent="0.35">
      <c r="A2529" t="s">
        <v>14</v>
      </c>
      <c r="B2529" t="s">
        <v>35</v>
      </c>
      <c r="C2529" s="77" t="s">
        <v>88</v>
      </c>
      <c r="D2529" t="s">
        <v>81</v>
      </c>
      <c r="E2529" s="77" t="s">
        <v>122</v>
      </c>
      <c r="F2529" s="77" t="s">
        <v>73</v>
      </c>
      <c r="G2529" s="77" t="s">
        <v>74</v>
      </c>
      <c r="H2529" s="77" t="s">
        <v>123</v>
      </c>
      <c r="I2529" s="77" t="s">
        <v>84</v>
      </c>
      <c r="J2529" s="76">
        <v>0</v>
      </c>
    </row>
    <row r="2530" spans="1:10" x14ac:dyDescent="0.35">
      <c r="A2530" t="s">
        <v>14</v>
      </c>
      <c r="B2530" t="s">
        <v>35</v>
      </c>
      <c r="C2530" s="77" t="s">
        <v>88</v>
      </c>
      <c r="D2530" t="s">
        <v>81</v>
      </c>
      <c r="E2530" s="77" t="s">
        <v>126</v>
      </c>
      <c r="F2530" s="77" t="s">
        <v>73</v>
      </c>
      <c r="G2530" s="77" t="s">
        <v>74</v>
      </c>
      <c r="H2530" s="77" t="s">
        <v>123</v>
      </c>
      <c r="I2530" s="77" t="s">
        <v>84</v>
      </c>
      <c r="J2530" s="76">
        <v>2.8514320987501449E-3</v>
      </c>
    </row>
    <row r="2531" spans="1:10" x14ac:dyDescent="0.35">
      <c r="A2531" t="s">
        <v>14</v>
      </c>
      <c r="B2531" t="s">
        <v>35</v>
      </c>
      <c r="C2531" s="77" t="s">
        <v>88</v>
      </c>
      <c r="D2531" t="s">
        <v>81</v>
      </c>
      <c r="E2531" s="77" t="s">
        <v>101</v>
      </c>
      <c r="F2531" s="77" t="s">
        <v>73</v>
      </c>
      <c r="G2531" s="77" t="s">
        <v>74</v>
      </c>
      <c r="H2531" s="77" t="s">
        <v>123</v>
      </c>
      <c r="I2531" s="77" t="s">
        <v>84</v>
      </c>
      <c r="J2531" s="76">
        <v>0</v>
      </c>
    </row>
    <row r="2532" spans="1:10" x14ac:dyDescent="0.35">
      <c r="A2532" t="s">
        <v>14</v>
      </c>
      <c r="B2532" t="s">
        <v>35</v>
      </c>
      <c r="C2532" s="77" t="s">
        <v>88</v>
      </c>
      <c r="D2532" t="s">
        <v>81</v>
      </c>
      <c r="E2532" s="77" t="s">
        <v>104</v>
      </c>
      <c r="F2532" s="77" t="s">
        <v>73</v>
      </c>
      <c r="G2532" s="77" t="s">
        <v>74</v>
      </c>
      <c r="H2532" s="77" t="s">
        <v>123</v>
      </c>
      <c r="I2532" s="77" t="s">
        <v>84</v>
      </c>
      <c r="J2532" s="76">
        <v>0</v>
      </c>
    </row>
    <row r="2533" spans="1:10" x14ac:dyDescent="0.35">
      <c r="A2533" t="s">
        <v>14</v>
      </c>
      <c r="B2533" t="s">
        <v>35</v>
      </c>
      <c r="C2533" s="77" t="s">
        <v>88</v>
      </c>
      <c r="D2533" t="s">
        <v>81</v>
      </c>
      <c r="E2533" s="77" t="s">
        <v>106</v>
      </c>
      <c r="F2533" s="77" t="s">
        <v>73</v>
      </c>
      <c r="G2533" s="77" t="s">
        <v>74</v>
      </c>
      <c r="H2533" s="77" t="s">
        <v>123</v>
      </c>
      <c r="I2533" s="77" t="s">
        <v>84</v>
      </c>
      <c r="J2533" s="76">
        <v>0</v>
      </c>
    </row>
    <row r="2534" spans="1:10" x14ac:dyDescent="0.35">
      <c r="A2534" t="s">
        <v>14</v>
      </c>
      <c r="B2534" t="s">
        <v>35</v>
      </c>
      <c r="C2534" s="77" t="s">
        <v>90</v>
      </c>
      <c r="D2534" t="s">
        <v>81</v>
      </c>
      <c r="E2534" s="77" t="s">
        <v>119</v>
      </c>
      <c r="F2534" s="77" t="s">
        <v>73</v>
      </c>
      <c r="G2534" s="77" t="s">
        <v>74</v>
      </c>
      <c r="H2534" s="77" t="s">
        <v>123</v>
      </c>
      <c r="I2534" s="77" t="s">
        <v>84</v>
      </c>
      <c r="J2534" s="76">
        <f>'SUT_EU27 total'!$M$56</f>
        <v>2.949251079979006E-2</v>
      </c>
    </row>
    <row r="2535" spans="1:10" x14ac:dyDescent="0.35">
      <c r="A2535" t="s">
        <v>14</v>
      </c>
      <c r="B2535" t="s">
        <v>35</v>
      </c>
      <c r="C2535" s="77" t="s">
        <v>90</v>
      </c>
      <c r="D2535" t="s">
        <v>81</v>
      </c>
      <c r="E2535" s="77" t="s">
        <v>124</v>
      </c>
      <c r="F2535" s="77" t="s">
        <v>73</v>
      </c>
      <c r="G2535" s="77" t="s">
        <v>74</v>
      </c>
      <c r="H2535" s="77" t="s">
        <v>123</v>
      </c>
      <c r="I2535" s="77" t="s">
        <v>84</v>
      </c>
      <c r="J2535" s="76" cm="1">
        <f t="array" ref="J2535:J2543">'SUT_EU27 total'!$L$60:$L$68</f>
        <v>2.1047443073980527E-5</v>
      </c>
    </row>
    <row r="2536" spans="1:10" x14ac:dyDescent="0.35">
      <c r="A2536" t="s">
        <v>14</v>
      </c>
      <c r="B2536" t="s">
        <v>35</v>
      </c>
      <c r="C2536" s="77" t="s">
        <v>90</v>
      </c>
      <c r="D2536" t="s">
        <v>81</v>
      </c>
      <c r="E2536" s="77" t="s">
        <v>117</v>
      </c>
      <c r="F2536" s="77" t="s">
        <v>73</v>
      </c>
      <c r="G2536" s="77" t="s">
        <v>74</v>
      </c>
      <c r="H2536" s="77" t="s">
        <v>123</v>
      </c>
      <c r="I2536" s="77" t="s">
        <v>84</v>
      </c>
      <c r="J2536" s="76">
        <v>5.8414015621608938E-3</v>
      </c>
    </row>
    <row r="2537" spans="1:10" x14ac:dyDescent="0.35">
      <c r="A2537" t="s">
        <v>14</v>
      </c>
      <c r="B2537" t="s">
        <v>35</v>
      </c>
      <c r="C2537" s="77" t="s">
        <v>90</v>
      </c>
      <c r="D2537" t="s">
        <v>81</v>
      </c>
      <c r="E2537" s="77" t="s">
        <v>82</v>
      </c>
      <c r="F2537" s="77" t="s">
        <v>73</v>
      </c>
      <c r="G2537" s="77" t="s">
        <v>74</v>
      </c>
      <c r="H2537" s="77" t="s">
        <v>123</v>
      </c>
      <c r="I2537" s="77" t="s">
        <v>84</v>
      </c>
      <c r="J2537" s="76">
        <v>1.4521138379047227E-3</v>
      </c>
    </row>
    <row r="2538" spans="1:10" x14ac:dyDescent="0.35">
      <c r="A2538" t="s">
        <v>14</v>
      </c>
      <c r="B2538" t="s">
        <v>35</v>
      </c>
      <c r="C2538" s="77" t="s">
        <v>90</v>
      </c>
      <c r="D2538" t="s">
        <v>81</v>
      </c>
      <c r="E2538" s="77" t="s">
        <v>125</v>
      </c>
      <c r="F2538" s="77" t="s">
        <v>73</v>
      </c>
      <c r="G2538" s="77" t="s">
        <v>74</v>
      </c>
      <c r="H2538" s="77" t="s">
        <v>123</v>
      </c>
      <c r="I2538" s="77" t="s">
        <v>84</v>
      </c>
      <c r="J2538" s="76">
        <v>6.5130870114372285E-5</v>
      </c>
    </row>
    <row r="2539" spans="1:10" x14ac:dyDescent="0.35">
      <c r="A2539" t="s">
        <v>14</v>
      </c>
      <c r="B2539" t="s">
        <v>35</v>
      </c>
      <c r="C2539" s="77" t="s">
        <v>90</v>
      </c>
      <c r="D2539" t="s">
        <v>81</v>
      </c>
      <c r="E2539" s="77" t="s">
        <v>122</v>
      </c>
      <c r="F2539" s="77" t="s">
        <v>73</v>
      </c>
      <c r="G2539" s="77" t="s">
        <v>74</v>
      </c>
      <c r="H2539" s="77" t="s">
        <v>123</v>
      </c>
      <c r="I2539" s="77" t="s">
        <v>84</v>
      </c>
      <c r="J2539" s="76">
        <v>7.9476813317479189E-4</v>
      </c>
    </row>
    <row r="2540" spans="1:10" x14ac:dyDescent="0.35">
      <c r="A2540" t="s">
        <v>14</v>
      </c>
      <c r="B2540" t="s">
        <v>35</v>
      </c>
      <c r="C2540" s="77" t="s">
        <v>90</v>
      </c>
      <c r="D2540" t="s">
        <v>81</v>
      </c>
      <c r="E2540" s="77" t="s">
        <v>126</v>
      </c>
      <c r="F2540" s="77" t="s">
        <v>73</v>
      </c>
      <c r="G2540" s="77" t="s">
        <v>74</v>
      </c>
      <c r="H2540" s="77" t="s">
        <v>123</v>
      </c>
      <c r="I2540" s="77" t="s">
        <v>84</v>
      </c>
      <c r="J2540" s="76">
        <v>8.4821183458843076E-3</v>
      </c>
    </row>
    <row r="2541" spans="1:10" x14ac:dyDescent="0.35">
      <c r="A2541" t="s">
        <v>14</v>
      </c>
      <c r="B2541" t="s">
        <v>35</v>
      </c>
      <c r="C2541" s="77" t="s">
        <v>90</v>
      </c>
      <c r="D2541" t="s">
        <v>81</v>
      </c>
      <c r="E2541" s="77" t="s">
        <v>101</v>
      </c>
      <c r="F2541" s="77" t="s">
        <v>73</v>
      </c>
      <c r="G2541" s="77" t="s">
        <v>74</v>
      </c>
      <c r="H2541" s="77" t="s">
        <v>123</v>
      </c>
      <c r="I2541" s="77" t="s">
        <v>84</v>
      </c>
      <c r="J2541" s="76">
        <v>0</v>
      </c>
    </row>
    <row r="2542" spans="1:10" x14ac:dyDescent="0.35">
      <c r="A2542" t="s">
        <v>14</v>
      </c>
      <c r="B2542" t="s">
        <v>35</v>
      </c>
      <c r="C2542" s="77" t="s">
        <v>90</v>
      </c>
      <c r="D2542" t="s">
        <v>81</v>
      </c>
      <c r="E2542" s="77" t="s">
        <v>104</v>
      </c>
      <c r="F2542" s="77" t="s">
        <v>73</v>
      </c>
      <c r="G2542" s="77" t="s">
        <v>74</v>
      </c>
      <c r="H2542" s="77" t="s">
        <v>123</v>
      </c>
      <c r="I2542" s="77" t="s">
        <v>84</v>
      </c>
      <c r="J2542" s="76">
        <v>0</v>
      </c>
    </row>
    <row r="2543" spans="1:10" x14ac:dyDescent="0.35">
      <c r="A2543" t="s">
        <v>14</v>
      </c>
      <c r="B2543" t="s">
        <v>35</v>
      </c>
      <c r="C2543" s="77" t="s">
        <v>90</v>
      </c>
      <c r="D2543" t="s">
        <v>81</v>
      </c>
      <c r="E2543" s="77" t="s">
        <v>106</v>
      </c>
      <c r="F2543" s="77" t="s">
        <v>73</v>
      </c>
      <c r="G2543" s="77" t="s">
        <v>74</v>
      </c>
      <c r="H2543" s="77" t="s">
        <v>123</v>
      </c>
      <c r="I2543" s="77" t="s">
        <v>84</v>
      </c>
      <c r="J2543" s="76">
        <v>0</v>
      </c>
    </row>
    <row r="2544" spans="1:10" x14ac:dyDescent="0.35">
      <c r="A2544" t="s">
        <v>14</v>
      </c>
      <c r="B2544" t="s">
        <v>35</v>
      </c>
      <c r="C2544" s="77" t="s">
        <v>91</v>
      </c>
      <c r="D2544" t="s">
        <v>81</v>
      </c>
      <c r="E2544" s="77" t="s">
        <v>119</v>
      </c>
      <c r="F2544" s="77" t="s">
        <v>73</v>
      </c>
      <c r="G2544" s="77" t="s">
        <v>74</v>
      </c>
      <c r="H2544" s="77" t="s">
        <v>123</v>
      </c>
      <c r="I2544" s="77" t="s">
        <v>84</v>
      </c>
      <c r="J2544" s="76">
        <f>'SUT_EU27 total'!$L$73</f>
        <v>0.15097500908393557</v>
      </c>
    </row>
    <row r="2545" spans="1:10" x14ac:dyDescent="0.35">
      <c r="A2545" t="s">
        <v>14</v>
      </c>
      <c r="B2545" t="s">
        <v>35</v>
      </c>
      <c r="C2545" s="77" t="s">
        <v>91</v>
      </c>
      <c r="D2545" t="s">
        <v>81</v>
      </c>
      <c r="E2545" s="77" t="s">
        <v>124</v>
      </c>
      <c r="F2545" s="77" t="s">
        <v>73</v>
      </c>
      <c r="G2545" s="77" t="s">
        <v>74</v>
      </c>
      <c r="H2545" s="77" t="s">
        <v>123</v>
      </c>
      <c r="I2545" s="77" t="s">
        <v>84</v>
      </c>
      <c r="J2545" s="76" cm="1">
        <f t="array" ref="J2545:J2553">'SUT_EU27 total'!$L$77:$L$85</f>
        <v>6.7728942399646885E-5</v>
      </c>
    </row>
    <row r="2546" spans="1:10" x14ac:dyDescent="0.35">
      <c r="A2546" t="s">
        <v>14</v>
      </c>
      <c r="B2546" t="s">
        <v>35</v>
      </c>
      <c r="C2546" s="77" t="s">
        <v>91</v>
      </c>
      <c r="D2546" t="s">
        <v>81</v>
      </c>
      <c r="E2546" s="77" t="s">
        <v>117</v>
      </c>
      <c r="F2546" s="77" t="s">
        <v>73</v>
      </c>
      <c r="G2546" s="77" t="s">
        <v>74</v>
      </c>
      <c r="H2546" s="77" t="s">
        <v>123</v>
      </c>
      <c r="I2546" s="77" t="s">
        <v>84</v>
      </c>
      <c r="J2546" s="76">
        <v>5.6233849622410815E-3</v>
      </c>
    </row>
    <row r="2547" spans="1:10" x14ac:dyDescent="0.35">
      <c r="A2547" t="s">
        <v>14</v>
      </c>
      <c r="B2547" t="s">
        <v>35</v>
      </c>
      <c r="C2547" s="77" t="s">
        <v>91</v>
      </c>
      <c r="D2547" t="s">
        <v>81</v>
      </c>
      <c r="E2547" s="77" t="s">
        <v>82</v>
      </c>
      <c r="F2547" s="77" t="s">
        <v>73</v>
      </c>
      <c r="G2547" s="77" t="s">
        <v>74</v>
      </c>
      <c r="H2547" s="77" t="s">
        <v>123</v>
      </c>
      <c r="I2547" s="77" t="s">
        <v>84</v>
      </c>
      <c r="J2547" s="76">
        <v>1.8068055269127655E-3</v>
      </c>
    </row>
    <row r="2548" spans="1:10" x14ac:dyDescent="0.35">
      <c r="A2548" t="s">
        <v>14</v>
      </c>
      <c r="B2548" t="s">
        <v>35</v>
      </c>
      <c r="C2548" s="77" t="s">
        <v>91</v>
      </c>
      <c r="D2548" t="s">
        <v>81</v>
      </c>
      <c r="E2548" s="77" t="s">
        <v>125</v>
      </c>
      <c r="F2548" s="77" t="s">
        <v>73</v>
      </c>
      <c r="G2548" s="77" t="s">
        <v>74</v>
      </c>
      <c r="H2548" s="77" t="s">
        <v>123</v>
      </c>
      <c r="I2548" s="77" t="s">
        <v>84</v>
      </c>
      <c r="J2548" s="76">
        <v>5.6492118062760293E-6</v>
      </c>
    </row>
    <row r="2549" spans="1:10" x14ac:dyDescent="0.35">
      <c r="A2549" t="s">
        <v>14</v>
      </c>
      <c r="B2549" t="s">
        <v>35</v>
      </c>
      <c r="C2549" s="77" t="s">
        <v>91</v>
      </c>
      <c r="D2549" t="s">
        <v>81</v>
      </c>
      <c r="E2549" s="77" t="s">
        <v>122</v>
      </c>
      <c r="F2549" s="77" t="s">
        <v>73</v>
      </c>
      <c r="G2549" s="77" t="s">
        <v>74</v>
      </c>
      <c r="H2549" s="77" t="s">
        <v>123</v>
      </c>
      <c r="I2549" s="77" t="s">
        <v>84</v>
      </c>
      <c r="J2549" s="76">
        <v>0</v>
      </c>
    </row>
    <row r="2550" spans="1:10" x14ac:dyDescent="0.35">
      <c r="A2550" t="s">
        <v>14</v>
      </c>
      <c r="B2550" t="s">
        <v>35</v>
      </c>
      <c r="C2550" s="77" t="s">
        <v>91</v>
      </c>
      <c r="D2550" t="s">
        <v>81</v>
      </c>
      <c r="E2550" s="77" t="s">
        <v>126</v>
      </c>
      <c r="F2550" s="77" t="s">
        <v>73</v>
      </c>
      <c r="G2550" s="77" t="s">
        <v>74</v>
      </c>
      <c r="H2550" s="77" t="s">
        <v>123</v>
      </c>
      <c r="I2550" s="77" t="s">
        <v>84</v>
      </c>
      <c r="J2550" s="76">
        <v>8.1093795177776388E-4</v>
      </c>
    </row>
    <row r="2551" spans="1:10" x14ac:dyDescent="0.35">
      <c r="A2551" t="s">
        <v>14</v>
      </c>
      <c r="B2551" t="s">
        <v>35</v>
      </c>
      <c r="C2551" s="77" t="s">
        <v>91</v>
      </c>
      <c r="D2551" t="s">
        <v>81</v>
      </c>
      <c r="E2551" s="77" t="s">
        <v>101</v>
      </c>
      <c r="F2551" s="77" t="s">
        <v>73</v>
      </c>
      <c r="G2551" s="77" t="s">
        <v>74</v>
      </c>
      <c r="H2551" s="77" t="s">
        <v>123</v>
      </c>
      <c r="I2551" s="77" t="s">
        <v>84</v>
      </c>
      <c r="J2551" s="76">
        <v>0</v>
      </c>
    </row>
    <row r="2552" spans="1:10" x14ac:dyDescent="0.35">
      <c r="A2552" t="s">
        <v>14</v>
      </c>
      <c r="B2552" t="s">
        <v>35</v>
      </c>
      <c r="C2552" s="77" t="s">
        <v>91</v>
      </c>
      <c r="D2552" t="s">
        <v>81</v>
      </c>
      <c r="E2552" s="77" t="s">
        <v>104</v>
      </c>
      <c r="F2552" s="77" t="s">
        <v>73</v>
      </c>
      <c r="G2552" s="77" t="s">
        <v>74</v>
      </c>
      <c r="H2552" s="77" t="s">
        <v>123</v>
      </c>
      <c r="I2552" s="77" t="s">
        <v>84</v>
      </c>
      <c r="J2552" s="76">
        <v>0</v>
      </c>
    </row>
    <row r="2553" spans="1:10" x14ac:dyDescent="0.35">
      <c r="A2553" t="s">
        <v>14</v>
      </c>
      <c r="B2553" t="s">
        <v>35</v>
      </c>
      <c r="C2553" s="77" t="s">
        <v>91</v>
      </c>
      <c r="D2553" t="s">
        <v>81</v>
      </c>
      <c r="E2553" s="77" t="s">
        <v>106</v>
      </c>
      <c r="F2553" s="77" t="s">
        <v>73</v>
      </c>
      <c r="G2553" s="77" t="s">
        <v>74</v>
      </c>
      <c r="H2553" s="77" t="s">
        <v>123</v>
      </c>
      <c r="I2553" s="77" t="s">
        <v>84</v>
      </c>
      <c r="J2553" s="76">
        <v>0</v>
      </c>
    </row>
    <row r="2554" spans="1:10" x14ac:dyDescent="0.35">
      <c r="A2554" t="s">
        <v>14</v>
      </c>
      <c r="B2554" t="s">
        <v>35</v>
      </c>
      <c r="C2554" s="77" t="s">
        <v>92</v>
      </c>
      <c r="D2554" t="s">
        <v>81</v>
      </c>
      <c r="E2554" s="77" t="s">
        <v>119</v>
      </c>
      <c r="F2554" s="77" t="s">
        <v>73</v>
      </c>
      <c r="G2554" s="77" t="s">
        <v>74</v>
      </c>
      <c r="H2554" s="77" t="s">
        <v>123</v>
      </c>
      <c r="I2554" s="77" t="s">
        <v>84</v>
      </c>
      <c r="J2554" s="76">
        <f>'SUT_EU27 total'!$L$90</f>
        <v>0.13886309499777949</v>
      </c>
    </row>
    <row r="2555" spans="1:10" x14ac:dyDescent="0.35">
      <c r="A2555" t="s">
        <v>14</v>
      </c>
      <c r="B2555" t="s">
        <v>35</v>
      </c>
      <c r="C2555" s="77" t="s">
        <v>92</v>
      </c>
      <c r="D2555" t="s">
        <v>81</v>
      </c>
      <c r="E2555" s="77" t="s">
        <v>124</v>
      </c>
      <c r="F2555" s="77" t="s">
        <v>73</v>
      </c>
      <c r="G2555" s="77" t="s">
        <v>74</v>
      </c>
      <c r="H2555" s="77" t="s">
        <v>123</v>
      </c>
      <c r="I2555" s="77" t="s">
        <v>84</v>
      </c>
      <c r="J2555" s="76" cm="1">
        <f t="array" ref="J2555:J2563">'SUT_EU27 total'!$L$94:$L$102</f>
        <v>9.2968907089085616E-5</v>
      </c>
    </row>
    <row r="2556" spans="1:10" x14ac:dyDescent="0.35">
      <c r="A2556" t="s">
        <v>14</v>
      </c>
      <c r="B2556" t="s">
        <v>35</v>
      </c>
      <c r="C2556" s="77" t="s">
        <v>92</v>
      </c>
      <c r="D2556" t="s">
        <v>81</v>
      </c>
      <c r="E2556" s="77" t="s">
        <v>117</v>
      </c>
      <c r="F2556" s="77" t="s">
        <v>73</v>
      </c>
      <c r="G2556" s="77" t="s">
        <v>74</v>
      </c>
      <c r="H2556" s="77" t="s">
        <v>123</v>
      </c>
      <c r="I2556" s="77" t="s">
        <v>84</v>
      </c>
      <c r="J2556" s="76">
        <v>0</v>
      </c>
    </row>
    <row r="2557" spans="1:10" x14ac:dyDescent="0.35">
      <c r="A2557" t="s">
        <v>14</v>
      </c>
      <c r="B2557" t="s">
        <v>35</v>
      </c>
      <c r="C2557" s="77" t="s">
        <v>92</v>
      </c>
      <c r="D2557" t="s">
        <v>81</v>
      </c>
      <c r="E2557" s="77" t="s">
        <v>82</v>
      </c>
      <c r="F2557" s="77" t="s">
        <v>73</v>
      </c>
      <c r="G2557" s="77" t="s">
        <v>74</v>
      </c>
      <c r="H2557" s="77" t="s">
        <v>123</v>
      </c>
      <c r="I2557" s="77" t="s">
        <v>84</v>
      </c>
      <c r="J2557" s="76">
        <v>1.1251392039595793E-3</v>
      </c>
    </row>
    <row r="2558" spans="1:10" x14ac:dyDescent="0.35">
      <c r="A2558" t="s">
        <v>14</v>
      </c>
      <c r="B2558" t="s">
        <v>35</v>
      </c>
      <c r="C2558" s="77" t="s">
        <v>92</v>
      </c>
      <c r="D2558" t="s">
        <v>81</v>
      </c>
      <c r="E2558" s="77" t="s">
        <v>125</v>
      </c>
      <c r="F2558" s="77" t="s">
        <v>73</v>
      </c>
      <c r="G2558" s="77" t="s">
        <v>74</v>
      </c>
      <c r="H2558" s="77" t="s">
        <v>123</v>
      </c>
      <c r="I2558" s="77" t="s">
        <v>84</v>
      </c>
      <c r="J2558" s="76">
        <v>5.0048817841215026E-7</v>
      </c>
    </row>
    <row r="2559" spans="1:10" x14ac:dyDescent="0.35">
      <c r="A2559" t="s">
        <v>14</v>
      </c>
      <c r="B2559" t="s">
        <v>35</v>
      </c>
      <c r="C2559" s="77" t="s">
        <v>92</v>
      </c>
      <c r="D2559" t="s">
        <v>81</v>
      </c>
      <c r="E2559" s="77" t="s">
        <v>122</v>
      </c>
      <c r="F2559" s="77" t="s">
        <v>73</v>
      </c>
      <c r="G2559" s="77" t="s">
        <v>74</v>
      </c>
      <c r="H2559" s="77" t="s">
        <v>123</v>
      </c>
      <c r="I2559" s="77" t="s">
        <v>84</v>
      </c>
      <c r="J2559" s="76">
        <v>0</v>
      </c>
    </row>
    <row r="2560" spans="1:10" x14ac:dyDescent="0.35">
      <c r="A2560" t="s">
        <v>14</v>
      </c>
      <c r="B2560" t="s">
        <v>35</v>
      </c>
      <c r="C2560" s="77" t="s">
        <v>92</v>
      </c>
      <c r="D2560" t="s">
        <v>81</v>
      </c>
      <c r="E2560" s="77" t="s">
        <v>126</v>
      </c>
      <c r="F2560" s="77" t="s">
        <v>73</v>
      </c>
      <c r="G2560" s="77" t="s">
        <v>74</v>
      </c>
      <c r="H2560" s="77" t="s">
        <v>123</v>
      </c>
      <c r="I2560" s="77" t="s">
        <v>84</v>
      </c>
      <c r="J2560" s="76">
        <v>0</v>
      </c>
    </row>
    <row r="2561" spans="1:10" x14ac:dyDescent="0.35">
      <c r="A2561" t="s">
        <v>14</v>
      </c>
      <c r="B2561" t="s">
        <v>35</v>
      </c>
      <c r="C2561" s="77" t="s">
        <v>92</v>
      </c>
      <c r="D2561" t="s">
        <v>81</v>
      </c>
      <c r="E2561" s="77" t="s">
        <v>101</v>
      </c>
      <c r="F2561" s="77" t="s">
        <v>73</v>
      </c>
      <c r="G2561" s="77" t="s">
        <v>74</v>
      </c>
      <c r="H2561" s="77" t="s">
        <v>123</v>
      </c>
      <c r="I2561" s="77" t="s">
        <v>84</v>
      </c>
      <c r="J2561" s="76">
        <v>0</v>
      </c>
    </row>
    <row r="2562" spans="1:10" x14ac:dyDescent="0.35">
      <c r="A2562" t="s">
        <v>14</v>
      </c>
      <c r="B2562" t="s">
        <v>35</v>
      </c>
      <c r="C2562" s="77" t="s">
        <v>92</v>
      </c>
      <c r="D2562" t="s">
        <v>81</v>
      </c>
      <c r="E2562" s="77" t="s">
        <v>104</v>
      </c>
      <c r="F2562" s="77" t="s">
        <v>73</v>
      </c>
      <c r="G2562" s="77" t="s">
        <v>74</v>
      </c>
      <c r="H2562" s="77" t="s">
        <v>123</v>
      </c>
      <c r="I2562" s="77" t="s">
        <v>84</v>
      </c>
      <c r="J2562" s="76">
        <v>0</v>
      </c>
    </row>
    <row r="2563" spans="1:10" x14ac:dyDescent="0.35">
      <c r="A2563" t="s">
        <v>14</v>
      </c>
      <c r="B2563" t="s">
        <v>35</v>
      </c>
      <c r="C2563" s="77" t="s">
        <v>92</v>
      </c>
      <c r="D2563" t="s">
        <v>81</v>
      </c>
      <c r="E2563" s="77" t="s">
        <v>106</v>
      </c>
      <c r="F2563" s="77" t="s">
        <v>73</v>
      </c>
      <c r="G2563" s="77" t="s">
        <v>74</v>
      </c>
      <c r="H2563" s="77" t="s">
        <v>123</v>
      </c>
      <c r="I2563" s="77" t="s">
        <v>84</v>
      </c>
      <c r="J2563" s="76">
        <v>0</v>
      </c>
    </row>
    <row r="2564" spans="1:10" x14ac:dyDescent="0.35">
      <c r="A2564" t="s">
        <v>14</v>
      </c>
      <c r="B2564" t="s">
        <v>35</v>
      </c>
      <c r="C2564" s="77" t="s">
        <v>93</v>
      </c>
      <c r="D2564" t="s">
        <v>81</v>
      </c>
      <c r="E2564" s="77" t="s">
        <v>119</v>
      </c>
      <c r="F2564" s="77" t="s">
        <v>73</v>
      </c>
      <c r="G2564" s="77" t="s">
        <v>74</v>
      </c>
      <c r="H2564" s="77" t="s">
        <v>123</v>
      </c>
      <c r="I2564" s="77" t="s">
        <v>84</v>
      </c>
      <c r="J2564" s="76">
        <f>'SUT_EU27 total'!$L$107</f>
        <v>1.0000807460939076</v>
      </c>
    </row>
    <row r="2565" spans="1:10" x14ac:dyDescent="0.35">
      <c r="A2565" t="s">
        <v>14</v>
      </c>
      <c r="B2565" t="s">
        <v>35</v>
      </c>
      <c r="C2565" s="77" t="s">
        <v>93</v>
      </c>
      <c r="D2565" t="s">
        <v>81</v>
      </c>
      <c r="E2565" s="77" t="s">
        <v>124</v>
      </c>
      <c r="F2565" s="77" t="s">
        <v>73</v>
      </c>
      <c r="G2565" s="77" t="s">
        <v>74</v>
      </c>
      <c r="H2565" s="77" t="s">
        <v>123</v>
      </c>
      <c r="I2565" s="77" t="s">
        <v>84</v>
      </c>
      <c r="J2565" s="76" cm="1">
        <f t="array" ref="J2565:J2573">'SUT_EU27 total'!$L$111:$L$119</f>
        <v>3.7052409430862396E-4</v>
      </c>
    </row>
    <row r="2566" spans="1:10" x14ac:dyDescent="0.35">
      <c r="A2566" t="s">
        <v>14</v>
      </c>
      <c r="B2566" t="s">
        <v>35</v>
      </c>
      <c r="C2566" s="77" t="s">
        <v>93</v>
      </c>
      <c r="D2566" t="s">
        <v>81</v>
      </c>
      <c r="E2566" s="77" t="s">
        <v>117</v>
      </c>
      <c r="F2566" s="77" t="s">
        <v>73</v>
      </c>
      <c r="G2566" s="77" t="s">
        <v>74</v>
      </c>
      <c r="H2566" s="77" t="s">
        <v>123</v>
      </c>
      <c r="I2566" s="77" t="s">
        <v>84</v>
      </c>
      <c r="J2566" s="76">
        <v>5.8414042458127093E-3</v>
      </c>
    </row>
    <row r="2567" spans="1:10" x14ac:dyDescent="0.35">
      <c r="A2567" t="s">
        <v>14</v>
      </c>
      <c r="B2567" t="s">
        <v>35</v>
      </c>
      <c r="C2567" s="77" t="s">
        <v>93</v>
      </c>
      <c r="D2567" t="s">
        <v>81</v>
      </c>
      <c r="E2567" s="77" t="s">
        <v>82</v>
      </c>
      <c r="F2567" s="77" t="s">
        <v>73</v>
      </c>
      <c r="G2567" s="77" t="s">
        <v>74</v>
      </c>
      <c r="H2567" s="77" t="s">
        <v>123</v>
      </c>
      <c r="I2567" s="77" t="s">
        <v>84</v>
      </c>
      <c r="J2567" s="76">
        <v>5.0319447308723453E-3</v>
      </c>
    </row>
    <row r="2568" spans="1:10" x14ac:dyDescent="0.35">
      <c r="A2568" t="s">
        <v>14</v>
      </c>
      <c r="B2568" t="s">
        <v>35</v>
      </c>
      <c r="C2568" s="77" t="s">
        <v>93</v>
      </c>
      <c r="D2568" t="s">
        <v>81</v>
      </c>
      <c r="E2568" s="77" t="s">
        <v>125</v>
      </c>
      <c r="F2568" s="77" t="s">
        <v>73</v>
      </c>
      <c r="G2568" s="77" t="s">
        <v>74</v>
      </c>
      <c r="H2568" s="77" t="s">
        <v>123</v>
      </c>
      <c r="I2568" s="77" t="s">
        <v>84</v>
      </c>
      <c r="J2568" s="76">
        <v>4.336096678710085E-4</v>
      </c>
    </row>
    <row r="2569" spans="1:10" x14ac:dyDescent="0.35">
      <c r="A2569" t="s">
        <v>14</v>
      </c>
      <c r="B2569" t="s">
        <v>35</v>
      </c>
      <c r="C2569" s="77" t="s">
        <v>93</v>
      </c>
      <c r="D2569" t="s">
        <v>81</v>
      </c>
      <c r="E2569" s="77" t="s">
        <v>122</v>
      </c>
      <c r="F2569" s="77" t="s">
        <v>73</v>
      </c>
      <c r="G2569" s="77" t="s">
        <v>74</v>
      </c>
      <c r="H2569" s="77" t="s">
        <v>123</v>
      </c>
      <c r="I2569" s="77" t="s">
        <v>84</v>
      </c>
      <c r="J2569" s="76">
        <v>2.7129607609988112E-3</v>
      </c>
    </row>
    <row r="2570" spans="1:10" x14ac:dyDescent="0.35">
      <c r="A2570" t="s">
        <v>14</v>
      </c>
      <c r="B2570" t="s">
        <v>35</v>
      </c>
      <c r="C2570" s="77" t="s">
        <v>93</v>
      </c>
      <c r="D2570" t="s">
        <v>81</v>
      </c>
      <c r="E2570" s="77" t="s">
        <v>126</v>
      </c>
      <c r="F2570" s="77" t="s">
        <v>73</v>
      </c>
      <c r="G2570" s="77" t="s">
        <v>74</v>
      </c>
      <c r="H2570" s="77" t="s">
        <v>123</v>
      </c>
      <c r="I2570" s="77" t="s">
        <v>84</v>
      </c>
      <c r="J2570" s="76">
        <v>4.3855511603587784E-2</v>
      </c>
    </row>
    <row r="2571" spans="1:10" x14ac:dyDescent="0.35">
      <c r="A2571" t="s">
        <v>14</v>
      </c>
      <c r="B2571" t="s">
        <v>35</v>
      </c>
      <c r="C2571" s="77" t="s">
        <v>93</v>
      </c>
      <c r="D2571" t="s">
        <v>81</v>
      </c>
      <c r="E2571" s="77" t="s">
        <v>101</v>
      </c>
      <c r="F2571" s="77" t="s">
        <v>73</v>
      </c>
      <c r="G2571" s="77" t="s">
        <v>74</v>
      </c>
      <c r="H2571" s="77" t="s">
        <v>123</v>
      </c>
      <c r="I2571" s="77" t="s">
        <v>84</v>
      </c>
      <c r="J2571" s="76">
        <v>0</v>
      </c>
    </row>
    <row r="2572" spans="1:10" x14ac:dyDescent="0.35">
      <c r="A2572" t="s">
        <v>14</v>
      </c>
      <c r="B2572" t="s">
        <v>35</v>
      </c>
      <c r="C2572" s="77" t="s">
        <v>93</v>
      </c>
      <c r="D2572" t="s">
        <v>81</v>
      </c>
      <c r="E2572" s="77" t="s">
        <v>104</v>
      </c>
      <c r="F2572" s="77" t="s">
        <v>73</v>
      </c>
      <c r="G2572" s="77" t="s">
        <v>74</v>
      </c>
      <c r="H2572" s="77" t="s">
        <v>123</v>
      </c>
      <c r="I2572" s="77" t="s">
        <v>84</v>
      </c>
      <c r="J2572" s="76">
        <v>0</v>
      </c>
    </row>
    <row r="2573" spans="1:10" x14ac:dyDescent="0.35">
      <c r="A2573" t="s">
        <v>14</v>
      </c>
      <c r="B2573" t="s">
        <v>35</v>
      </c>
      <c r="C2573" s="77" t="s">
        <v>93</v>
      </c>
      <c r="D2573" t="s">
        <v>81</v>
      </c>
      <c r="E2573" s="77" t="s">
        <v>106</v>
      </c>
      <c r="F2573" s="77" t="s">
        <v>73</v>
      </c>
      <c r="G2573" s="77" t="s">
        <v>74</v>
      </c>
      <c r="H2573" s="77" t="s">
        <v>123</v>
      </c>
      <c r="I2573" s="77" t="s">
        <v>84</v>
      </c>
      <c r="J2573" s="76">
        <v>0</v>
      </c>
    </row>
    <row r="2574" spans="1:10" x14ac:dyDescent="0.35">
      <c r="A2574" t="s">
        <v>14</v>
      </c>
      <c r="B2574" t="s">
        <v>35</v>
      </c>
      <c r="C2574" s="77" t="s">
        <v>73</v>
      </c>
      <c r="D2574" t="s">
        <v>81</v>
      </c>
      <c r="E2574" s="77" t="s">
        <v>119</v>
      </c>
      <c r="F2574" s="77" t="s">
        <v>73</v>
      </c>
      <c r="G2574" s="77" t="s">
        <v>74</v>
      </c>
      <c r="H2574" s="77" t="s">
        <v>127</v>
      </c>
      <c r="I2574" s="77" t="s">
        <v>84</v>
      </c>
      <c r="J2574" s="76">
        <f>'SUT_EU27 total'!$M$22</f>
        <v>1.9500181678711294E-2</v>
      </c>
    </row>
    <row r="2575" spans="1:10" x14ac:dyDescent="0.35">
      <c r="A2575" t="s">
        <v>14</v>
      </c>
      <c r="B2575" t="s">
        <v>35</v>
      </c>
      <c r="C2575" s="77" t="s">
        <v>73</v>
      </c>
      <c r="D2575" t="s">
        <v>81</v>
      </c>
      <c r="E2575" s="77" t="s">
        <v>124</v>
      </c>
      <c r="F2575" s="77" t="s">
        <v>73</v>
      </c>
      <c r="G2575" s="77" t="s">
        <v>74</v>
      </c>
      <c r="H2575" s="77" t="s">
        <v>127</v>
      </c>
      <c r="I2575" s="77" t="s">
        <v>84</v>
      </c>
      <c r="J2575" s="76" cm="1">
        <f t="array" ref="J2575:J2583">'SUT_EU27 total'!$M$26:$M$34</f>
        <v>1.9404661061278542E-3</v>
      </c>
    </row>
    <row r="2576" spans="1:10" x14ac:dyDescent="0.35">
      <c r="A2576" t="s">
        <v>14</v>
      </c>
      <c r="B2576" t="s">
        <v>35</v>
      </c>
      <c r="C2576" s="77" t="s">
        <v>73</v>
      </c>
      <c r="D2576" t="s">
        <v>81</v>
      </c>
      <c r="E2576" s="77" t="s">
        <v>117</v>
      </c>
      <c r="F2576" s="77" t="s">
        <v>73</v>
      </c>
      <c r="G2576" s="77" t="s">
        <v>74</v>
      </c>
      <c r="H2576" s="77" t="s">
        <v>127</v>
      </c>
      <c r="I2576" s="77" t="s">
        <v>84</v>
      </c>
      <c r="J2576" s="76">
        <v>5.8423628191201782E-3</v>
      </c>
    </row>
    <row r="2577" spans="1:10" x14ac:dyDescent="0.35">
      <c r="A2577" t="s">
        <v>14</v>
      </c>
      <c r="B2577" t="s">
        <v>35</v>
      </c>
      <c r="C2577" s="77" t="s">
        <v>73</v>
      </c>
      <c r="D2577" t="s">
        <v>81</v>
      </c>
      <c r="E2577" s="77" t="s">
        <v>82</v>
      </c>
      <c r="F2577" s="77" t="s">
        <v>73</v>
      </c>
      <c r="G2577" s="77" t="s">
        <v>74</v>
      </c>
      <c r="H2577" s="77" t="s">
        <v>127</v>
      </c>
      <c r="I2577" s="77" t="s">
        <v>84</v>
      </c>
      <c r="J2577" s="76">
        <v>4.8981233243967828E-4</v>
      </c>
    </row>
    <row r="2578" spans="1:10" x14ac:dyDescent="0.35">
      <c r="A2578" t="s">
        <v>14</v>
      </c>
      <c r="B2578" t="s">
        <v>35</v>
      </c>
      <c r="C2578" s="77" t="s">
        <v>73</v>
      </c>
      <c r="D2578" t="s">
        <v>81</v>
      </c>
      <c r="E2578" s="77" t="s">
        <v>125</v>
      </c>
      <c r="F2578" s="77" t="s">
        <v>73</v>
      </c>
      <c r="G2578" s="77" t="s">
        <v>74</v>
      </c>
      <c r="H2578" s="77" t="s">
        <v>127</v>
      </c>
      <c r="I2578" s="77" t="s">
        <v>84</v>
      </c>
      <c r="J2578" s="76">
        <v>2.4658201215687387E-3</v>
      </c>
    </row>
    <row r="2579" spans="1:10" x14ac:dyDescent="0.35">
      <c r="A2579" t="s">
        <v>14</v>
      </c>
      <c r="B2579" t="s">
        <v>35</v>
      </c>
      <c r="C2579" s="77" t="s">
        <v>73</v>
      </c>
      <c r="D2579" t="s">
        <v>81</v>
      </c>
      <c r="E2579" s="77" t="s">
        <v>122</v>
      </c>
      <c r="F2579" s="77" t="s">
        <v>73</v>
      </c>
      <c r="G2579" s="77" t="s">
        <v>74</v>
      </c>
      <c r="H2579" s="77" t="s">
        <v>127</v>
      </c>
      <c r="I2579" s="77" t="s">
        <v>84</v>
      </c>
      <c r="J2579" s="76">
        <v>4.922711058263972E-4</v>
      </c>
    </row>
    <row r="2580" spans="1:10" x14ac:dyDescent="0.35">
      <c r="A2580" t="s">
        <v>14</v>
      </c>
      <c r="B2580" t="s">
        <v>35</v>
      </c>
      <c r="C2580" s="77" t="s">
        <v>73</v>
      </c>
      <c r="D2580" t="s">
        <v>81</v>
      </c>
      <c r="E2580" s="77" t="s">
        <v>126</v>
      </c>
      <c r="F2580" s="77" t="s">
        <v>73</v>
      </c>
      <c r="G2580" s="77" t="s">
        <v>74</v>
      </c>
      <c r="H2580" s="77" t="s">
        <v>127</v>
      </c>
      <c r="I2580" s="77" t="s">
        <v>84</v>
      </c>
      <c r="J2580" s="76">
        <v>0</v>
      </c>
    </row>
    <row r="2581" spans="1:10" x14ac:dyDescent="0.35">
      <c r="A2581" t="s">
        <v>14</v>
      </c>
      <c r="B2581" t="s">
        <v>35</v>
      </c>
      <c r="C2581" s="77" t="s">
        <v>73</v>
      </c>
      <c r="D2581" t="s">
        <v>81</v>
      </c>
      <c r="E2581" s="77" t="s">
        <v>101</v>
      </c>
      <c r="F2581" s="77" t="s">
        <v>73</v>
      </c>
      <c r="G2581" s="77" t="s">
        <v>74</v>
      </c>
      <c r="H2581" s="77" t="s">
        <v>127</v>
      </c>
      <c r="I2581" s="77" t="s">
        <v>84</v>
      </c>
      <c r="J2581" s="76">
        <v>3.6586167200000007E-4</v>
      </c>
    </row>
    <row r="2582" spans="1:10" x14ac:dyDescent="0.35">
      <c r="A2582" t="s">
        <v>14</v>
      </c>
      <c r="B2582" t="s">
        <v>35</v>
      </c>
      <c r="C2582" s="77" t="s">
        <v>73</v>
      </c>
      <c r="D2582" t="s">
        <v>81</v>
      </c>
      <c r="E2582" s="77" t="s">
        <v>104</v>
      </c>
      <c r="F2582" s="77" t="s">
        <v>73</v>
      </c>
      <c r="G2582" s="77" t="s">
        <v>74</v>
      </c>
      <c r="H2582" s="77" t="s">
        <v>127</v>
      </c>
      <c r="I2582" s="77" t="s">
        <v>84</v>
      </c>
      <c r="J2582" s="76">
        <v>6.9272632800000005E-4</v>
      </c>
    </row>
    <row r="2583" spans="1:10" x14ac:dyDescent="0.35">
      <c r="A2583" t="s">
        <v>14</v>
      </c>
      <c r="B2583" t="s">
        <v>35</v>
      </c>
      <c r="C2583" s="77" t="s">
        <v>73</v>
      </c>
      <c r="D2583" t="s">
        <v>81</v>
      </c>
      <c r="E2583" s="77" t="s">
        <v>106</v>
      </c>
      <c r="F2583" s="77" t="s">
        <v>73</v>
      </c>
      <c r="G2583" s="77" t="s">
        <v>74</v>
      </c>
      <c r="H2583" s="77" t="s">
        <v>127</v>
      </c>
      <c r="I2583" s="77" t="s">
        <v>84</v>
      </c>
      <c r="J2583" s="76">
        <v>2.3562119999999999E-3</v>
      </c>
    </row>
    <row r="2584" spans="1:10" x14ac:dyDescent="0.35">
      <c r="A2584" t="s">
        <v>14</v>
      </c>
      <c r="B2584" t="s">
        <v>35</v>
      </c>
      <c r="C2584" s="77" t="s">
        <v>88</v>
      </c>
      <c r="D2584" t="s">
        <v>81</v>
      </c>
      <c r="E2584" s="77" t="s">
        <v>119</v>
      </c>
      <c r="F2584" s="77" t="s">
        <v>73</v>
      </c>
      <c r="G2584" s="77" t="s">
        <v>74</v>
      </c>
      <c r="H2584" s="77" t="s">
        <v>127</v>
      </c>
      <c r="I2584" s="77" t="s">
        <v>84</v>
      </c>
      <c r="J2584" s="76">
        <f>'SUT_EU27 total'!$M$39</f>
        <v>0.16108845734587587</v>
      </c>
    </row>
    <row r="2585" spans="1:10" x14ac:dyDescent="0.35">
      <c r="A2585" t="s">
        <v>14</v>
      </c>
      <c r="B2585" t="s">
        <v>35</v>
      </c>
      <c r="C2585" s="77" t="s">
        <v>88</v>
      </c>
      <c r="D2585" t="s">
        <v>81</v>
      </c>
      <c r="E2585" s="77" t="s">
        <v>124</v>
      </c>
      <c r="F2585" s="77" t="s">
        <v>73</v>
      </c>
      <c r="G2585" s="77" t="s">
        <v>74</v>
      </c>
      <c r="H2585" s="77" t="s">
        <v>127</v>
      </c>
      <c r="I2585" s="77" t="s">
        <v>84</v>
      </c>
      <c r="J2585" s="76" cm="1">
        <f t="array" ref="J2585:J2593">'SUT_EU27 total'!$L$43:$L$51</f>
        <v>5.0558836222750793E-4</v>
      </c>
    </row>
    <row r="2586" spans="1:10" x14ac:dyDescent="0.35">
      <c r="A2586" t="s">
        <v>14</v>
      </c>
      <c r="B2586" t="s">
        <v>35</v>
      </c>
      <c r="C2586" s="77" t="s">
        <v>88</v>
      </c>
      <c r="D2586" t="s">
        <v>81</v>
      </c>
      <c r="E2586" s="77" t="s">
        <v>117</v>
      </c>
      <c r="F2586" s="77" t="s">
        <v>73</v>
      </c>
      <c r="G2586" s="77" t="s">
        <v>74</v>
      </c>
      <c r="H2586" s="77" t="s">
        <v>127</v>
      </c>
      <c r="I2586" s="77" t="s">
        <v>84</v>
      </c>
      <c r="J2586" s="76">
        <v>4.8514464106651379E-3</v>
      </c>
    </row>
    <row r="2587" spans="1:10" x14ac:dyDescent="0.35">
      <c r="A2587" t="s">
        <v>14</v>
      </c>
      <c r="B2587" t="s">
        <v>35</v>
      </c>
      <c r="C2587" s="77" t="s">
        <v>88</v>
      </c>
      <c r="D2587" t="s">
        <v>81</v>
      </c>
      <c r="E2587" s="77" t="s">
        <v>82</v>
      </c>
      <c r="F2587" s="77" t="s">
        <v>73</v>
      </c>
      <c r="G2587" s="77" t="s">
        <v>74</v>
      </c>
      <c r="H2587" s="77" t="s">
        <v>127</v>
      </c>
      <c r="I2587" s="77" t="s">
        <v>84</v>
      </c>
      <c r="J2587" s="76">
        <v>1.109418436791091E-2</v>
      </c>
    </row>
    <row r="2588" spans="1:10" x14ac:dyDescent="0.35">
      <c r="A2588" t="s">
        <v>14</v>
      </c>
      <c r="B2588" t="s">
        <v>35</v>
      </c>
      <c r="C2588" s="77" t="s">
        <v>88</v>
      </c>
      <c r="D2588" t="s">
        <v>81</v>
      </c>
      <c r="E2588" s="77" t="s">
        <v>125</v>
      </c>
      <c r="F2588" s="77" t="s">
        <v>73</v>
      </c>
      <c r="G2588" s="77" t="s">
        <v>74</v>
      </c>
      <c r="H2588" s="77" t="s">
        <v>127</v>
      </c>
      <c r="I2588" s="77" t="s">
        <v>84</v>
      </c>
      <c r="J2588" s="76">
        <v>2.890870278990243E-5</v>
      </c>
    </row>
    <row r="2589" spans="1:10" x14ac:dyDescent="0.35">
      <c r="A2589" t="s">
        <v>14</v>
      </c>
      <c r="B2589" t="s">
        <v>35</v>
      </c>
      <c r="C2589" s="77" t="s">
        <v>88</v>
      </c>
      <c r="D2589" t="s">
        <v>81</v>
      </c>
      <c r="E2589" s="77" t="s">
        <v>122</v>
      </c>
      <c r="F2589" s="77" t="s">
        <v>73</v>
      </c>
      <c r="G2589" s="77" t="s">
        <v>74</v>
      </c>
      <c r="H2589" s="77" t="s">
        <v>127</v>
      </c>
      <c r="I2589" s="77" t="s">
        <v>84</v>
      </c>
      <c r="J2589" s="76">
        <v>0</v>
      </c>
    </row>
    <row r="2590" spans="1:10" x14ac:dyDescent="0.35">
      <c r="A2590" t="s">
        <v>14</v>
      </c>
      <c r="B2590" t="s">
        <v>35</v>
      </c>
      <c r="C2590" s="77" t="s">
        <v>88</v>
      </c>
      <c r="D2590" t="s">
        <v>81</v>
      </c>
      <c r="E2590" s="77" t="s">
        <v>126</v>
      </c>
      <c r="F2590" s="77" t="s">
        <v>73</v>
      </c>
      <c r="G2590" s="77" t="s">
        <v>74</v>
      </c>
      <c r="H2590" s="77" t="s">
        <v>127</v>
      </c>
      <c r="I2590" s="77" t="s">
        <v>84</v>
      </c>
      <c r="J2590" s="76">
        <v>2.8514320987501449E-3</v>
      </c>
    </row>
    <row r="2591" spans="1:10" x14ac:dyDescent="0.35">
      <c r="A2591" t="s">
        <v>14</v>
      </c>
      <c r="B2591" t="s">
        <v>35</v>
      </c>
      <c r="C2591" s="77" t="s">
        <v>88</v>
      </c>
      <c r="D2591" t="s">
        <v>81</v>
      </c>
      <c r="E2591" s="77" t="s">
        <v>101</v>
      </c>
      <c r="F2591" s="77" t="s">
        <v>73</v>
      </c>
      <c r="G2591" s="77" t="s">
        <v>74</v>
      </c>
      <c r="H2591" s="77" t="s">
        <v>127</v>
      </c>
      <c r="I2591" s="77" t="s">
        <v>84</v>
      </c>
      <c r="J2591" s="76">
        <v>0</v>
      </c>
    </row>
    <row r="2592" spans="1:10" x14ac:dyDescent="0.35">
      <c r="A2592" t="s">
        <v>14</v>
      </c>
      <c r="B2592" t="s">
        <v>35</v>
      </c>
      <c r="C2592" s="77" t="s">
        <v>88</v>
      </c>
      <c r="D2592" t="s">
        <v>81</v>
      </c>
      <c r="E2592" s="77" t="s">
        <v>104</v>
      </c>
      <c r="F2592" s="77" t="s">
        <v>73</v>
      </c>
      <c r="G2592" s="77" t="s">
        <v>74</v>
      </c>
      <c r="H2592" s="77" t="s">
        <v>127</v>
      </c>
      <c r="I2592" s="77" t="s">
        <v>84</v>
      </c>
      <c r="J2592" s="76">
        <v>0</v>
      </c>
    </row>
    <row r="2593" spans="1:10" x14ac:dyDescent="0.35">
      <c r="A2593" t="s">
        <v>14</v>
      </c>
      <c r="B2593" t="s">
        <v>35</v>
      </c>
      <c r="C2593" s="77" t="s">
        <v>88</v>
      </c>
      <c r="D2593" t="s">
        <v>81</v>
      </c>
      <c r="E2593" s="77" t="s">
        <v>106</v>
      </c>
      <c r="F2593" s="77" t="s">
        <v>73</v>
      </c>
      <c r="G2593" s="77" t="s">
        <v>74</v>
      </c>
      <c r="H2593" s="77" t="s">
        <v>127</v>
      </c>
      <c r="I2593" s="77" t="s">
        <v>84</v>
      </c>
      <c r="J2593" s="76">
        <v>0</v>
      </c>
    </row>
    <row r="2594" spans="1:10" x14ac:dyDescent="0.35">
      <c r="A2594" t="s">
        <v>14</v>
      </c>
      <c r="B2594" t="s">
        <v>35</v>
      </c>
      <c r="C2594" s="77" t="s">
        <v>90</v>
      </c>
      <c r="D2594" t="s">
        <v>81</v>
      </c>
      <c r="E2594" s="77" t="s">
        <v>119</v>
      </c>
      <c r="F2594" s="77" t="s">
        <v>73</v>
      </c>
      <c r="G2594" s="77" t="s">
        <v>74</v>
      </c>
      <c r="H2594" s="77" t="s">
        <v>127</v>
      </c>
      <c r="I2594" s="77" t="s">
        <v>84</v>
      </c>
      <c r="J2594" s="76">
        <f>'SUT_EU27 total'!$M$56</f>
        <v>2.949251079979006E-2</v>
      </c>
    </row>
    <row r="2595" spans="1:10" x14ac:dyDescent="0.35">
      <c r="A2595" t="s">
        <v>14</v>
      </c>
      <c r="B2595" t="s">
        <v>35</v>
      </c>
      <c r="C2595" s="77" t="s">
        <v>90</v>
      </c>
      <c r="D2595" t="s">
        <v>81</v>
      </c>
      <c r="E2595" s="77" t="s">
        <v>124</v>
      </c>
      <c r="F2595" s="77" t="s">
        <v>73</v>
      </c>
      <c r="G2595" s="77" t="s">
        <v>74</v>
      </c>
      <c r="H2595" s="77" t="s">
        <v>127</v>
      </c>
      <c r="I2595" s="77" t="s">
        <v>84</v>
      </c>
      <c r="J2595" s="76" cm="1">
        <f t="array" ref="J2595:J2603">'SUT_EU27 total'!$M$60:$M$68</f>
        <v>2.1047443073980527E-5</v>
      </c>
    </row>
    <row r="2596" spans="1:10" x14ac:dyDescent="0.35">
      <c r="A2596" t="s">
        <v>14</v>
      </c>
      <c r="B2596" t="s">
        <v>35</v>
      </c>
      <c r="C2596" s="77" t="s">
        <v>90</v>
      </c>
      <c r="D2596" t="s">
        <v>81</v>
      </c>
      <c r="E2596" s="77" t="s">
        <v>117</v>
      </c>
      <c r="F2596" s="77" t="s">
        <v>73</v>
      </c>
      <c r="G2596" s="77" t="s">
        <v>74</v>
      </c>
      <c r="H2596" s="77" t="s">
        <v>127</v>
      </c>
      <c r="I2596" s="77" t="s">
        <v>84</v>
      </c>
      <c r="J2596" s="76">
        <v>5.8414015621608938E-3</v>
      </c>
    </row>
    <row r="2597" spans="1:10" x14ac:dyDescent="0.35">
      <c r="A2597" t="s">
        <v>14</v>
      </c>
      <c r="B2597" t="s">
        <v>35</v>
      </c>
      <c r="C2597" s="77" t="s">
        <v>90</v>
      </c>
      <c r="D2597" t="s">
        <v>81</v>
      </c>
      <c r="E2597" s="77" t="s">
        <v>82</v>
      </c>
      <c r="F2597" s="77" t="s">
        <v>73</v>
      </c>
      <c r="G2597" s="77" t="s">
        <v>74</v>
      </c>
      <c r="H2597" s="77" t="s">
        <v>127</v>
      </c>
      <c r="I2597" s="77" t="s">
        <v>84</v>
      </c>
      <c r="J2597" s="76">
        <v>1.4521138379047227E-3</v>
      </c>
    </row>
    <row r="2598" spans="1:10" x14ac:dyDescent="0.35">
      <c r="A2598" t="s">
        <v>14</v>
      </c>
      <c r="B2598" t="s">
        <v>35</v>
      </c>
      <c r="C2598" s="77" t="s">
        <v>90</v>
      </c>
      <c r="D2598" t="s">
        <v>81</v>
      </c>
      <c r="E2598" s="77" t="s">
        <v>125</v>
      </c>
      <c r="F2598" s="77" t="s">
        <v>73</v>
      </c>
      <c r="G2598" s="77" t="s">
        <v>74</v>
      </c>
      <c r="H2598" s="77" t="s">
        <v>127</v>
      </c>
      <c r="I2598" s="77" t="s">
        <v>84</v>
      </c>
      <c r="J2598" s="76">
        <v>6.5130870114372285E-5</v>
      </c>
    </row>
    <row r="2599" spans="1:10" x14ac:dyDescent="0.35">
      <c r="A2599" t="s">
        <v>14</v>
      </c>
      <c r="B2599" t="s">
        <v>35</v>
      </c>
      <c r="C2599" s="77" t="s">
        <v>90</v>
      </c>
      <c r="D2599" t="s">
        <v>81</v>
      </c>
      <c r="E2599" s="77" t="s">
        <v>122</v>
      </c>
      <c r="F2599" s="77" t="s">
        <v>73</v>
      </c>
      <c r="G2599" s="77" t="s">
        <v>74</v>
      </c>
      <c r="H2599" s="77" t="s">
        <v>127</v>
      </c>
      <c r="I2599" s="77" t="s">
        <v>84</v>
      </c>
      <c r="J2599" s="76">
        <v>7.9476813317479189E-4</v>
      </c>
    </row>
    <row r="2600" spans="1:10" x14ac:dyDescent="0.35">
      <c r="A2600" t="s">
        <v>14</v>
      </c>
      <c r="B2600" t="s">
        <v>35</v>
      </c>
      <c r="C2600" s="77" t="s">
        <v>90</v>
      </c>
      <c r="D2600" t="s">
        <v>81</v>
      </c>
      <c r="E2600" s="77" t="s">
        <v>126</v>
      </c>
      <c r="F2600" s="77" t="s">
        <v>73</v>
      </c>
      <c r="G2600" s="77" t="s">
        <v>74</v>
      </c>
      <c r="H2600" s="77" t="s">
        <v>127</v>
      </c>
      <c r="I2600" s="77" t="s">
        <v>84</v>
      </c>
      <c r="J2600" s="76">
        <v>8.4821183458843076E-3</v>
      </c>
    </row>
    <row r="2601" spans="1:10" x14ac:dyDescent="0.35">
      <c r="A2601" t="s">
        <v>14</v>
      </c>
      <c r="B2601" t="s">
        <v>35</v>
      </c>
      <c r="C2601" s="77" t="s">
        <v>90</v>
      </c>
      <c r="D2601" t="s">
        <v>81</v>
      </c>
      <c r="E2601" s="77" t="s">
        <v>101</v>
      </c>
      <c r="F2601" s="77" t="s">
        <v>73</v>
      </c>
      <c r="G2601" s="77" t="s">
        <v>74</v>
      </c>
      <c r="H2601" s="77" t="s">
        <v>127</v>
      </c>
      <c r="I2601" s="77" t="s">
        <v>84</v>
      </c>
      <c r="J2601" s="76">
        <v>0</v>
      </c>
    </row>
    <row r="2602" spans="1:10" x14ac:dyDescent="0.35">
      <c r="A2602" t="s">
        <v>14</v>
      </c>
      <c r="B2602" t="s">
        <v>35</v>
      </c>
      <c r="C2602" s="77" t="s">
        <v>90</v>
      </c>
      <c r="D2602" t="s">
        <v>81</v>
      </c>
      <c r="E2602" s="77" t="s">
        <v>104</v>
      </c>
      <c r="F2602" s="77" t="s">
        <v>73</v>
      </c>
      <c r="G2602" s="77" t="s">
        <v>74</v>
      </c>
      <c r="H2602" s="77" t="s">
        <v>127</v>
      </c>
      <c r="I2602" s="77" t="s">
        <v>84</v>
      </c>
      <c r="J2602" s="76">
        <v>0</v>
      </c>
    </row>
    <row r="2603" spans="1:10" x14ac:dyDescent="0.35">
      <c r="A2603" t="s">
        <v>14</v>
      </c>
      <c r="B2603" t="s">
        <v>35</v>
      </c>
      <c r="C2603" s="77" t="s">
        <v>90</v>
      </c>
      <c r="D2603" t="s">
        <v>81</v>
      </c>
      <c r="E2603" s="77" t="s">
        <v>106</v>
      </c>
      <c r="F2603" s="77" t="s">
        <v>73</v>
      </c>
      <c r="G2603" s="77" t="s">
        <v>74</v>
      </c>
      <c r="H2603" s="77" t="s">
        <v>127</v>
      </c>
      <c r="I2603" s="77" t="s">
        <v>84</v>
      </c>
      <c r="J2603" s="76">
        <v>0</v>
      </c>
    </row>
    <row r="2604" spans="1:10" x14ac:dyDescent="0.35">
      <c r="A2604" t="s">
        <v>14</v>
      </c>
      <c r="B2604" t="s">
        <v>35</v>
      </c>
      <c r="C2604" s="77" t="s">
        <v>91</v>
      </c>
      <c r="D2604" t="s">
        <v>81</v>
      </c>
      <c r="E2604" s="77" t="s">
        <v>119</v>
      </c>
      <c r="F2604" s="77" t="s">
        <v>73</v>
      </c>
      <c r="G2604" s="77" t="s">
        <v>74</v>
      </c>
      <c r="H2604" s="77" t="s">
        <v>127</v>
      </c>
      <c r="I2604" s="77" t="s">
        <v>84</v>
      </c>
      <c r="J2604" s="76">
        <f>'SUT_EU27 total'!$M$73</f>
        <v>0.15097500908393557</v>
      </c>
    </row>
    <row r="2605" spans="1:10" x14ac:dyDescent="0.35">
      <c r="A2605" t="s">
        <v>14</v>
      </c>
      <c r="B2605" t="s">
        <v>35</v>
      </c>
      <c r="C2605" s="77" t="s">
        <v>91</v>
      </c>
      <c r="D2605" t="s">
        <v>81</v>
      </c>
      <c r="E2605" s="77" t="s">
        <v>124</v>
      </c>
      <c r="F2605" s="77" t="s">
        <v>73</v>
      </c>
      <c r="G2605" s="77" t="s">
        <v>74</v>
      </c>
      <c r="H2605" s="77" t="s">
        <v>127</v>
      </c>
      <c r="I2605" s="77" t="s">
        <v>84</v>
      </c>
      <c r="J2605" s="76" cm="1">
        <f t="array" ref="J2605:J2613">'SUT_EU27 total'!$M$77:$M$85</f>
        <v>6.7728942399646885E-5</v>
      </c>
    </row>
    <row r="2606" spans="1:10" x14ac:dyDescent="0.35">
      <c r="A2606" t="s">
        <v>14</v>
      </c>
      <c r="B2606" t="s">
        <v>35</v>
      </c>
      <c r="C2606" s="77" t="s">
        <v>91</v>
      </c>
      <c r="D2606" t="s">
        <v>81</v>
      </c>
      <c r="E2606" s="77" t="s">
        <v>117</v>
      </c>
      <c r="F2606" s="77" t="s">
        <v>73</v>
      </c>
      <c r="G2606" s="77" t="s">
        <v>74</v>
      </c>
      <c r="H2606" s="77" t="s">
        <v>127</v>
      </c>
      <c r="I2606" s="77" t="s">
        <v>84</v>
      </c>
      <c r="J2606" s="76">
        <v>5.6233849622410815E-3</v>
      </c>
    </row>
    <row r="2607" spans="1:10" x14ac:dyDescent="0.35">
      <c r="A2607" t="s">
        <v>14</v>
      </c>
      <c r="B2607" t="s">
        <v>35</v>
      </c>
      <c r="C2607" s="77" t="s">
        <v>91</v>
      </c>
      <c r="D2607" t="s">
        <v>81</v>
      </c>
      <c r="E2607" s="77" t="s">
        <v>82</v>
      </c>
      <c r="F2607" s="77" t="s">
        <v>73</v>
      </c>
      <c r="G2607" s="77" t="s">
        <v>74</v>
      </c>
      <c r="H2607" s="77" t="s">
        <v>127</v>
      </c>
      <c r="I2607" s="77" t="s">
        <v>84</v>
      </c>
      <c r="J2607" s="76">
        <v>1.8068055269127655E-3</v>
      </c>
    </row>
    <row r="2608" spans="1:10" x14ac:dyDescent="0.35">
      <c r="A2608" t="s">
        <v>14</v>
      </c>
      <c r="B2608" t="s">
        <v>35</v>
      </c>
      <c r="C2608" s="77" t="s">
        <v>91</v>
      </c>
      <c r="D2608" t="s">
        <v>81</v>
      </c>
      <c r="E2608" s="77" t="s">
        <v>125</v>
      </c>
      <c r="F2608" s="77" t="s">
        <v>73</v>
      </c>
      <c r="G2608" s="77" t="s">
        <v>74</v>
      </c>
      <c r="H2608" s="77" t="s">
        <v>127</v>
      </c>
      <c r="I2608" s="77" t="s">
        <v>84</v>
      </c>
      <c r="J2608" s="76">
        <v>5.6492118062760293E-6</v>
      </c>
    </row>
    <row r="2609" spans="1:10" x14ac:dyDescent="0.35">
      <c r="A2609" t="s">
        <v>14</v>
      </c>
      <c r="B2609" t="s">
        <v>35</v>
      </c>
      <c r="C2609" s="77" t="s">
        <v>91</v>
      </c>
      <c r="D2609" t="s">
        <v>81</v>
      </c>
      <c r="E2609" s="77" t="s">
        <v>122</v>
      </c>
      <c r="F2609" s="77" t="s">
        <v>73</v>
      </c>
      <c r="G2609" s="77" t="s">
        <v>74</v>
      </c>
      <c r="H2609" s="77" t="s">
        <v>127</v>
      </c>
      <c r="I2609" s="77" t="s">
        <v>84</v>
      </c>
      <c r="J2609" s="76">
        <v>0</v>
      </c>
    </row>
    <row r="2610" spans="1:10" x14ac:dyDescent="0.35">
      <c r="A2610" t="s">
        <v>14</v>
      </c>
      <c r="B2610" t="s">
        <v>35</v>
      </c>
      <c r="C2610" s="77" t="s">
        <v>91</v>
      </c>
      <c r="D2610" t="s">
        <v>81</v>
      </c>
      <c r="E2610" s="77" t="s">
        <v>126</v>
      </c>
      <c r="F2610" s="77" t="s">
        <v>73</v>
      </c>
      <c r="G2610" s="77" t="s">
        <v>74</v>
      </c>
      <c r="H2610" s="77" t="s">
        <v>127</v>
      </c>
      <c r="I2610" s="77" t="s">
        <v>84</v>
      </c>
      <c r="J2610" s="76">
        <v>8.1093795177776388E-4</v>
      </c>
    </row>
    <row r="2611" spans="1:10" x14ac:dyDescent="0.35">
      <c r="A2611" t="s">
        <v>14</v>
      </c>
      <c r="B2611" t="s">
        <v>35</v>
      </c>
      <c r="C2611" s="77" t="s">
        <v>91</v>
      </c>
      <c r="D2611" t="s">
        <v>81</v>
      </c>
      <c r="E2611" s="77" t="s">
        <v>101</v>
      </c>
      <c r="F2611" s="77" t="s">
        <v>73</v>
      </c>
      <c r="G2611" s="77" t="s">
        <v>74</v>
      </c>
      <c r="H2611" s="77" t="s">
        <v>127</v>
      </c>
      <c r="I2611" s="77" t="s">
        <v>84</v>
      </c>
      <c r="J2611" s="76">
        <v>0</v>
      </c>
    </row>
    <row r="2612" spans="1:10" x14ac:dyDescent="0.35">
      <c r="A2612" t="s">
        <v>14</v>
      </c>
      <c r="B2612" t="s">
        <v>35</v>
      </c>
      <c r="C2612" s="77" t="s">
        <v>91</v>
      </c>
      <c r="D2612" t="s">
        <v>81</v>
      </c>
      <c r="E2612" s="77" t="s">
        <v>104</v>
      </c>
      <c r="F2612" s="77" t="s">
        <v>73</v>
      </c>
      <c r="G2612" s="77" t="s">
        <v>74</v>
      </c>
      <c r="H2612" s="77" t="s">
        <v>127</v>
      </c>
      <c r="I2612" s="77" t="s">
        <v>84</v>
      </c>
      <c r="J2612" s="76">
        <v>0</v>
      </c>
    </row>
    <row r="2613" spans="1:10" x14ac:dyDescent="0.35">
      <c r="A2613" t="s">
        <v>14</v>
      </c>
      <c r="B2613" t="s">
        <v>35</v>
      </c>
      <c r="C2613" s="77" t="s">
        <v>91</v>
      </c>
      <c r="D2613" t="s">
        <v>81</v>
      </c>
      <c r="E2613" s="77" t="s">
        <v>106</v>
      </c>
      <c r="F2613" s="77" t="s">
        <v>73</v>
      </c>
      <c r="G2613" s="77" t="s">
        <v>74</v>
      </c>
      <c r="H2613" s="77" t="s">
        <v>127</v>
      </c>
      <c r="I2613" s="77" t="s">
        <v>84</v>
      </c>
      <c r="J2613" s="76">
        <v>0</v>
      </c>
    </row>
    <row r="2614" spans="1:10" x14ac:dyDescent="0.35">
      <c r="A2614" t="s">
        <v>14</v>
      </c>
      <c r="B2614" t="s">
        <v>35</v>
      </c>
      <c r="C2614" s="77" t="s">
        <v>92</v>
      </c>
      <c r="D2614" t="s">
        <v>81</v>
      </c>
      <c r="E2614" s="77" t="s">
        <v>119</v>
      </c>
      <c r="F2614" s="77" t="s">
        <v>73</v>
      </c>
      <c r="G2614" s="77" t="s">
        <v>74</v>
      </c>
      <c r="H2614" s="77" t="s">
        <v>127</v>
      </c>
      <c r="I2614" s="77" t="s">
        <v>84</v>
      </c>
      <c r="J2614" s="76">
        <f>'SUT_EU27 total'!$M$90</f>
        <v>0.13886309499777949</v>
      </c>
    </row>
    <row r="2615" spans="1:10" x14ac:dyDescent="0.35">
      <c r="A2615" t="s">
        <v>14</v>
      </c>
      <c r="B2615" t="s">
        <v>35</v>
      </c>
      <c r="C2615" s="77" t="s">
        <v>92</v>
      </c>
      <c r="D2615" t="s">
        <v>81</v>
      </c>
      <c r="E2615" s="77" t="s">
        <v>124</v>
      </c>
      <c r="F2615" s="77" t="s">
        <v>73</v>
      </c>
      <c r="G2615" s="77" t="s">
        <v>74</v>
      </c>
      <c r="H2615" s="77" t="s">
        <v>127</v>
      </c>
      <c r="I2615" s="77" t="s">
        <v>84</v>
      </c>
      <c r="J2615" s="76" cm="1">
        <f t="array" ref="J2615:J2623">'SUT_EU27 total'!$M$94:$M$102</f>
        <v>9.2968907089085616E-5</v>
      </c>
    </row>
    <row r="2616" spans="1:10" x14ac:dyDescent="0.35">
      <c r="A2616" t="s">
        <v>14</v>
      </c>
      <c r="B2616" t="s">
        <v>35</v>
      </c>
      <c r="C2616" s="77" t="s">
        <v>92</v>
      </c>
      <c r="D2616" t="s">
        <v>81</v>
      </c>
      <c r="E2616" s="77" t="s">
        <v>117</v>
      </c>
      <c r="F2616" s="77" t="s">
        <v>73</v>
      </c>
      <c r="G2616" s="77" t="s">
        <v>74</v>
      </c>
      <c r="H2616" s="77" t="s">
        <v>127</v>
      </c>
      <c r="I2616" s="77" t="s">
        <v>84</v>
      </c>
      <c r="J2616" s="76">
        <v>0</v>
      </c>
    </row>
    <row r="2617" spans="1:10" x14ac:dyDescent="0.35">
      <c r="A2617" t="s">
        <v>14</v>
      </c>
      <c r="B2617" t="s">
        <v>35</v>
      </c>
      <c r="C2617" s="77" t="s">
        <v>92</v>
      </c>
      <c r="D2617" t="s">
        <v>81</v>
      </c>
      <c r="E2617" s="77" t="s">
        <v>82</v>
      </c>
      <c r="F2617" s="77" t="s">
        <v>73</v>
      </c>
      <c r="G2617" s="77" t="s">
        <v>74</v>
      </c>
      <c r="H2617" s="77" t="s">
        <v>127</v>
      </c>
      <c r="I2617" s="77" t="s">
        <v>84</v>
      </c>
      <c r="J2617" s="76">
        <v>1.1251392039595793E-3</v>
      </c>
    </row>
    <row r="2618" spans="1:10" x14ac:dyDescent="0.35">
      <c r="A2618" t="s">
        <v>14</v>
      </c>
      <c r="B2618" t="s">
        <v>35</v>
      </c>
      <c r="C2618" s="77" t="s">
        <v>92</v>
      </c>
      <c r="D2618" t="s">
        <v>81</v>
      </c>
      <c r="E2618" s="77" t="s">
        <v>125</v>
      </c>
      <c r="F2618" s="77" t="s">
        <v>73</v>
      </c>
      <c r="G2618" s="77" t="s">
        <v>74</v>
      </c>
      <c r="H2618" s="77" t="s">
        <v>127</v>
      </c>
      <c r="I2618" s="77" t="s">
        <v>84</v>
      </c>
      <c r="J2618" s="76">
        <v>5.0048817841215026E-7</v>
      </c>
    </row>
    <row r="2619" spans="1:10" x14ac:dyDescent="0.35">
      <c r="A2619" t="s">
        <v>14</v>
      </c>
      <c r="B2619" t="s">
        <v>35</v>
      </c>
      <c r="C2619" s="77" t="s">
        <v>92</v>
      </c>
      <c r="D2619" t="s">
        <v>81</v>
      </c>
      <c r="E2619" s="77" t="s">
        <v>122</v>
      </c>
      <c r="F2619" s="77" t="s">
        <v>73</v>
      </c>
      <c r="G2619" s="77" t="s">
        <v>74</v>
      </c>
      <c r="H2619" s="77" t="s">
        <v>127</v>
      </c>
      <c r="I2619" s="77" t="s">
        <v>84</v>
      </c>
      <c r="J2619" s="76">
        <v>0</v>
      </c>
    </row>
    <row r="2620" spans="1:10" x14ac:dyDescent="0.35">
      <c r="A2620" t="s">
        <v>14</v>
      </c>
      <c r="B2620" t="s">
        <v>35</v>
      </c>
      <c r="C2620" s="77" t="s">
        <v>92</v>
      </c>
      <c r="D2620" t="s">
        <v>81</v>
      </c>
      <c r="E2620" s="77" t="s">
        <v>126</v>
      </c>
      <c r="F2620" s="77" t="s">
        <v>73</v>
      </c>
      <c r="G2620" s="77" t="s">
        <v>74</v>
      </c>
      <c r="H2620" s="77" t="s">
        <v>127</v>
      </c>
      <c r="I2620" s="77" t="s">
        <v>84</v>
      </c>
      <c r="J2620" s="76">
        <v>0</v>
      </c>
    </row>
    <row r="2621" spans="1:10" x14ac:dyDescent="0.35">
      <c r="A2621" t="s">
        <v>14</v>
      </c>
      <c r="B2621" t="s">
        <v>35</v>
      </c>
      <c r="C2621" s="77" t="s">
        <v>92</v>
      </c>
      <c r="D2621" t="s">
        <v>81</v>
      </c>
      <c r="E2621" s="77" t="s">
        <v>101</v>
      </c>
      <c r="F2621" s="77" t="s">
        <v>73</v>
      </c>
      <c r="G2621" s="77" t="s">
        <v>74</v>
      </c>
      <c r="H2621" s="77" t="s">
        <v>127</v>
      </c>
      <c r="I2621" s="77" t="s">
        <v>84</v>
      </c>
      <c r="J2621" s="76">
        <v>0</v>
      </c>
    </row>
    <row r="2622" spans="1:10" x14ac:dyDescent="0.35">
      <c r="A2622" t="s">
        <v>14</v>
      </c>
      <c r="B2622" t="s">
        <v>35</v>
      </c>
      <c r="C2622" s="77" t="s">
        <v>92</v>
      </c>
      <c r="D2622" t="s">
        <v>81</v>
      </c>
      <c r="E2622" s="77" t="s">
        <v>104</v>
      </c>
      <c r="F2622" s="77" t="s">
        <v>73</v>
      </c>
      <c r="G2622" s="77" t="s">
        <v>74</v>
      </c>
      <c r="H2622" s="77" t="s">
        <v>127</v>
      </c>
      <c r="I2622" s="77" t="s">
        <v>84</v>
      </c>
      <c r="J2622" s="76">
        <v>0</v>
      </c>
    </row>
    <row r="2623" spans="1:10" x14ac:dyDescent="0.35">
      <c r="A2623" t="s">
        <v>14</v>
      </c>
      <c r="B2623" t="s">
        <v>35</v>
      </c>
      <c r="C2623" s="77" t="s">
        <v>92</v>
      </c>
      <c r="D2623" t="s">
        <v>81</v>
      </c>
      <c r="E2623" s="77" t="s">
        <v>106</v>
      </c>
      <c r="F2623" s="77" t="s">
        <v>73</v>
      </c>
      <c r="G2623" s="77" t="s">
        <v>74</v>
      </c>
      <c r="H2623" s="77" t="s">
        <v>127</v>
      </c>
      <c r="I2623" s="77" t="s">
        <v>84</v>
      </c>
      <c r="J2623" s="76">
        <v>0</v>
      </c>
    </row>
    <row r="2624" spans="1:10" x14ac:dyDescent="0.35">
      <c r="A2624" t="s">
        <v>14</v>
      </c>
      <c r="B2624" t="s">
        <v>35</v>
      </c>
      <c r="C2624" s="77" t="s">
        <v>93</v>
      </c>
      <c r="D2624" t="s">
        <v>81</v>
      </c>
      <c r="E2624" s="77" t="s">
        <v>119</v>
      </c>
      <c r="F2624" s="77" t="s">
        <v>73</v>
      </c>
      <c r="G2624" s="77" t="s">
        <v>74</v>
      </c>
      <c r="H2624" s="77" t="s">
        <v>127</v>
      </c>
      <c r="I2624" s="77" t="s">
        <v>84</v>
      </c>
      <c r="J2624" s="76">
        <f>'SUT_EU27 total'!$M$107</f>
        <v>1.0000807460939076</v>
      </c>
    </row>
    <row r="2625" spans="1:10" x14ac:dyDescent="0.35">
      <c r="A2625" t="s">
        <v>14</v>
      </c>
      <c r="B2625" t="s">
        <v>35</v>
      </c>
      <c r="C2625" s="77" t="s">
        <v>93</v>
      </c>
      <c r="D2625" t="s">
        <v>81</v>
      </c>
      <c r="E2625" s="77" t="s">
        <v>124</v>
      </c>
      <c r="F2625" s="77" t="s">
        <v>73</v>
      </c>
      <c r="G2625" s="77" t="s">
        <v>74</v>
      </c>
      <c r="H2625" s="77" t="s">
        <v>127</v>
      </c>
      <c r="I2625" s="77" t="s">
        <v>84</v>
      </c>
      <c r="J2625" s="76" cm="1">
        <f t="array" ref="J2625:J2633">'SUT_EU27 total'!$M$111:$M$119</f>
        <v>3.7052409430862396E-4</v>
      </c>
    </row>
    <row r="2626" spans="1:10" x14ac:dyDescent="0.35">
      <c r="A2626" t="s">
        <v>14</v>
      </c>
      <c r="B2626" t="s">
        <v>35</v>
      </c>
      <c r="C2626" s="77" t="s">
        <v>93</v>
      </c>
      <c r="D2626" t="s">
        <v>81</v>
      </c>
      <c r="E2626" s="77" t="s">
        <v>117</v>
      </c>
      <c r="F2626" s="77" t="s">
        <v>73</v>
      </c>
      <c r="G2626" s="77" t="s">
        <v>74</v>
      </c>
      <c r="H2626" s="77" t="s">
        <v>127</v>
      </c>
      <c r="I2626" s="77" t="s">
        <v>84</v>
      </c>
      <c r="J2626" s="76">
        <v>5.8414042458127093E-3</v>
      </c>
    </row>
    <row r="2627" spans="1:10" x14ac:dyDescent="0.35">
      <c r="A2627" t="s">
        <v>14</v>
      </c>
      <c r="B2627" t="s">
        <v>35</v>
      </c>
      <c r="C2627" s="77" t="s">
        <v>93</v>
      </c>
      <c r="D2627" t="s">
        <v>81</v>
      </c>
      <c r="E2627" s="77" t="s">
        <v>82</v>
      </c>
      <c r="F2627" s="77" t="s">
        <v>73</v>
      </c>
      <c r="G2627" s="77" t="s">
        <v>74</v>
      </c>
      <c r="H2627" s="77" t="s">
        <v>127</v>
      </c>
      <c r="I2627" s="77" t="s">
        <v>84</v>
      </c>
      <c r="J2627" s="76">
        <v>5.0319447308723453E-3</v>
      </c>
    </row>
    <row r="2628" spans="1:10" x14ac:dyDescent="0.35">
      <c r="A2628" t="s">
        <v>14</v>
      </c>
      <c r="B2628" t="s">
        <v>35</v>
      </c>
      <c r="C2628" s="77" t="s">
        <v>93</v>
      </c>
      <c r="D2628" t="s">
        <v>81</v>
      </c>
      <c r="E2628" s="77" t="s">
        <v>125</v>
      </c>
      <c r="F2628" s="77" t="s">
        <v>73</v>
      </c>
      <c r="G2628" s="77" t="s">
        <v>74</v>
      </c>
      <c r="H2628" s="77" t="s">
        <v>127</v>
      </c>
      <c r="I2628" s="77" t="s">
        <v>84</v>
      </c>
      <c r="J2628" s="76">
        <v>4.336096678710085E-4</v>
      </c>
    </row>
    <row r="2629" spans="1:10" x14ac:dyDescent="0.35">
      <c r="A2629" t="s">
        <v>14</v>
      </c>
      <c r="B2629" t="s">
        <v>35</v>
      </c>
      <c r="C2629" s="77" t="s">
        <v>93</v>
      </c>
      <c r="D2629" t="s">
        <v>81</v>
      </c>
      <c r="E2629" s="77" t="s">
        <v>122</v>
      </c>
      <c r="F2629" s="77" t="s">
        <v>73</v>
      </c>
      <c r="G2629" s="77" t="s">
        <v>74</v>
      </c>
      <c r="H2629" s="77" t="s">
        <v>127</v>
      </c>
      <c r="I2629" s="77" t="s">
        <v>84</v>
      </c>
      <c r="J2629" s="76">
        <v>2.7129607609988112E-3</v>
      </c>
    </row>
    <row r="2630" spans="1:10" x14ac:dyDescent="0.35">
      <c r="A2630" t="s">
        <v>14</v>
      </c>
      <c r="B2630" t="s">
        <v>35</v>
      </c>
      <c r="C2630" s="77" t="s">
        <v>93</v>
      </c>
      <c r="D2630" t="s">
        <v>81</v>
      </c>
      <c r="E2630" s="77" t="s">
        <v>126</v>
      </c>
      <c r="F2630" s="77" t="s">
        <v>73</v>
      </c>
      <c r="G2630" s="77" t="s">
        <v>74</v>
      </c>
      <c r="H2630" s="77" t="s">
        <v>127</v>
      </c>
      <c r="I2630" s="77" t="s">
        <v>84</v>
      </c>
      <c r="J2630" s="76">
        <v>4.3855511603587784E-2</v>
      </c>
    </row>
    <row r="2631" spans="1:10" x14ac:dyDescent="0.35">
      <c r="A2631" t="s">
        <v>14</v>
      </c>
      <c r="B2631" t="s">
        <v>35</v>
      </c>
      <c r="C2631" s="77" t="s">
        <v>93</v>
      </c>
      <c r="D2631" t="s">
        <v>81</v>
      </c>
      <c r="E2631" s="77" t="s">
        <v>101</v>
      </c>
      <c r="F2631" s="77" t="s">
        <v>73</v>
      </c>
      <c r="G2631" s="77" t="s">
        <v>74</v>
      </c>
      <c r="H2631" s="77" t="s">
        <v>127</v>
      </c>
      <c r="I2631" s="77" t="s">
        <v>84</v>
      </c>
      <c r="J2631" s="76">
        <v>0</v>
      </c>
    </row>
    <row r="2632" spans="1:10" x14ac:dyDescent="0.35">
      <c r="A2632" t="s">
        <v>14</v>
      </c>
      <c r="B2632" t="s">
        <v>35</v>
      </c>
      <c r="C2632" s="77" t="s">
        <v>93</v>
      </c>
      <c r="D2632" t="s">
        <v>81</v>
      </c>
      <c r="E2632" s="77" t="s">
        <v>104</v>
      </c>
      <c r="F2632" s="77" t="s">
        <v>73</v>
      </c>
      <c r="G2632" s="77" t="s">
        <v>74</v>
      </c>
      <c r="H2632" s="77" t="s">
        <v>127</v>
      </c>
      <c r="I2632" s="77" t="s">
        <v>84</v>
      </c>
      <c r="J2632" s="76">
        <v>0</v>
      </c>
    </row>
    <row r="2633" spans="1:10" x14ac:dyDescent="0.35">
      <c r="A2633" t="s">
        <v>14</v>
      </c>
      <c r="B2633" t="s">
        <v>35</v>
      </c>
      <c r="C2633" s="77" t="s">
        <v>93</v>
      </c>
      <c r="D2633" t="s">
        <v>81</v>
      </c>
      <c r="E2633" s="77" t="s">
        <v>106</v>
      </c>
      <c r="F2633" s="77" t="s">
        <v>73</v>
      </c>
      <c r="G2633" s="77" t="s">
        <v>74</v>
      </c>
      <c r="H2633" s="77" t="s">
        <v>127</v>
      </c>
      <c r="I2633" s="77" t="s">
        <v>84</v>
      </c>
      <c r="J2633" s="76">
        <v>0</v>
      </c>
    </row>
    <row r="2634" spans="1:10" x14ac:dyDescent="0.35">
      <c r="A2634" t="s">
        <v>14</v>
      </c>
      <c r="B2634" t="s">
        <v>35</v>
      </c>
      <c r="C2634" s="77" t="s">
        <v>73</v>
      </c>
      <c r="D2634" t="s">
        <v>81</v>
      </c>
      <c r="E2634" s="77" t="s">
        <v>82</v>
      </c>
      <c r="F2634" s="77" t="s">
        <v>73</v>
      </c>
      <c r="G2634" s="77" t="s">
        <v>74</v>
      </c>
      <c r="H2634" s="77" t="s">
        <v>128</v>
      </c>
      <c r="I2634" s="77" t="s">
        <v>84</v>
      </c>
      <c r="J2634" s="76" cm="1">
        <f t="array" ref="J2634:J2657">z_2030_GS!$I$514:$I$537</f>
        <v>1.4658301341380521E-2</v>
      </c>
    </row>
    <row r="2635" spans="1:10" x14ac:dyDescent="0.35">
      <c r="A2635" t="s">
        <v>14</v>
      </c>
      <c r="B2635" t="s">
        <v>35</v>
      </c>
      <c r="C2635" s="77" t="s">
        <v>73</v>
      </c>
      <c r="D2635" t="s">
        <v>81</v>
      </c>
      <c r="E2635" s="77" t="s">
        <v>86</v>
      </c>
      <c r="F2635" s="77" t="s">
        <v>73</v>
      </c>
      <c r="G2635" s="77" t="s">
        <v>74</v>
      </c>
      <c r="H2635" s="77" t="s">
        <v>128</v>
      </c>
      <c r="I2635" s="77" t="s">
        <v>84</v>
      </c>
      <c r="J2635" s="76">
        <v>3.0740776778828832E-3</v>
      </c>
    </row>
    <row r="2636" spans="1:10" x14ac:dyDescent="0.35">
      <c r="A2636" t="s">
        <v>14</v>
      </c>
      <c r="B2636" t="s">
        <v>35</v>
      </c>
      <c r="C2636" s="77" t="s">
        <v>88</v>
      </c>
      <c r="D2636" t="s">
        <v>81</v>
      </c>
      <c r="E2636" s="77" t="s">
        <v>82</v>
      </c>
      <c r="F2636" s="77" t="s">
        <v>73</v>
      </c>
      <c r="G2636" s="77" t="s">
        <v>74</v>
      </c>
      <c r="H2636" s="77" t="s">
        <v>128</v>
      </c>
      <c r="I2636" s="77" t="s">
        <v>84</v>
      </c>
      <c r="J2636" s="76">
        <v>9.2276548594747033E-3</v>
      </c>
    </row>
    <row r="2637" spans="1:10" x14ac:dyDescent="0.35">
      <c r="A2637" t="s">
        <v>14</v>
      </c>
      <c r="B2637" t="s">
        <v>35</v>
      </c>
      <c r="C2637" s="77" t="s">
        <v>88</v>
      </c>
      <c r="D2637" t="s">
        <v>81</v>
      </c>
      <c r="E2637" s="77" t="s">
        <v>86</v>
      </c>
      <c r="F2637" s="77" t="s">
        <v>73</v>
      </c>
      <c r="G2637" s="77" t="s">
        <v>74</v>
      </c>
      <c r="H2637" s="77" t="s">
        <v>128</v>
      </c>
      <c r="I2637" s="77" t="s">
        <v>84</v>
      </c>
      <c r="J2637" s="76">
        <v>6.9627451701437512E-2</v>
      </c>
    </row>
    <row r="2638" spans="1:10" x14ac:dyDescent="0.35">
      <c r="A2638" t="s">
        <v>14</v>
      </c>
      <c r="B2638" t="s">
        <v>35</v>
      </c>
      <c r="C2638" s="77" t="s">
        <v>90</v>
      </c>
      <c r="D2638" t="s">
        <v>81</v>
      </c>
      <c r="E2638" s="77" t="s">
        <v>82</v>
      </c>
      <c r="F2638" s="77" t="s">
        <v>73</v>
      </c>
      <c r="G2638" s="77" t="s">
        <v>74</v>
      </c>
      <c r="H2638" s="77" t="s">
        <v>128</v>
      </c>
      <c r="I2638" s="77" t="s">
        <v>84</v>
      </c>
      <c r="J2638" s="76">
        <v>2.2200107734217647E-6</v>
      </c>
    </row>
    <row r="2639" spans="1:10" x14ac:dyDescent="0.35">
      <c r="A2639" t="s">
        <v>14</v>
      </c>
      <c r="B2639" t="s">
        <v>35</v>
      </c>
      <c r="C2639" s="77" t="s">
        <v>90</v>
      </c>
      <c r="D2639" t="s">
        <v>81</v>
      </c>
      <c r="E2639" s="77" t="s">
        <v>86</v>
      </c>
      <c r="F2639" s="77" t="s">
        <v>73</v>
      </c>
      <c r="G2639" s="77" t="s">
        <v>74</v>
      </c>
      <c r="H2639" s="77" t="s">
        <v>128</v>
      </c>
      <c r="I2639" s="77" t="s">
        <v>84</v>
      </c>
      <c r="J2639" s="76">
        <v>9.1135123377023061E-3</v>
      </c>
    </row>
    <row r="2640" spans="1:10" x14ac:dyDescent="0.35">
      <c r="A2640" t="s">
        <v>14</v>
      </c>
      <c r="B2640" t="s">
        <v>35</v>
      </c>
      <c r="C2640" s="77" t="s">
        <v>91</v>
      </c>
      <c r="D2640" t="s">
        <v>81</v>
      </c>
      <c r="E2640" s="77" t="s">
        <v>82</v>
      </c>
      <c r="F2640" s="77" t="s">
        <v>73</v>
      </c>
      <c r="G2640" s="77" t="s">
        <v>74</v>
      </c>
      <c r="H2640" s="77" t="s">
        <v>128</v>
      </c>
      <c r="I2640" s="77" t="s">
        <v>84</v>
      </c>
      <c r="J2640" s="76">
        <v>4.3195382907628159E-4</v>
      </c>
    </row>
    <row r="2641" spans="1:10" x14ac:dyDescent="0.35">
      <c r="A2641" t="s">
        <v>14</v>
      </c>
      <c r="B2641" t="s">
        <v>35</v>
      </c>
      <c r="C2641" s="77" t="s">
        <v>91</v>
      </c>
      <c r="D2641" t="s">
        <v>81</v>
      </c>
      <c r="E2641" s="77" t="s">
        <v>86</v>
      </c>
      <c r="F2641" s="77" t="s">
        <v>73</v>
      </c>
      <c r="G2641" s="77" t="s">
        <v>74</v>
      </c>
      <c r="H2641" s="77" t="s">
        <v>128</v>
      </c>
      <c r="I2641" s="77" t="s">
        <v>84</v>
      </c>
      <c r="J2641" s="76">
        <v>1.1339568587203704E-2</v>
      </c>
    </row>
    <row r="2642" spans="1:10" x14ac:dyDescent="0.35">
      <c r="A2642" t="s">
        <v>14</v>
      </c>
      <c r="B2642" t="s">
        <v>35</v>
      </c>
      <c r="C2642" s="77" t="s">
        <v>92</v>
      </c>
      <c r="D2642" t="s">
        <v>81</v>
      </c>
      <c r="E2642" s="77" t="s">
        <v>82</v>
      </c>
      <c r="F2642" s="77" t="s">
        <v>73</v>
      </c>
      <c r="G2642" s="77" t="s">
        <v>74</v>
      </c>
      <c r="H2642" s="77" t="s">
        <v>128</v>
      </c>
      <c r="I2642" s="77" t="s">
        <v>84</v>
      </c>
      <c r="J2642" s="76">
        <v>5.9963902402539811E-4</v>
      </c>
    </row>
    <row r="2643" spans="1:10" x14ac:dyDescent="0.35">
      <c r="A2643" t="s">
        <v>14</v>
      </c>
      <c r="B2643" t="s">
        <v>35</v>
      </c>
      <c r="C2643" s="77" t="s">
        <v>92</v>
      </c>
      <c r="D2643" t="s">
        <v>81</v>
      </c>
      <c r="E2643" s="77" t="s">
        <v>86</v>
      </c>
      <c r="F2643" s="77" t="s">
        <v>73</v>
      </c>
      <c r="G2643" s="77" t="s">
        <v>74</v>
      </c>
      <c r="H2643" s="77" t="s">
        <v>128</v>
      </c>
      <c r="I2643" s="77" t="s">
        <v>84</v>
      </c>
      <c r="J2643" s="76">
        <v>7.0614092017150581E-3</v>
      </c>
    </row>
    <row r="2644" spans="1:10" x14ac:dyDescent="0.35">
      <c r="A2644" t="s">
        <v>14</v>
      </c>
      <c r="B2644" t="s">
        <v>35</v>
      </c>
      <c r="C2644" s="77" t="s">
        <v>93</v>
      </c>
      <c r="D2644" t="s">
        <v>81</v>
      </c>
      <c r="E2644" s="77" t="s">
        <v>82</v>
      </c>
      <c r="F2644" s="77" t="s">
        <v>73</v>
      </c>
      <c r="G2644" s="77" t="s">
        <v>74</v>
      </c>
      <c r="H2644" s="77" t="s">
        <v>128</v>
      </c>
      <c r="I2644" s="77" t="s">
        <v>84</v>
      </c>
      <c r="J2644" s="76">
        <v>2.4854239602480213E-3</v>
      </c>
    </row>
    <row r="2645" spans="1:10" x14ac:dyDescent="0.35">
      <c r="A2645" t="s">
        <v>14</v>
      </c>
      <c r="B2645" t="s">
        <v>35</v>
      </c>
      <c r="C2645" s="77" t="s">
        <v>93</v>
      </c>
      <c r="D2645" t="s">
        <v>81</v>
      </c>
      <c r="E2645" s="77" t="s">
        <v>86</v>
      </c>
      <c r="F2645" s="77" t="s">
        <v>73</v>
      </c>
      <c r="G2645" s="77" t="s">
        <v>74</v>
      </c>
      <c r="H2645" s="77" t="s">
        <v>128</v>
      </c>
      <c r="I2645" s="77" t="s">
        <v>84</v>
      </c>
      <c r="J2645" s="76">
        <v>3.1580644155014347E-2</v>
      </c>
    </row>
    <row r="2646" spans="1:10" x14ac:dyDescent="0.35">
      <c r="A2646" t="s">
        <v>14</v>
      </c>
      <c r="B2646" t="s">
        <v>35</v>
      </c>
      <c r="C2646" s="77" t="s">
        <v>73</v>
      </c>
      <c r="D2646" t="s">
        <v>81</v>
      </c>
      <c r="E2646" s="77" t="s">
        <v>82</v>
      </c>
      <c r="F2646" s="77" t="s">
        <v>73</v>
      </c>
      <c r="G2646" s="77" t="s">
        <v>74</v>
      </c>
      <c r="H2646" s="77" t="s">
        <v>129</v>
      </c>
      <c r="I2646" s="77" t="s">
        <v>84</v>
      </c>
      <c r="J2646" s="76">
        <v>1.4658301341380521E-2</v>
      </c>
    </row>
    <row r="2647" spans="1:10" x14ac:dyDescent="0.35">
      <c r="A2647" t="s">
        <v>14</v>
      </c>
      <c r="B2647" t="s">
        <v>35</v>
      </c>
      <c r="C2647" s="77" t="s">
        <v>73</v>
      </c>
      <c r="D2647" t="s">
        <v>81</v>
      </c>
      <c r="E2647" s="77" t="s">
        <v>86</v>
      </c>
      <c r="F2647" s="77" t="s">
        <v>73</v>
      </c>
      <c r="G2647" s="77" t="s">
        <v>74</v>
      </c>
      <c r="H2647" s="77" t="s">
        <v>129</v>
      </c>
      <c r="I2647" s="77" t="s">
        <v>84</v>
      </c>
      <c r="J2647" s="76">
        <v>3.0740776778828832E-3</v>
      </c>
    </row>
    <row r="2648" spans="1:10" x14ac:dyDescent="0.35">
      <c r="A2648" t="s">
        <v>14</v>
      </c>
      <c r="B2648" t="s">
        <v>35</v>
      </c>
      <c r="C2648" s="77" t="s">
        <v>88</v>
      </c>
      <c r="D2648" t="s">
        <v>81</v>
      </c>
      <c r="E2648" s="77" t="s">
        <v>82</v>
      </c>
      <c r="F2648" s="77" t="s">
        <v>73</v>
      </c>
      <c r="G2648" s="77" t="s">
        <v>74</v>
      </c>
      <c r="H2648" s="77" t="s">
        <v>129</v>
      </c>
      <c r="I2648" s="77" t="s">
        <v>84</v>
      </c>
      <c r="J2648" s="76">
        <v>9.2276548594747033E-3</v>
      </c>
    </row>
    <row r="2649" spans="1:10" x14ac:dyDescent="0.35">
      <c r="A2649" t="s">
        <v>14</v>
      </c>
      <c r="B2649" t="s">
        <v>35</v>
      </c>
      <c r="C2649" s="77" t="s">
        <v>88</v>
      </c>
      <c r="D2649" t="s">
        <v>81</v>
      </c>
      <c r="E2649" s="77" t="s">
        <v>86</v>
      </c>
      <c r="F2649" s="77" t="s">
        <v>73</v>
      </c>
      <c r="G2649" s="77" t="s">
        <v>74</v>
      </c>
      <c r="H2649" s="77" t="s">
        <v>129</v>
      </c>
      <c r="I2649" s="77" t="s">
        <v>84</v>
      </c>
      <c r="J2649" s="76">
        <v>6.9627451701437512E-2</v>
      </c>
    </row>
    <row r="2650" spans="1:10" x14ac:dyDescent="0.35">
      <c r="A2650" t="s">
        <v>14</v>
      </c>
      <c r="B2650" t="s">
        <v>35</v>
      </c>
      <c r="C2650" s="77" t="s">
        <v>90</v>
      </c>
      <c r="D2650" t="s">
        <v>81</v>
      </c>
      <c r="E2650" s="77" t="s">
        <v>82</v>
      </c>
      <c r="F2650" s="77" t="s">
        <v>73</v>
      </c>
      <c r="G2650" s="77" t="s">
        <v>74</v>
      </c>
      <c r="H2650" s="77" t="s">
        <v>129</v>
      </c>
      <c r="I2650" s="77" t="s">
        <v>84</v>
      </c>
      <c r="J2650" s="76">
        <v>2.2200107734217647E-6</v>
      </c>
    </row>
    <row r="2651" spans="1:10" x14ac:dyDescent="0.35">
      <c r="A2651" t="s">
        <v>14</v>
      </c>
      <c r="B2651" t="s">
        <v>35</v>
      </c>
      <c r="C2651" s="77" t="s">
        <v>90</v>
      </c>
      <c r="D2651" t="s">
        <v>81</v>
      </c>
      <c r="E2651" s="77" t="s">
        <v>86</v>
      </c>
      <c r="F2651" s="77" t="s">
        <v>73</v>
      </c>
      <c r="G2651" s="77" t="s">
        <v>74</v>
      </c>
      <c r="H2651" s="77" t="s">
        <v>129</v>
      </c>
      <c r="I2651" s="77" t="s">
        <v>84</v>
      </c>
      <c r="J2651" s="76">
        <v>9.1135123377023061E-3</v>
      </c>
    </row>
    <row r="2652" spans="1:10" x14ac:dyDescent="0.35">
      <c r="A2652" t="s">
        <v>14</v>
      </c>
      <c r="B2652" t="s">
        <v>35</v>
      </c>
      <c r="C2652" s="77" t="s">
        <v>91</v>
      </c>
      <c r="D2652" t="s">
        <v>81</v>
      </c>
      <c r="E2652" s="77" t="s">
        <v>82</v>
      </c>
      <c r="F2652" s="77" t="s">
        <v>73</v>
      </c>
      <c r="G2652" s="77" t="s">
        <v>74</v>
      </c>
      <c r="H2652" s="77" t="s">
        <v>129</v>
      </c>
      <c r="I2652" s="77" t="s">
        <v>84</v>
      </c>
      <c r="J2652" s="76">
        <v>4.3195382907628159E-4</v>
      </c>
    </row>
    <row r="2653" spans="1:10" x14ac:dyDescent="0.35">
      <c r="A2653" t="s">
        <v>14</v>
      </c>
      <c r="B2653" t="s">
        <v>35</v>
      </c>
      <c r="C2653" s="77" t="s">
        <v>91</v>
      </c>
      <c r="D2653" t="s">
        <v>81</v>
      </c>
      <c r="E2653" s="77" t="s">
        <v>86</v>
      </c>
      <c r="F2653" s="77" t="s">
        <v>73</v>
      </c>
      <c r="G2653" s="77" t="s">
        <v>74</v>
      </c>
      <c r="H2653" s="77" t="s">
        <v>129</v>
      </c>
      <c r="I2653" s="77" t="s">
        <v>84</v>
      </c>
      <c r="J2653" s="76">
        <v>1.1339568587203704E-2</v>
      </c>
    </row>
    <row r="2654" spans="1:10" x14ac:dyDescent="0.35">
      <c r="A2654" t="s">
        <v>14</v>
      </c>
      <c r="B2654" t="s">
        <v>35</v>
      </c>
      <c r="C2654" s="77" t="s">
        <v>92</v>
      </c>
      <c r="D2654" t="s">
        <v>81</v>
      </c>
      <c r="E2654" s="77" t="s">
        <v>82</v>
      </c>
      <c r="F2654" s="77" t="s">
        <v>73</v>
      </c>
      <c r="G2654" s="77" t="s">
        <v>74</v>
      </c>
      <c r="H2654" s="77" t="s">
        <v>129</v>
      </c>
      <c r="I2654" s="77" t="s">
        <v>84</v>
      </c>
      <c r="J2654" s="76">
        <v>5.9963902402539811E-4</v>
      </c>
    </row>
    <row r="2655" spans="1:10" x14ac:dyDescent="0.35">
      <c r="A2655" t="s">
        <v>14</v>
      </c>
      <c r="B2655" t="s">
        <v>35</v>
      </c>
      <c r="C2655" s="77" t="s">
        <v>92</v>
      </c>
      <c r="D2655" t="s">
        <v>81</v>
      </c>
      <c r="E2655" s="77" t="s">
        <v>86</v>
      </c>
      <c r="F2655" s="77" t="s">
        <v>73</v>
      </c>
      <c r="G2655" s="77" t="s">
        <v>74</v>
      </c>
      <c r="H2655" s="77" t="s">
        <v>129</v>
      </c>
      <c r="I2655" s="77" t="s">
        <v>84</v>
      </c>
      <c r="J2655" s="76">
        <v>7.0614092017150581E-3</v>
      </c>
    </row>
    <row r="2656" spans="1:10" x14ac:dyDescent="0.35">
      <c r="A2656" t="s">
        <v>14</v>
      </c>
      <c r="B2656" t="s">
        <v>35</v>
      </c>
      <c r="C2656" s="77" t="s">
        <v>93</v>
      </c>
      <c r="D2656" t="s">
        <v>81</v>
      </c>
      <c r="E2656" s="77" t="s">
        <v>82</v>
      </c>
      <c r="F2656" s="77" t="s">
        <v>73</v>
      </c>
      <c r="G2656" s="77" t="s">
        <v>74</v>
      </c>
      <c r="H2656" s="77" t="s">
        <v>129</v>
      </c>
      <c r="I2656" s="77" t="s">
        <v>84</v>
      </c>
      <c r="J2656" s="76">
        <v>2.4854239602480213E-3</v>
      </c>
    </row>
    <row r="2657" spans="1:10" x14ac:dyDescent="0.35">
      <c r="A2657" t="s">
        <v>14</v>
      </c>
      <c r="B2657" t="s">
        <v>35</v>
      </c>
      <c r="C2657" s="77" t="s">
        <v>93</v>
      </c>
      <c r="D2657" t="s">
        <v>81</v>
      </c>
      <c r="E2657" s="77" t="s">
        <v>86</v>
      </c>
      <c r="F2657" s="77" t="s">
        <v>73</v>
      </c>
      <c r="G2657" s="77" t="s">
        <v>74</v>
      </c>
      <c r="H2657" s="77" t="s">
        <v>129</v>
      </c>
      <c r="I2657" s="77" t="s">
        <v>84</v>
      </c>
      <c r="J2657" s="76">
        <v>3.1580644155014347E-2</v>
      </c>
    </row>
    <row r="2658" spans="1:10" x14ac:dyDescent="0.35">
      <c r="A2658" t="s">
        <v>14</v>
      </c>
      <c r="B2658" t="s">
        <v>35</v>
      </c>
      <c r="C2658" s="77" t="s">
        <v>73</v>
      </c>
      <c r="D2658" t="s">
        <v>81</v>
      </c>
      <c r="E2658" s="77" t="s">
        <v>82</v>
      </c>
      <c r="F2658" s="77" t="s">
        <v>73</v>
      </c>
      <c r="G2658" s="77" t="s">
        <v>74</v>
      </c>
      <c r="H2658" s="77" t="s">
        <v>130</v>
      </c>
      <c r="I2658" s="77" t="s">
        <v>84</v>
      </c>
      <c r="J2658" s="55" cm="1">
        <f t="array" ref="J2658:J2663">Sensitivity!J76:J81</f>
        <v>8.2729226706694789E-2</v>
      </c>
    </row>
    <row r="2659" spans="1:10" x14ac:dyDescent="0.35">
      <c r="A2659" t="s">
        <v>14</v>
      </c>
      <c r="B2659" t="s">
        <v>35</v>
      </c>
      <c r="C2659" s="77" t="s">
        <v>88</v>
      </c>
      <c r="D2659" t="s">
        <v>81</v>
      </c>
      <c r="E2659" s="77" t="s">
        <v>82</v>
      </c>
      <c r="F2659" s="77" t="s">
        <v>73</v>
      </c>
      <c r="G2659" s="77" t="s">
        <v>74</v>
      </c>
      <c r="H2659" s="77" t="s">
        <v>130</v>
      </c>
      <c r="I2659" s="77" t="s">
        <v>84</v>
      </c>
      <c r="J2659" s="55">
        <v>5.2079482680952971E-2</v>
      </c>
    </row>
    <row r="2660" spans="1:10" x14ac:dyDescent="0.35">
      <c r="A2660" t="s">
        <v>14</v>
      </c>
      <c r="B2660" t="s">
        <v>35</v>
      </c>
      <c r="C2660" s="77" t="s">
        <v>90</v>
      </c>
      <c r="D2660" t="s">
        <v>81</v>
      </c>
      <c r="E2660" s="77" t="s">
        <v>82</v>
      </c>
      <c r="F2660" s="77" t="s">
        <v>73</v>
      </c>
      <c r="G2660" s="77" t="s">
        <v>74</v>
      </c>
      <c r="H2660" s="77" t="s">
        <v>130</v>
      </c>
      <c r="I2660" s="77" t="s">
        <v>84</v>
      </c>
      <c r="J2660" s="55">
        <v>1.2529403666115169E-5</v>
      </c>
    </row>
    <row r="2661" spans="1:10" x14ac:dyDescent="0.35">
      <c r="A2661" t="s">
        <v>14</v>
      </c>
      <c r="B2661" t="s">
        <v>35</v>
      </c>
      <c r="C2661" s="77" t="s">
        <v>91</v>
      </c>
      <c r="D2661" t="s">
        <v>81</v>
      </c>
      <c r="E2661" s="77" t="s">
        <v>82</v>
      </c>
      <c r="F2661" s="77" t="s">
        <v>73</v>
      </c>
      <c r="G2661" s="77" t="s">
        <v>74</v>
      </c>
      <c r="H2661" s="77" t="s">
        <v>130</v>
      </c>
      <c r="I2661" s="77" t="s">
        <v>84</v>
      </c>
      <c r="J2661" s="55">
        <v>2.4378818131945324E-3</v>
      </c>
    </row>
    <row r="2662" spans="1:10" x14ac:dyDescent="0.35">
      <c r="A2662" t="s">
        <v>14</v>
      </c>
      <c r="B2662" t="s">
        <v>35</v>
      </c>
      <c r="C2662" s="77" t="s">
        <v>92</v>
      </c>
      <c r="D2662" t="s">
        <v>81</v>
      </c>
      <c r="E2662" s="77" t="s">
        <v>82</v>
      </c>
      <c r="F2662" s="77" t="s">
        <v>73</v>
      </c>
      <c r="G2662" s="77" t="s">
        <v>74</v>
      </c>
      <c r="H2662" s="77" t="s">
        <v>130</v>
      </c>
      <c r="I2662" s="77" t="s">
        <v>84</v>
      </c>
      <c r="J2662" s="55">
        <v>3.3842715881911524E-3</v>
      </c>
    </row>
    <row r="2663" spans="1:10" x14ac:dyDescent="0.35">
      <c r="A2663" t="s">
        <v>14</v>
      </c>
      <c r="B2663" t="s">
        <v>35</v>
      </c>
      <c r="C2663" s="77" t="s">
        <v>93</v>
      </c>
      <c r="D2663" t="s">
        <v>81</v>
      </c>
      <c r="E2663" s="77" t="s">
        <v>82</v>
      </c>
      <c r="F2663" s="77" t="s">
        <v>73</v>
      </c>
      <c r="G2663" s="77" t="s">
        <v>74</v>
      </c>
      <c r="H2663" s="77" t="s">
        <v>130</v>
      </c>
      <c r="I2663" s="77" t="s">
        <v>84</v>
      </c>
      <c r="J2663" s="55">
        <v>1.4027355385930732E-2</v>
      </c>
    </row>
    <row r="2664" spans="1:10" x14ac:dyDescent="0.35">
      <c r="A2664" t="s">
        <v>14</v>
      </c>
      <c r="B2664" t="s">
        <v>35</v>
      </c>
      <c r="C2664" s="77" t="s">
        <v>73</v>
      </c>
      <c r="D2664" s="77" t="s">
        <v>81</v>
      </c>
      <c r="E2664" s="77" t="s">
        <v>96</v>
      </c>
      <c r="F2664" s="77" t="s">
        <v>73</v>
      </c>
      <c r="G2664" s="77" t="s">
        <v>74</v>
      </c>
      <c r="H2664" s="77" t="s">
        <v>130</v>
      </c>
      <c r="I2664" s="77" t="s">
        <v>84</v>
      </c>
      <c r="J2664" s="55" cm="1">
        <f t="array" ref="J2664:J2665">Sensitivity!J74:J75</f>
        <v>0.30207394048692521</v>
      </c>
    </row>
    <row r="2665" spans="1:10" x14ac:dyDescent="0.35">
      <c r="A2665" t="s">
        <v>14</v>
      </c>
      <c r="B2665" t="s">
        <v>35</v>
      </c>
      <c r="C2665" s="77" t="s">
        <v>73</v>
      </c>
      <c r="D2665" s="77" t="s">
        <v>81</v>
      </c>
      <c r="E2665" s="77" t="s">
        <v>99</v>
      </c>
      <c r="F2665" s="77" t="s">
        <v>73</v>
      </c>
      <c r="G2665" s="77" t="s">
        <v>74</v>
      </c>
      <c r="H2665" s="77" t="s">
        <v>130</v>
      </c>
      <c r="I2665" s="77" t="s">
        <v>84</v>
      </c>
      <c r="J2665" s="55">
        <v>1.2082957619477008</v>
      </c>
    </row>
    <row r="2666" spans="1:10" x14ac:dyDescent="0.35">
      <c r="A2666" t="s">
        <v>14</v>
      </c>
      <c r="B2666" t="s">
        <v>35</v>
      </c>
      <c r="C2666" s="77" t="s">
        <v>73</v>
      </c>
      <c r="D2666" t="s">
        <v>81</v>
      </c>
      <c r="E2666" s="77" t="s">
        <v>131</v>
      </c>
      <c r="F2666" s="77" t="s">
        <v>73</v>
      </c>
      <c r="G2666" s="77" t="s">
        <v>74</v>
      </c>
      <c r="H2666" s="77" t="s">
        <v>112</v>
      </c>
      <c r="I2666" s="77" t="s">
        <v>84</v>
      </c>
      <c r="J2666" s="76">
        <f>'SUT_EU27 total'!$R$24</f>
        <v>4.0146105919003111E-8</v>
      </c>
    </row>
    <row r="2667" spans="1:10" x14ac:dyDescent="0.35">
      <c r="A2667" t="s">
        <v>14</v>
      </c>
      <c r="B2667" t="s">
        <v>35</v>
      </c>
      <c r="C2667" s="77" t="s">
        <v>73</v>
      </c>
      <c r="D2667" t="s">
        <v>81</v>
      </c>
      <c r="E2667" s="77" t="s">
        <v>122</v>
      </c>
      <c r="F2667" s="77" t="s">
        <v>73</v>
      </c>
      <c r="G2667" s="77" t="s">
        <v>74</v>
      </c>
      <c r="H2667" s="77" t="s">
        <v>112</v>
      </c>
      <c r="I2667" s="77" t="s">
        <v>84</v>
      </c>
      <c r="J2667" s="76">
        <f>'SUT_EU27 total'!$R$30</f>
        <v>3.9708116569218732E-4</v>
      </c>
    </row>
    <row r="2668" spans="1:10" x14ac:dyDescent="0.35">
      <c r="A2668" t="s">
        <v>14</v>
      </c>
      <c r="B2668" t="s">
        <v>35</v>
      </c>
      <c r="C2668" s="77" t="s">
        <v>73</v>
      </c>
      <c r="D2668" t="s">
        <v>81</v>
      </c>
      <c r="E2668" s="77" t="s">
        <v>101</v>
      </c>
      <c r="F2668" s="77" t="s">
        <v>73</v>
      </c>
      <c r="G2668" s="77" t="s">
        <v>74</v>
      </c>
      <c r="H2668" s="77" t="s">
        <v>112</v>
      </c>
      <c r="I2668" s="77" t="s">
        <v>84</v>
      </c>
      <c r="J2668" s="76" cm="1">
        <f t="array" ref="J2668:J2670">'SUT_EU27 total'!$R$32:$R$34</f>
        <v>1.2183459827918709E-7</v>
      </c>
    </row>
    <row r="2669" spans="1:10" x14ac:dyDescent="0.35">
      <c r="A2669" t="s">
        <v>14</v>
      </c>
      <c r="B2669" t="s">
        <v>35</v>
      </c>
      <c r="C2669" s="77" t="s">
        <v>73</v>
      </c>
      <c r="D2669" t="s">
        <v>81</v>
      </c>
      <c r="E2669" s="77" t="s">
        <v>104</v>
      </c>
      <c r="F2669" s="77" t="s">
        <v>73</v>
      </c>
      <c r="G2669" s="77" t="s">
        <v>74</v>
      </c>
      <c r="H2669" s="77" t="s">
        <v>112</v>
      </c>
      <c r="I2669" s="77" t="s">
        <v>84</v>
      </c>
      <c r="J2669" s="76">
        <v>2.3068290654205609E-7</v>
      </c>
    </row>
    <row r="2670" spans="1:10" x14ac:dyDescent="0.35">
      <c r="A2670" t="s">
        <v>14</v>
      </c>
      <c r="B2670" t="s">
        <v>35</v>
      </c>
      <c r="C2670" s="77" t="s">
        <v>73</v>
      </c>
      <c r="D2670" t="s">
        <v>81</v>
      </c>
      <c r="E2670" s="77" t="s">
        <v>106</v>
      </c>
      <c r="F2670" s="77" t="s">
        <v>73</v>
      </c>
      <c r="G2670" s="77" t="s">
        <v>74</v>
      </c>
      <c r="H2670" s="77" t="s">
        <v>112</v>
      </c>
      <c r="I2670" s="77" t="s">
        <v>84</v>
      </c>
      <c r="J2670" s="76">
        <v>7.8463573653760568E-7</v>
      </c>
    </row>
    <row r="2671" spans="1:10" x14ac:dyDescent="0.35">
      <c r="A2671" t="s">
        <v>14</v>
      </c>
      <c r="B2671" t="s">
        <v>35</v>
      </c>
      <c r="C2671" s="77" t="s">
        <v>88</v>
      </c>
      <c r="D2671" t="s">
        <v>81</v>
      </c>
      <c r="E2671" s="77" t="s">
        <v>131</v>
      </c>
      <c r="F2671" s="77" t="s">
        <v>73</v>
      </c>
      <c r="G2671" s="77" t="s">
        <v>74</v>
      </c>
      <c r="H2671" s="77" t="s">
        <v>112</v>
      </c>
      <c r="I2671" s="77" t="s">
        <v>84</v>
      </c>
      <c r="J2671" s="76">
        <f>'SUT_EU27 total'!$R$41</f>
        <v>0</v>
      </c>
    </row>
    <row r="2672" spans="1:10" x14ac:dyDescent="0.35">
      <c r="A2672" t="s">
        <v>14</v>
      </c>
      <c r="B2672" t="s">
        <v>35</v>
      </c>
      <c r="C2672" s="77" t="s">
        <v>88</v>
      </c>
      <c r="D2672" t="s">
        <v>81</v>
      </c>
      <c r="E2672" s="77" t="s">
        <v>122</v>
      </c>
      <c r="F2672" s="77" t="s">
        <v>73</v>
      </c>
      <c r="G2672" s="77" t="s">
        <v>74</v>
      </c>
      <c r="H2672" s="77" t="s">
        <v>112</v>
      </c>
      <c r="I2672" s="77" t="s">
        <v>84</v>
      </c>
      <c r="J2672" s="76">
        <f>'SUT_EU27 total'!$R$47</f>
        <v>0</v>
      </c>
    </row>
    <row r="2673" spans="1:10" x14ac:dyDescent="0.35">
      <c r="A2673" t="s">
        <v>14</v>
      </c>
      <c r="B2673" t="s">
        <v>35</v>
      </c>
      <c r="C2673" s="77" t="s">
        <v>88</v>
      </c>
      <c r="D2673" t="s">
        <v>81</v>
      </c>
      <c r="E2673" s="77" t="s">
        <v>101</v>
      </c>
      <c r="F2673" s="77" t="s">
        <v>73</v>
      </c>
      <c r="G2673" s="77" t="s">
        <v>74</v>
      </c>
      <c r="H2673" s="77" t="s">
        <v>112</v>
      </c>
      <c r="I2673" s="77" t="s">
        <v>84</v>
      </c>
      <c r="J2673" s="76" cm="1">
        <f t="array" ref="J2673:J2675">'SUT_EU27 total'!$R$49:$R$51</f>
        <v>0</v>
      </c>
    </row>
    <row r="2674" spans="1:10" x14ac:dyDescent="0.35">
      <c r="A2674" t="s">
        <v>14</v>
      </c>
      <c r="B2674" t="s">
        <v>35</v>
      </c>
      <c r="C2674" s="77" t="s">
        <v>88</v>
      </c>
      <c r="D2674" t="s">
        <v>81</v>
      </c>
      <c r="E2674" s="77" t="s">
        <v>104</v>
      </c>
      <c r="F2674" s="77" t="s">
        <v>73</v>
      </c>
      <c r="G2674" s="77" t="s">
        <v>74</v>
      </c>
      <c r="H2674" s="77" t="s">
        <v>112</v>
      </c>
      <c r="I2674" s="77" t="s">
        <v>84</v>
      </c>
      <c r="J2674" s="76">
        <v>0</v>
      </c>
    </row>
    <row r="2675" spans="1:10" x14ac:dyDescent="0.35">
      <c r="A2675" t="s">
        <v>14</v>
      </c>
      <c r="B2675" t="s">
        <v>35</v>
      </c>
      <c r="C2675" s="77" t="s">
        <v>88</v>
      </c>
      <c r="D2675" t="s">
        <v>81</v>
      </c>
      <c r="E2675" s="77" t="s">
        <v>106</v>
      </c>
      <c r="F2675" s="77" t="s">
        <v>73</v>
      </c>
      <c r="G2675" s="77" t="s">
        <v>74</v>
      </c>
      <c r="H2675" s="77" t="s">
        <v>112</v>
      </c>
      <c r="I2675" s="77" t="s">
        <v>84</v>
      </c>
      <c r="J2675" s="76">
        <v>0</v>
      </c>
    </row>
    <row r="2676" spans="1:10" x14ac:dyDescent="0.35">
      <c r="A2676" t="s">
        <v>14</v>
      </c>
      <c r="B2676" t="s">
        <v>35</v>
      </c>
      <c r="C2676" s="77" t="s">
        <v>90</v>
      </c>
      <c r="D2676" t="s">
        <v>81</v>
      </c>
      <c r="E2676" s="77" t="s">
        <v>131</v>
      </c>
      <c r="F2676" s="77" t="s">
        <v>73</v>
      </c>
      <c r="G2676" s="77" t="s">
        <v>74</v>
      </c>
      <c r="H2676" s="77" t="s">
        <v>112</v>
      </c>
      <c r="I2676" s="77" t="s">
        <v>84</v>
      </c>
      <c r="J2676" s="76">
        <f>'SUT_EU27 total'!$R$58</f>
        <v>0</v>
      </c>
    </row>
    <row r="2677" spans="1:10" x14ac:dyDescent="0.35">
      <c r="A2677" t="s">
        <v>14</v>
      </c>
      <c r="B2677" t="s">
        <v>35</v>
      </c>
      <c r="C2677" s="77" t="s">
        <v>90</v>
      </c>
      <c r="D2677" t="s">
        <v>81</v>
      </c>
      <c r="E2677" s="77" t="s">
        <v>122</v>
      </c>
      <c r="F2677" s="77" t="s">
        <v>73</v>
      </c>
      <c r="G2677" s="77" t="s">
        <v>74</v>
      </c>
      <c r="H2677" s="77" t="s">
        <v>112</v>
      </c>
      <c r="I2677" s="77" t="s">
        <v>84</v>
      </c>
      <c r="J2677" s="76">
        <f>'SUT_EU27 total'!$R$64</f>
        <v>6.4108466461028498E-4</v>
      </c>
    </row>
    <row r="2678" spans="1:10" x14ac:dyDescent="0.35">
      <c r="A2678" t="s">
        <v>14</v>
      </c>
      <c r="B2678" t="s">
        <v>35</v>
      </c>
      <c r="C2678" s="77" t="s">
        <v>90</v>
      </c>
      <c r="D2678" t="s">
        <v>81</v>
      </c>
      <c r="E2678" s="77" t="s">
        <v>101</v>
      </c>
      <c r="F2678" s="77" t="s">
        <v>73</v>
      </c>
      <c r="G2678" s="77" t="s">
        <v>74</v>
      </c>
      <c r="H2678" s="77" t="s">
        <v>112</v>
      </c>
      <c r="I2678" s="77" t="s">
        <v>84</v>
      </c>
      <c r="J2678" s="76" cm="1">
        <f t="array" ref="J2678:J2680">'SUT_EU27 total'!$R$66:$R$68</f>
        <v>0</v>
      </c>
    </row>
    <row r="2679" spans="1:10" x14ac:dyDescent="0.35">
      <c r="A2679" t="s">
        <v>14</v>
      </c>
      <c r="B2679" t="s">
        <v>35</v>
      </c>
      <c r="C2679" s="77" t="s">
        <v>90</v>
      </c>
      <c r="D2679" t="s">
        <v>81</v>
      </c>
      <c r="E2679" s="77" t="s">
        <v>104</v>
      </c>
      <c r="F2679" s="77" t="s">
        <v>73</v>
      </c>
      <c r="G2679" s="77" t="s">
        <v>74</v>
      </c>
      <c r="H2679" s="77" t="s">
        <v>112</v>
      </c>
      <c r="I2679" s="77" t="s">
        <v>84</v>
      </c>
      <c r="J2679" s="76">
        <v>0</v>
      </c>
    </row>
    <row r="2680" spans="1:10" x14ac:dyDescent="0.35">
      <c r="A2680" t="s">
        <v>14</v>
      </c>
      <c r="B2680" t="s">
        <v>35</v>
      </c>
      <c r="C2680" s="77" t="s">
        <v>90</v>
      </c>
      <c r="D2680" t="s">
        <v>81</v>
      </c>
      <c r="E2680" s="77" t="s">
        <v>106</v>
      </c>
      <c r="F2680" s="77" t="s">
        <v>73</v>
      </c>
      <c r="G2680" s="77" t="s">
        <v>74</v>
      </c>
      <c r="H2680" s="77" t="s">
        <v>112</v>
      </c>
      <c r="I2680" s="77" t="s">
        <v>84</v>
      </c>
      <c r="J2680" s="76">
        <v>0</v>
      </c>
    </row>
    <row r="2681" spans="1:10" x14ac:dyDescent="0.35">
      <c r="A2681" t="s">
        <v>14</v>
      </c>
      <c r="B2681" t="s">
        <v>35</v>
      </c>
      <c r="C2681" s="77" t="s">
        <v>91</v>
      </c>
      <c r="D2681" t="s">
        <v>81</v>
      </c>
      <c r="E2681" s="77" t="s">
        <v>131</v>
      </c>
      <c r="F2681" s="77" t="s">
        <v>73</v>
      </c>
      <c r="G2681" s="77" t="s">
        <v>74</v>
      </c>
      <c r="H2681" s="77" t="s">
        <v>112</v>
      </c>
      <c r="I2681" s="77" t="s">
        <v>84</v>
      </c>
      <c r="J2681" s="76">
        <f>'SUT_EU27 total'!$R$75</f>
        <v>0</v>
      </c>
    </row>
    <row r="2682" spans="1:10" x14ac:dyDescent="0.35">
      <c r="A2682" t="s">
        <v>14</v>
      </c>
      <c r="B2682" t="s">
        <v>35</v>
      </c>
      <c r="C2682" s="77" t="s">
        <v>91</v>
      </c>
      <c r="D2682" t="s">
        <v>81</v>
      </c>
      <c r="E2682" s="77" t="s">
        <v>122</v>
      </c>
      <c r="F2682" s="77" t="s">
        <v>73</v>
      </c>
      <c r="G2682" s="77" t="s">
        <v>74</v>
      </c>
      <c r="H2682" s="77" t="s">
        <v>112</v>
      </c>
      <c r="I2682" s="77" t="s">
        <v>84</v>
      </c>
      <c r="J2682" s="76">
        <f>'SUT_EU27 total'!$R$81</f>
        <v>0</v>
      </c>
    </row>
    <row r="2683" spans="1:10" x14ac:dyDescent="0.35">
      <c r="A2683" t="s">
        <v>14</v>
      </c>
      <c r="B2683" t="s">
        <v>35</v>
      </c>
      <c r="C2683" s="77" t="s">
        <v>91</v>
      </c>
      <c r="D2683" t="s">
        <v>81</v>
      </c>
      <c r="E2683" s="77" t="s">
        <v>101</v>
      </c>
      <c r="F2683" s="77" t="s">
        <v>73</v>
      </c>
      <c r="G2683" s="77" t="s">
        <v>74</v>
      </c>
      <c r="H2683" s="77" t="s">
        <v>112</v>
      </c>
      <c r="I2683" s="77" t="s">
        <v>84</v>
      </c>
      <c r="J2683" s="76" cm="1">
        <f t="array" ref="J2683:J2685">'SUT_EU27 total'!$R$83:$R$85</f>
        <v>0</v>
      </c>
    </row>
    <row r="2684" spans="1:10" x14ac:dyDescent="0.35">
      <c r="A2684" t="s">
        <v>14</v>
      </c>
      <c r="B2684" t="s">
        <v>35</v>
      </c>
      <c r="C2684" s="77" t="s">
        <v>91</v>
      </c>
      <c r="D2684" t="s">
        <v>81</v>
      </c>
      <c r="E2684" s="77" t="s">
        <v>104</v>
      </c>
      <c r="F2684" s="77" t="s">
        <v>73</v>
      </c>
      <c r="G2684" s="77" t="s">
        <v>74</v>
      </c>
      <c r="H2684" s="77" t="s">
        <v>112</v>
      </c>
      <c r="I2684" s="77" t="s">
        <v>84</v>
      </c>
      <c r="J2684" s="76">
        <v>0</v>
      </c>
    </row>
    <row r="2685" spans="1:10" x14ac:dyDescent="0.35">
      <c r="A2685" t="s">
        <v>14</v>
      </c>
      <c r="B2685" t="s">
        <v>35</v>
      </c>
      <c r="C2685" s="77" t="s">
        <v>91</v>
      </c>
      <c r="D2685" t="s">
        <v>81</v>
      </c>
      <c r="E2685" s="77" t="s">
        <v>106</v>
      </c>
      <c r="F2685" s="77" t="s">
        <v>73</v>
      </c>
      <c r="G2685" s="77" t="s">
        <v>74</v>
      </c>
      <c r="H2685" s="77" t="s">
        <v>112</v>
      </c>
      <c r="I2685" s="77" t="s">
        <v>84</v>
      </c>
      <c r="J2685" s="76">
        <v>0</v>
      </c>
    </row>
    <row r="2686" spans="1:10" x14ac:dyDescent="0.35">
      <c r="A2686" t="s">
        <v>14</v>
      </c>
      <c r="B2686" t="s">
        <v>35</v>
      </c>
      <c r="C2686" s="77" t="s">
        <v>92</v>
      </c>
      <c r="D2686" t="s">
        <v>81</v>
      </c>
      <c r="E2686" s="77" t="s">
        <v>131</v>
      </c>
      <c r="F2686" s="77" t="s">
        <v>73</v>
      </c>
      <c r="G2686" s="77" t="s">
        <v>74</v>
      </c>
      <c r="H2686" s="77" t="s">
        <v>112</v>
      </c>
      <c r="I2686" s="77" t="s">
        <v>84</v>
      </c>
      <c r="J2686" s="76">
        <f>'SUT_EU27 total'!$R$92</f>
        <v>0</v>
      </c>
    </row>
    <row r="2687" spans="1:10" x14ac:dyDescent="0.35">
      <c r="A2687" t="s">
        <v>14</v>
      </c>
      <c r="B2687" t="s">
        <v>35</v>
      </c>
      <c r="C2687" s="77" t="s">
        <v>92</v>
      </c>
      <c r="D2687" t="s">
        <v>81</v>
      </c>
      <c r="E2687" s="77" t="s">
        <v>122</v>
      </c>
      <c r="F2687" s="77" t="s">
        <v>73</v>
      </c>
      <c r="G2687" s="77" t="s">
        <v>74</v>
      </c>
      <c r="H2687" s="77" t="s">
        <v>112</v>
      </c>
      <c r="I2687" s="77" t="s">
        <v>84</v>
      </c>
      <c r="J2687" s="76">
        <f>'SUT_EU27 total'!$R$98</f>
        <v>0</v>
      </c>
    </row>
    <row r="2688" spans="1:10" x14ac:dyDescent="0.35">
      <c r="A2688" t="s">
        <v>14</v>
      </c>
      <c r="B2688" t="s">
        <v>35</v>
      </c>
      <c r="C2688" s="77" t="s">
        <v>92</v>
      </c>
      <c r="D2688" t="s">
        <v>81</v>
      </c>
      <c r="E2688" s="77" t="s">
        <v>101</v>
      </c>
      <c r="F2688" s="77" t="s">
        <v>73</v>
      </c>
      <c r="G2688" s="77" t="s">
        <v>74</v>
      </c>
      <c r="H2688" s="77" t="s">
        <v>112</v>
      </c>
      <c r="I2688" s="77" t="s">
        <v>84</v>
      </c>
      <c r="J2688" s="76" cm="1">
        <f t="array" ref="J2688:J2690">'SUT_EU27 total'!$R$100:$R$102</f>
        <v>0</v>
      </c>
    </row>
    <row r="2689" spans="1:10" x14ac:dyDescent="0.35">
      <c r="A2689" t="s">
        <v>14</v>
      </c>
      <c r="B2689" t="s">
        <v>35</v>
      </c>
      <c r="C2689" s="77" t="s">
        <v>92</v>
      </c>
      <c r="D2689" t="s">
        <v>81</v>
      </c>
      <c r="E2689" s="77" t="s">
        <v>104</v>
      </c>
      <c r="F2689" s="77" t="s">
        <v>73</v>
      </c>
      <c r="G2689" s="77" t="s">
        <v>74</v>
      </c>
      <c r="H2689" s="77" t="s">
        <v>112</v>
      </c>
      <c r="I2689" s="77" t="s">
        <v>84</v>
      </c>
      <c r="J2689" s="76">
        <v>0</v>
      </c>
    </row>
    <row r="2690" spans="1:10" x14ac:dyDescent="0.35">
      <c r="A2690" t="s">
        <v>14</v>
      </c>
      <c r="B2690" t="s">
        <v>35</v>
      </c>
      <c r="C2690" s="77" t="s">
        <v>92</v>
      </c>
      <c r="D2690" t="s">
        <v>81</v>
      </c>
      <c r="E2690" s="77" t="s">
        <v>106</v>
      </c>
      <c r="F2690" s="77" t="s">
        <v>73</v>
      </c>
      <c r="G2690" s="77" t="s">
        <v>74</v>
      </c>
      <c r="H2690" s="77" t="s">
        <v>112</v>
      </c>
      <c r="I2690" s="77" t="s">
        <v>84</v>
      </c>
      <c r="J2690" s="76">
        <v>0</v>
      </c>
    </row>
    <row r="2691" spans="1:10" x14ac:dyDescent="0.35">
      <c r="A2691" t="s">
        <v>14</v>
      </c>
      <c r="B2691" t="s">
        <v>35</v>
      </c>
      <c r="C2691" s="77" t="s">
        <v>93</v>
      </c>
      <c r="D2691" t="s">
        <v>81</v>
      </c>
      <c r="E2691" s="77" t="s">
        <v>131</v>
      </c>
      <c r="F2691" s="77" t="s">
        <v>73</v>
      </c>
      <c r="G2691" s="77" t="s">
        <v>74</v>
      </c>
      <c r="H2691" s="77" t="s">
        <v>112</v>
      </c>
      <c r="I2691" s="77" t="s">
        <v>84</v>
      </c>
      <c r="J2691" s="76">
        <f>'SUT_EU27 total'!$R$109</f>
        <v>0</v>
      </c>
    </row>
    <row r="2692" spans="1:10" x14ac:dyDescent="0.35">
      <c r="A2692" t="s">
        <v>14</v>
      </c>
      <c r="B2692" t="s">
        <v>35</v>
      </c>
      <c r="C2692" s="77" t="s">
        <v>93</v>
      </c>
      <c r="D2692" t="s">
        <v>81</v>
      </c>
      <c r="E2692" s="77" t="s">
        <v>122</v>
      </c>
      <c r="F2692" s="77" t="s">
        <v>73</v>
      </c>
      <c r="G2692" s="77" t="s">
        <v>74</v>
      </c>
      <c r="H2692" s="77" t="s">
        <v>112</v>
      </c>
      <c r="I2692" s="77" t="s">
        <v>84</v>
      </c>
      <c r="J2692" s="76">
        <f>'SUT_EU27 total'!$R$115</f>
        <v>2.188358424259166E-3</v>
      </c>
    </row>
    <row r="2693" spans="1:10" x14ac:dyDescent="0.35">
      <c r="A2693" t="s">
        <v>14</v>
      </c>
      <c r="B2693" t="s">
        <v>35</v>
      </c>
      <c r="C2693" s="77" t="s">
        <v>93</v>
      </c>
      <c r="D2693" t="s">
        <v>81</v>
      </c>
      <c r="E2693" s="77" t="s">
        <v>101</v>
      </c>
      <c r="F2693" s="77" t="s">
        <v>73</v>
      </c>
      <c r="G2693" s="77" t="s">
        <v>74</v>
      </c>
      <c r="H2693" s="77" t="s">
        <v>112</v>
      </c>
      <c r="I2693" s="77" t="s">
        <v>84</v>
      </c>
      <c r="J2693" s="76" cm="1">
        <f t="array" ref="J2693:J2695">'SUT_EU27 total'!$R$117:$R$119</f>
        <v>0</v>
      </c>
    </row>
    <row r="2694" spans="1:10" x14ac:dyDescent="0.35">
      <c r="A2694" t="s">
        <v>14</v>
      </c>
      <c r="B2694" t="s">
        <v>35</v>
      </c>
      <c r="C2694" s="77" t="s">
        <v>93</v>
      </c>
      <c r="D2694" t="s">
        <v>81</v>
      </c>
      <c r="E2694" s="77" t="s">
        <v>104</v>
      </c>
      <c r="F2694" s="77" t="s">
        <v>73</v>
      </c>
      <c r="G2694" s="77" t="s">
        <v>74</v>
      </c>
      <c r="H2694" s="77" t="s">
        <v>112</v>
      </c>
      <c r="I2694" s="77" t="s">
        <v>84</v>
      </c>
      <c r="J2694" s="76">
        <v>0</v>
      </c>
    </row>
    <row r="2695" spans="1:10" x14ac:dyDescent="0.35">
      <c r="A2695" t="s">
        <v>14</v>
      </c>
      <c r="B2695" t="s">
        <v>35</v>
      </c>
      <c r="C2695" s="77" t="s">
        <v>93</v>
      </c>
      <c r="D2695" t="s">
        <v>81</v>
      </c>
      <c r="E2695" s="77" t="s">
        <v>106</v>
      </c>
      <c r="F2695" s="77" t="s">
        <v>73</v>
      </c>
      <c r="G2695" s="77" t="s">
        <v>74</v>
      </c>
      <c r="H2695" s="77" t="s">
        <v>112</v>
      </c>
      <c r="I2695" s="77" t="s">
        <v>84</v>
      </c>
      <c r="J2695" s="76">
        <v>0</v>
      </c>
    </row>
    <row r="2696" spans="1:10" x14ac:dyDescent="0.35">
      <c r="A2696" t="s">
        <v>14</v>
      </c>
      <c r="B2696" t="s">
        <v>35</v>
      </c>
      <c r="C2696" s="77" t="s">
        <v>73</v>
      </c>
      <c r="D2696" t="s">
        <v>81</v>
      </c>
      <c r="E2696" s="77" t="s">
        <v>131</v>
      </c>
      <c r="F2696" s="77" t="s">
        <v>73</v>
      </c>
      <c r="G2696" s="77" t="s">
        <v>74</v>
      </c>
      <c r="H2696" s="77" t="s">
        <v>113</v>
      </c>
      <c r="I2696" s="77" t="s">
        <v>84</v>
      </c>
      <c r="J2696" s="76">
        <f>'SUT_EU27 total'!$S$24</f>
        <v>5.0294789999999994E-8</v>
      </c>
    </row>
    <row r="2697" spans="1:10" x14ac:dyDescent="0.35">
      <c r="A2697" t="s">
        <v>14</v>
      </c>
      <c r="B2697" t="s">
        <v>35</v>
      </c>
      <c r="C2697" s="77" t="s">
        <v>73</v>
      </c>
      <c r="D2697" t="s">
        <v>81</v>
      </c>
      <c r="E2697" s="77" t="s">
        <v>101</v>
      </c>
      <c r="F2697" s="77" t="s">
        <v>73</v>
      </c>
      <c r="G2697" s="77" t="s">
        <v>74</v>
      </c>
      <c r="H2697" s="77" t="s">
        <v>113</v>
      </c>
      <c r="I2697" s="77" t="s">
        <v>84</v>
      </c>
      <c r="J2697" s="76" cm="1">
        <f t="array" ref="J2697:J2699">'SUT_EU27 total'!$S$32:$S$34</f>
        <v>1.7883556705882356E-5</v>
      </c>
    </row>
    <row r="2698" spans="1:10" x14ac:dyDescent="0.35">
      <c r="A2698" t="s">
        <v>14</v>
      </c>
      <c r="B2698" t="s">
        <v>35</v>
      </c>
      <c r="C2698" s="77" t="s">
        <v>73</v>
      </c>
      <c r="D2698" t="s">
        <v>81</v>
      </c>
      <c r="E2698" s="77" t="s">
        <v>104</v>
      </c>
      <c r="F2698" s="77" t="s">
        <v>73</v>
      </c>
      <c r="G2698" s="77" t="s">
        <v>74</v>
      </c>
      <c r="H2698" s="77" t="s">
        <v>113</v>
      </c>
      <c r="I2698" s="77" t="s">
        <v>84</v>
      </c>
      <c r="J2698" s="76">
        <v>3.3860913882352942E-5</v>
      </c>
    </row>
    <row r="2699" spans="1:10" x14ac:dyDescent="0.35">
      <c r="A2699" t="s">
        <v>14</v>
      </c>
      <c r="B2699" t="s">
        <v>35</v>
      </c>
      <c r="C2699" s="77" t="s">
        <v>73</v>
      </c>
      <c r="D2699" t="s">
        <v>81</v>
      </c>
      <c r="E2699" s="77" t="s">
        <v>106</v>
      </c>
      <c r="F2699" s="77" t="s">
        <v>73</v>
      </c>
      <c r="G2699" s="77" t="s">
        <v>74</v>
      </c>
      <c r="H2699" s="77" t="s">
        <v>113</v>
      </c>
      <c r="I2699" s="77" t="s">
        <v>84</v>
      </c>
      <c r="J2699" s="76">
        <v>1.1517317647058823E-4</v>
      </c>
    </row>
    <row r="2700" spans="1:10" x14ac:dyDescent="0.35">
      <c r="A2700" t="s">
        <v>14</v>
      </c>
      <c r="B2700" t="s">
        <v>35</v>
      </c>
      <c r="C2700" s="77" t="s">
        <v>88</v>
      </c>
      <c r="D2700" t="s">
        <v>81</v>
      </c>
      <c r="E2700" s="77" t="s">
        <v>131</v>
      </c>
      <c r="F2700" s="77" t="s">
        <v>73</v>
      </c>
      <c r="G2700" s="77" t="s">
        <v>74</v>
      </c>
      <c r="H2700" s="77" t="s">
        <v>113</v>
      </c>
      <c r="I2700" s="77" t="s">
        <v>84</v>
      </c>
      <c r="J2700" s="76">
        <f>'SUT_EU27 total'!$S$41</f>
        <v>0</v>
      </c>
    </row>
    <row r="2701" spans="1:10" x14ac:dyDescent="0.35">
      <c r="A2701" t="s">
        <v>14</v>
      </c>
      <c r="B2701" t="s">
        <v>35</v>
      </c>
      <c r="C2701" s="77" t="s">
        <v>88</v>
      </c>
      <c r="D2701" t="s">
        <v>81</v>
      </c>
      <c r="E2701" s="77" t="s">
        <v>101</v>
      </c>
      <c r="F2701" s="77" t="s">
        <v>73</v>
      </c>
      <c r="G2701" s="77" t="s">
        <v>74</v>
      </c>
      <c r="H2701" s="77" t="s">
        <v>113</v>
      </c>
      <c r="I2701" s="77" t="s">
        <v>84</v>
      </c>
      <c r="J2701" s="76" cm="1">
        <f t="array" ref="J2701:J2703">'SUT_EU27 total'!$S$49:$S$51</f>
        <v>0</v>
      </c>
    </row>
    <row r="2702" spans="1:10" x14ac:dyDescent="0.35">
      <c r="A2702" t="s">
        <v>14</v>
      </c>
      <c r="B2702" t="s">
        <v>35</v>
      </c>
      <c r="C2702" s="77" t="s">
        <v>88</v>
      </c>
      <c r="D2702" t="s">
        <v>81</v>
      </c>
      <c r="E2702" s="77" t="s">
        <v>104</v>
      </c>
      <c r="F2702" s="77" t="s">
        <v>73</v>
      </c>
      <c r="G2702" s="77" t="s">
        <v>74</v>
      </c>
      <c r="H2702" s="77" t="s">
        <v>113</v>
      </c>
      <c r="I2702" s="77" t="s">
        <v>84</v>
      </c>
      <c r="J2702" s="76">
        <v>0</v>
      </c>
    </row>
    <row r="2703" spans="1:10" x14ac:dyDescent="0.35">
      <c r="A2703" t="s">
        <v>14</v>
      </c>
      <c r="B2703" t="s">
        <v>35</v>
      </c>
      <c r="C2703" s="77" t="s">
        <v>88</v>
      </c>
      <c r="D2703" t="s">
        <v>81</v>
      </c>
      <c r="E2703" s="77" t="s">
        <v>106</v>
      </c>
      <c r="F2703" s="77" t="s">
        <v>73</v>
      </c>
      <c r="G2703" s="77" t="s">
        <v>74</v>
      </c>
      <c r="H2703" s="77" t="s">
        <v>113</v>
      </c>
      <c r="I2703" s="77" t="s">
        <v>84</v>
      </c>
      <c r="J2703" s="76">
        <v>0</v>
      </c>
    </row>
    <row r="2704" spans="1:10" x14ac:dyDescent="0.35">
      <c r="A2704" t="s">
        <v>14</v>
      </c>
      <c r="B2704" t="s">
        <v>35</v>
      </c>
      <c r="C2704" s="77" t="s">
        <v>90</v>
      </c>
      <c r="D2704" t="s">
        <v>81</v>
      </c>
      <c r="E2704" s="77" t="s">
        <v>131</v>
      </c>
      <c r="F2704" s="77" t="s">
        <v>73</v>
      </c>
      <c r="G2704" s="77" t="s">
        <v>74</v>
      </c>
      <c r="H2704" s="77" t="s">
        <v>113</v>
      </c>
      <c r="I2704" s="77" t="s">
        <v>84</v>
      </c>
      <c r="J2704" s="76">
        <f>'SUT_EU27 total'!$S$58</f>
        <v>0</v>
      </c>
    </row>
    <row r="2705" spans="1:10" x14ac:dyDescent="0.35">
      <c r="A2705" t="s">
        <v>14</v>
      </c>
      <c r="B2705" t="s">
        <v>35</v>
      </c>
      <c r="C2705" s="77" t="s">
        <v>90</v>
      </c>
      <c r="D2705" t="s">
        <v>81</v>
      </c>
      <c r="E2705" s="77" t="s">
        <v>101</v>
      </c>
      <c r="F2705" s="77" t="s">
        <v>73</v>
      </c>
      <c r="G2705" s="77" t="s">
        <v>74</v>
      </c>
      <c r="H2705" s="77" t="s">
        <v>113</v>
      </c>
      <c r="I2705" s="77" t="s">
        <v>84</v>
      </c>
      <c r="J2705" s="76" cm="1">
        <f t="array" ref="J2705:J2707">'SUT_EU27 total'!$S$66:$S$68</f>
        <v>0</v>
      </c>
    </row>
    <row r="2706" spans="1:10" x14ac:dyDescent="0.35">
      <c r="A2706" t="s">
        <v>14</v>
      </c>
      <c r="B2706" t="s">
        <v>35</v>
      </c>
      <c r="C2706" s="77" t="s">
        <v>90</v>
      </c>
      <c r="D2706" t="s">
        <v>81</v>
      </c>
      <c r="E2706" s="77" t="s">
        <v>104</v>
      </c>
      <c r="F2706" s="77" t="s">
        <v>73</v>
      </c>
      <c r="G2706" s="77" t="s">
        <v>74</v>
      </c>
      <c r="H2706" s="77" t="s">
        <v>113</v>
      </c>
      <c r="I2706" s="77" t="s">
        <v>84</v>
      </c>
      <c r="J2706" s="76">
        <v>0</v>
      </c>
    </row>
    <row r="2707" spans="1:10" x14ac:dyDescent="0.35">
      <c r="A2707" t="s">
        <v>14</v>
      </c>
      <c r="B2707" t="s">
        <v>35</v>
      </c>
      <c r="C2707" s="77" t="s">
        <v>90</v>
      </c>
      <c r="D2707" t="s">
        <v>81</v>
      </c>
      <c r="E2707" s="77" t="s">
        <v>106</v>
      </c>
      <c r="F2707" s="77" t="s">
        <v>73</v>
      </c>
      <c r="G2707" s="77" t="s">
        <v>74</v>
      </c>
      <c r="H2707" s="77" t="s">
        <v>113</v>
      </c>
      <c r="I2707" s="77" t="s">
        <v>84</v>
      </c>
      <c r="J2707" s="76">
        <v>0</v>
      </c>
    </row>
    <row r="2708" spans="1:10" x14ac:dyDescent="0.35">
      <c r="A2708" t="s">
        <v>14</v>
      </c>
      <c r="B2708" t="s">
        <v>35</v>
      </c>
      <c r="C2708" s="77" t="s">
        <v>91</v>
      </c>
      <c r="D2708" t="s">
        <v>81</v>
      </c>
      <c r="E2708" s="77" t="s">
        <v>131</v>
      </c>
      <c r="F2708" s="77" t="s">
        <v>73</v>
      </c>
      <c r="G2708" s="77" t="s">
        <v>74</v>
      </c>
      <c r="H2708" s="77" t="s">
        <v>113</v>
      </c>
      <c r="I2708" s="77" t="s">
        <v>84</v>
      </c>
      <c r="J2708" s="76">
        <f>'SUT_EU27 total'!$S$75</f>
        <v>0</v>
      </c>
    </row>
    <row r="2709" spans="1:10" x14ac:dyDescent="0.35">
      <c r="A2709" t="s">
        <v>14</v>
      </c>
      <c r="B2709" t="s">
        <v>35</v>
      </c>
      <c r="C2709" s="77" t="s">
        <v>91</v>
      </c>
      <c r="D2709" t="s">
        <v>81</v>
      </c>
      <c r="E2709" s="77" t="s">
        <v>101</v>
      </c>
      <c r="F2709" s="77" t="s">
        <v>73</v>
      </c>
      <c r="G2709" s="77" t="s">
        <v>74</v>
      </c>
      <c r="H2709" s="77" t="s">
        <v>113</v>
      </c>
      <c r="I2709" s="77" t="s">
        <v>84</v>
      </c>
      <c r="J2709" s="76" cm="1">
        <f t="array" ref="J2709:J2711">'SUT_EU27 total'!$S$83:$S$85</f>
        <v>0</v>
      </c>
    </row>
    <row r="2710" spans="1:10" x14ac:dyDescent="0.35">
      <c r="A2710" t="s">
        <v>14</v>
      </c>
      <c r="B2710" t="s">
        <v>35</v>
      </c>
      <c r="C2710" s="77" t="s">
        <v>91</v>
      </c>
      <c r="D2710" t="s">
        <v>81</v>
      </c>
      <c r="E2710" s="77" t="s">
        <v>104</v>
      </c>
      <c r="F2710" s="77" t="s">
        <v>73</v>
      </c>
      <c r="G2710" s="77" t="s">
        <v>74</v>
      </c>
      <c r="H2710" s="77" t="s">
        <v>113</v>
      </c>
      <c r="I2710" s="77" t="s">
        <v>84</v>
      </c>
      <c r="J2710" s="76">
        <v>0</v>
      </c>
    </row>
    <row r="2711" spans="1:10" x14ac:dyDescent="0.35">
      <c r="A2711" t="s">
        <v>14</v>
      </c>
      <c r="B2711" t="s">
        <v>35</v>
      </c>
      <c r="C2711" s="77" t="s">
        <v>91</v>
      </c>
      <c r="D2711" t="s">
        <v>81</v>
      </c>
      <c r="E2711" s="77" t="s">
        <v>106</v>
      </c>
      <c r="F2711" s="77" t="s">
        <v>73</v>
      </c>
      <c r="G2711" s="77" t="s">
        <v>74</v>
      </c>
      <c r="H2711" s="77" t="s">
        <v>113</v>
      </c>
      <c r="I2711" s="77" t="s">
        <v>84</v>
      </c>
      <c r="J2711" s="76">
        <v>0</v>
      </c>
    </row>
    <row r="2712" spans="1:10" x14ac:dyDescent="0.35">
      <c r="A2712" t="s">
        <v>14</v>
      </c>
      <c r="B2712" t="s">
        <v>35</v>
      </c>
      <c r="C2712" s="77" t="s">
        <v>92</v>
      </c>
      <c r="D2712" t="s">
        <v>81</v>
      </c>
      <c r="E2712" s="77" t="s">
        <v>131</v>
      </c>
      <c r="F2712" s="77" t="s">
        <v>73</v>
      </c>
      <c r="G2712" s="77" t="s">
        <v>74</v>
      </c>
      <c r="H2712" s="77" t="s">
        <v>113</v>
      </c>
      <c r="I2712" s="77" t="s">
        <v>84</v>
      </c>
      <c r="J2712" s="76">
        <f>'SUT_EU27 total'!$S$92</f>
        <v>0</v>
      </c>
    </row>
    <row r="2713" spans="1:10" x14ac:dyDescent="0.35">
      <c r="A2713" t="s">
        <v>14</v>
      </c>
      <c r="B2713" t="s">
        <v>35</v>
      </c>
      <c r="C2713" s="77" t="s">
        <v>92</v>
      </c>
      <c r="D2713" t="s">
        <v>81</v>
      </c>
      <c r="E2713" s="77" t="s">
        <v>101</v>
      </c>
      <c r="F2713" s="77" t="s">
        <v>73</v>
      </c>
      <c r="G2713" s="77" t="s">
        <v>74</v>
      </c>
      <c r="H2713" s="77" t="s">
        <v>113</v>
      </c>
      <c r="I2713" s="77" t="s">
        <v>84</v>
      </c>
      <c r="J2713" s="76" cm="1">
        <f t="array" ref="J2713:J2715">'SUT_EU27 total'!$S$100:$S$102</f>
        <v>0</v>
      </c>
    </row>
    <row r="2714" spans="1:10" x14ac:dyDescent="0.35">
      <c r="A2714" t="s">
        <v>14</v>
      </c>
      <c r="B2714" t="s">
        <v>35</v>
      </c>
      <c r="C2714" s="77" t="s">
        <v>92</v>
      </c>
      <c r="D2714" t="s">
        <v>81</v>
      </c>
      <c r="E2714" s="77" t="s">
        <v>104</v>
      </c>
      <c r="F2714" s="77" t="s">
        <v>73</v>
      </c>
      <c r="G2714" s="77" t="s">
        <v>74</v>
      </c>
      <c r="H2714" s="77" t="s">
        <v>113</v>
      </c>
      <c r="I2714" s="77" t="s">
        <v>84</v>
      </c>
      <c r="J2714" s="76">
        <v>0</v>
      </c>
    </row>
    <row r="2715" spans="1:10" x14ac:dyDescent="0.35">
      <c r="A2715" t="s">
        <v>14</v>
      </c>
      <c r="B2715" t="s">
        <v>35</v>
      </c>
      <c r="C2715" s="77" t="s">
        <v>92</v>
      </c>
      <c r="D2715" t="s">
        <v>81</v>
      </c>
      <c r="E2715" s="77" t="s">
        <v>106</v>
      </c>
      <c r="F2715" s="77" t="s">
        <v>73</v>
      </c>
      <c r="G2715" s="77" t="s">
        <v>74</v>
      </c>
      <c r="H2715" s="77" t="s">
        <v>113</v>
      </c>
      <c r="I2715" s="77" t="s">
        <v>84</v>
      </c>
      <c r="J2715" s="76">
        <v>0</v>
      </c>
    </row>
    <row r="2716" spans="1:10" x14ac:dyDescent="0.35">
      <c r="A2716" t="s">
        <v>14</v>
      </c>
      <c r="B2716" t="s">
        <v>35</v>
      </c>
      <c r="C2716" s="77" t="s">
        <v>93</v>
      </c>
      <c r="D2716" t="s">
        <v>81</v>
      </c>
      <c r="E2716" s="77" t="s">
        <v>131</v>
      </c>
      <c r="F2716" s="77" t="s">
        <v>73</v>
      </c>
      <c r="G2716" s="77" t="s">
        <v>74</v>
      </c>
      <c r="H2716" s="77" t="s">
        <v>113</v>
      </c>
      <c r="I2716" s="77" t="s">
        <v>84</v>
      </c>
      <c r="J2716" s="76">
        <f>'SUT_EU27 total'!$S$109</f>
        <v>0</v>
      </c>
    </row>
    <row r="2717" spans="1:10" x14ac:dyDescent="0.35">
      <c r="A2717" t="s">
        <v>14</v>
      </c>
      <c r="B2717" t="s">
        <v>35</v>
      </c>
      <c r="C2717" s="77" t="s">
        <v>93</v>
      </c>
      <c r="D2717" t="s">
        <v>81</v>
      </c>
      <c r="E2717" s="77" t="s">
        <v>101</v>
      </c>
      <c r="F2717" s="77" t="s">
        <v>73</v>
      </c>
      <c r="G2717" s="77" t="s">
        <v>74</v>
      </c>
      <c r="H2717" s="77" t="s">
        <v>113</v>
      </c>
      <c r="I2717" s="77" t="s">
        <v>84</v>
      </c>
      <c r="J2717" s="76" cm="1">
        <f t="array" ref="J2717:J2719">'SUT_EU27 total'!$S$117:$S$119</f>
        <v>0</v>
      </c>
    </row>
    <row r="2718" spans="1:10" x14ac:dyDescent="0.35">
      <c r="A2718" t="s">
        <v>14</v>
      </c>
      <c r="B2718" t="s">
        <v>35</v>
      </c>
      <c r="C2718" s="77" t="s">
        <v>93</v>
      </c>
      <c r="D2718" t="s">
        <v>81</v>
      </c>
      <c r="E2718" s="77" t="s">
        <v>104</v>
      </c>
      <c r="F2718" s="77" t="s">
        <v>73</v>
      </c>
      <c r="G2718" s="77" t="s">
        <v>74</v>
      </c>
      <c r="H2718" s="77" t="s">
        <v>113</v>
      </c>
      <c r="I2718" s="77" t="s">
        <v>84</v>
      </c>
      <c r="J2718" s="76">
        <v>0</v>
      </c>
    </row>
    <row r="2719" spans="1:10" x14ac:dyDescent="0.35">
      <c r="A2719" t="s">
        <v>14</v>
      </c>
      <c r="B2719" t="s">
        <v>35</v>
      </c>
      <c r="C2719" s="77" t="s">
        <v>93</v>
      </c>
      <c r="D2719" t="s">
        <v>81</v>
      </c>
      <c r="E2719" s="77" t="s">
        <v>106</v>
      </c>
      <c r="F2719" s="77" t="s">
        <v>73</v>
      </c>
      <c r="G2719" s="77" t="s">
        <v>74</v>
      </c>
      <c r="H2719" s="77" t="s">
        <v>113</v>
      </c>
      <c r="I2719" s="77" t="s">
        <v>84</v>
      </c>
      <c r="J2719" s="76">
        <v>0</v>
      </c>
    </row>
    <row r="2720" spans="1:10" x14ac:dyDescent="0.35">
      <c r="A2720" t="s">
        <v>14</v>
      </c>
      <c r="B2720" t="s">
        <v>35</v>
      </c>
      <c r="C2720" s="77" t="s">
        <v>73</v>
      </c>
      <c r="D2720" t="s">
        <v>74</v>
      </c>
      <c r="E2720" s="77" t="s">
        <v>123</v>
      </c>
      <c r="F2720" s="77" t="s">
        <v>73</v>
      </c>
      <c r="G2720" s="77" t="s">
        <v>81</v>
      </c>
      <c r="H2720" s="77" t="s">
        <v>115</v>
      </c>
      <c r="I2720" s="77" t="s">
        <v>84</v>
      </c>
      <c r="J2720" s="76" cm="1">
        <f t="array" ref="J2720:J2726">TRANSPOSE('2030 pathways'!$C$9:$I$9)</f>
        <v>5.8999999999999997E-2</v>
      </c>
    </row>
    <row r="2721" spans="1:10" x14ac:dyDescent="0.35">
      <c r="A2721" t="s">
        <v>14</v>
      </c>
      <c r="B2721" t="s">
        <v>35</v>
      </c>
      <c r="C2721" s="77" t="s">
        <v>73</v>
      </c>
      <c r="D2721" t="s">
        <v>74</v>
      </c>
      <c r="E2721" s="77" t="s">
        <v>127</v>
      </c>
      <c r="F2721" s="77" t="s">
        <v>73</v>
      </c>
      <c r="G2721" s="77" t="s">
        <v>81</v>
      </c>
      <c r="H2721" s="77" t="s">
        <v>115</v>
      </c>
      <c r="I2721" s="77" t="s">
        <v>84</v>
      </c>
      <c r="J2721" s="76">
        <v>5.8999999999999999E-3</v>
      </c>
    </row>
    <row r="2722" spans="1:10" x14ac:dyDescent="0.35">
      <c r="A2722" t="s">
        <v>14</v>
      </c>
      <c r="B2722" t="s">
        <v>35</v>
      </c>
      <c r="C2722" s="77" t="s">
        <v>73</v>
      </c>
      <c r="D2722" t="s">
        <v>74</v>
      </c>
      <c r="E2722" s="77" t="s">
        <v>128</v>
      </c>
      <c r="F2722" s="77" t="s">
        <v>73</v>
      </c>
      <c r="G2722" s="77" t="s">
        <v>81</v>
      </c>
      <c r="H2722" s="77" t="s">
        <v>115</v>
      </c>
      <c r="I2722" s="77" t="s">
        <v>84</v>
      </c>
      <c r="J2722" s="76">
        <v>1.18E-2</v>
      </c>
    </row>
    <row r="2723" spans="1:10" x14ac:dyDescent="0.35">
      <c r="A2723" t="s">
        <v>14</v>
      </c>
      <c r="B2723" t="s">
        <v>35</v>
      </c>
      <c r="C2723" s="77" t="s">
        <v>73</v>
      </c>
      <c r="D2723" t="s">
        <v>74</v>
      </c>
      <c r="E2723" s="77" t="s">
        <v>129</v>
      </c>
      <c r="F2723" s="77" t="s">
        <v>73</v>
      </c>
      <c r="G2723" s="77" t="s">
        <v>81</v>
      </c>
      <c r="H2723" s="77" t="s">
        <v>115</v>
      </c>
      <c r="I2723" s="77" t="s">
        <v>84</v>
      </c>
      <c r="J2723" s="76">
        <v>3.5399999999999994E-2</v>
      </c>
    </row>
    <row r="2724" spans="1:10" x14ac:dyDescent="0.35">
      <c r="A2724" t="s">
        <v>14</v>
      </c>
      <c r="B2724" t="s">
        <v>35</v>
      </c>
      <c r="C2724" s="77" t="s">
        <v>73</v>
      </c>
      <c r="D2724" t="s">
        <v>74</v>
      </c>
      <c r="E2724" s="77" t="s">
        <v>77</v>
      </c>
      <c r="F2724" s="77" t="s">
        <v>73</v>
      </c>
      <c r="G2724" s="77" t="s">
        <v>81</v>
      </c>
      <c r="H2724" s="77" t="s">
        <v>115</v>
      </c>
      <c r="I2724" s="77" t="s">
        <v>84</v>
      </c>
      <c r="J2724" s="76">
        <v>1.7699999999999997E-2</v>
      </c>
    </row>
    <row r="2725" spans="1:10" x14ac:dyDescent="0.35">
      <c r="A2725" t="s">
        <v>14</v>
      </c>
      <c r="B2725" t="s">
        <v>35</v>
      </c>
      <c r="C2725" s="77" t="s">
        <v>73</v>
      </c>
      <c r="D2725" t="s">
        <v>74</v>
      </c>
      <c r="E2725" s="77" t="s">
        <v>130</v>
      </c>
      <c r="F2725" s="77" t="s">
        <v>73</v>
      </c>
      <c r="G2725" s="77" t="s">
        <v>81</v>
      </c>
      <c r="H2725" s="77" t="s">
        <v>115</v>
      </c>
      <c r="I2725" s="77" t="s">
        <v>84</v>
      </c>
      <c r="J2725" s="76">
        <v>0.4602</v>
      </c>
    </row>
    <row r="2726" spans="1:10" x14ac:dyDescent="0.35">
      <c r="A2726" t="s">
        <v>14</v>
      </c>
      <c r="B2726" t="s">
        <v>35</v>
      </c>
      <c r="C2726" s="77" t="s">
        <v>73</v>
      </c>
      <c r="D2726" t="s">
        <v>74</v>
      </c>
      <c r="E2726" s="77" t="s">
        <v>132</v>
      </c>
      <c r="F2726" s="77" t="s">
        <v>73</v>
      </c>
      <c r="G2726" s="77" t="s">
        <v>81</v>
      </c>
      <c r="H2726" s="77" t="s">
        <v>115</v>
      </c>
      <c r="I2726" s="77" t="s">
        <v>84</v>
      </c>
      <c r="J2726" s="76">
        <v>0.41</v>
      </c>
    </row>
    <row r="2727" spans="1:10" x14ac:dyDescent="0.35">
      <c r="A2727" t="s">
        <v>14</v>
      </c>
      <c r="B2727" t="s">
        <v>35</v>
      </c>
      <c r="C2727" s="77" t="s">
        <v>73</v>
      </c>
      <c r="D2727" t="s">
        <v>74</v>
      </c>
      <c r="E2727" s="77" t="s">
        <v>133</v>
      </c>
      <c r="F2727" s="77" t="s">
        <v>73</v>
      </c>
      <c r="G2727" s="77" t="s">
        <v>81</v>
      </c>
      <c r="H2727" s="77" t="s">
        <v>115</v>
      </c>
      <c r="I2727" s="77" t="s">
        <v>84</v>
      </c>
      <c r="J2727" s="76">
        <v>0</v>
      </c>
    </row>
    <row r="2728" spans="1:10" x14ac:dyDescent="0.35">
      <c r="A2728" s="469" t="s">
        <v>14</v>
      </c>
      <c r="B2728" s="469" t="s">
        <v>37</v>
      </c>
      <c r="C2728" s="480" t="s">
        <v>73</v>
      </c>
      <c r="D2728" s="469" t="s">
        <v>81</v>
      </c>
      <c r="E2728" s="480" t="s">
        <v>115</v>
      </c>
      <c r="F2728" s="480" t="s">
        <v>73</v>
      </c>
      <c r="G2728" s="480" t="s">
        <v>74</v>
      </c>
      <c r="H2728" s="480" t="s">
        <v>102</v>
      </c>
      <c r="I2728" s="480" t="s">
        <v>84</v>
      </c>
      <c r="J2728" s="481" cm="1">
        <f t="array" ref="J2728:J2729">'SUT_EU27 total'!$J$19:$J$20</f>
        <v>11.828571428571427</v>
      </c>
    </row>
    <row r="2729" spans="1:10" x14ac:dyDescent="0.35">
      <c r="A2729" t="s">
        <v>14</v>
      </c>
      <c r="B2729" t="s">
        <v>37</v>
      </c>
      <c r="C2729" s="77" t="s">
        <v>73</v>
      </c>
      <c r="D2729" t="s">
        <v>81</v>
      </c>
      <c r="E2729" s="77" t="s">
        <v>116</v>
      </c>
      <c r="F2729" s="77" t="s">
        <v>73</v>
      </c>
      <c r="G2729" s="77" t="s">
        <v>74</v>
      </c>
      <c r="H2729" s="77" t="s">
        <v>102</v>
      </c>
      <c r="I2729" s="77" t="s">
        <v>84</v>
      </c>
      <c r="J2729" s="76">
        <v>3.3421988920214002E-2</v>
      </c>
    </row>
    <row r="2730" spans="1:10" x14ac:dyDescent="0.35">
      <c r="A2730" t="s">
        <v>14</v>
      </c>
      <c r="B2730" t="s">
        <v>37</v>
      </c>
      <c r="C2730" s="77" t="s">
        <v>73</v>
      </c>
      <c r="D2730" t="s">
        <v>81</v>
      </c>
      <c r="E2730" s="77" t="s">
        <v>117</v>
      </c>
      <c r="F2730" s="77" t="s">
        <v>73</v>
      </c>
      <c r="G2730" s="77" t="s">
        <v>74</v>
      </c>
      <c r="H2730" s="77" t="s">
        <v>102</v>
      </c>
      <c r="I2730" s="77" t="s">
        <v>84</v>
      </c>
      <c r="J2730" s="76">
        <f>'SUT_EU27 total'!$J$27</f>
        <v>20.996100000000002</v>
      </c>
    </row>
    <row r="2731" spans="1:10" x14ac:dyDescent="0.35">
      <c r="A2731" t="s">
        <v>14</v>
      </c>
      <c r="B2731" t="s">
        <v>37</v>
      </c>
      <c r="C2731" s="77" t="s">
        <v>73</v>
      </c>
      <c r="D2731" t="s">
        <v>81</v>
      </c>
      <c r="E2731" s="77" t="s">
        <v>101</v>
      </c>
      <c r="F2731" s="77" t="s">
        <v>73</v>
      </c>
      <c r="G2731" s="77" t="s">
        <v>74</v>
      </c>
      <c r="H2731" s="77" t="s">
        <v>102</v>
      </c>
      <c r="I2731" s="77" t="s">
        <v>84</v>
      </c>
      <c r="J2731" s="76" cm="1">
        <f t="array" ref="J2731:J2733">'SUT_EU27 total'!$J$32:$J$34</f>
        <v>0.13437998483817604</v>
      </c>
    </row>
    <row r="2732" spans="1:10" x14ac:dyDescent="0.35">
      <c r="A2732" t="s">
        <v>14</v>
      </c>
      <c r="B2732" t="s">
        <v>37</v>
      </c>
      <c r="C2732" s="77" t="s">
        <v>73</v>
      </c>
      <c r="D2732" t="s">
        <v>81</v>
      </c>
      <c r="E2732" s="77" t="s">
        <v>104</v>
      </c>
      <c r="F2732" s="77" t="s">
        <v>73</v>
      </c>
      <c r="G2732" s="77" t="s">
        <v>74</v>
      </c>
      <c r="H2732" s="77" t="s">
        <v>102</v>
      </c>
      <c r="I2732" s="77" t="s">
        <v>84</v>
      </c>
      <c r="J2732" s="76">
        <v>0.25443647306582401</v>
      </c>
    </row>
    <row r="2733" spans="1:10" x14ac:dyDescent="0.35">
      <c r="A2733" t="s">
        <v>14</v>
      </c>
      <c r="B2733" t="s">
        <v>37</v>
      </c>
      <c r="C2733" s="77" t="s">
        <v>73</v>
      </c>
      <c r="D2733" t="s">
        <v>81</v>
      </c>
      <c r="E2733" s="77" t="s">
        <v>106</v>
      </c>
      <c r="F2733" s="77" t="s">
        <v>73</v>
      </c>
      <c r="G2733" s="77" t="s">
        <v>74</v>
      </c>
      <c r="H2733" s="77" t="s">
        <v>102</v>
      </c>
      <c r="I2733" s="77" t="s">
        <v>84</v>
      </c>
      <c r="J2733" s="76">
        <v>0.86543018049599985</v>
      </c>
    </row>
    <row r="2734" spans="1:10" x14ac:dyDescent="0.35">
      <c r="A2734" t="s">
        <v>14</v>
      </c>
      <c r="B2734" t="s">
        <v>37</v>
      </c>
      <c r="C2734" s="77" t="s">
        <v>88</v>
      </c>
      <c r="D2734" t="s">
        <v>81</v>
      </c>
      <c r="E2734" s="77" t="s">
        <v>115</v>
      </c>
      <c r="F2734" s="77" t="s">
        <v>73</v>
      </c>
      <c r="G2734" s="77" t="s">
        <v>74</v>
      </c>
      <c r="H2734" s="77" t="s">
        <v>102</v>
      </c>
      <c r="I2734" s="77" t="s">
        <v>84</v>
      </c>
      <c r="J2734" s="76" cm="1">
        <f t="array" ref="J2734:J2735">'SUT_EU27 total'!$J$36:$J$37</f>
        <v>78.857142857142847</v>
      </c>
    </row>
    <row r="2735" spans="1:10" x14ac:dyDescent="0.35">
      <c r="A2735" t="s">
        <v>14</v>
      </c>
      <c r="B2735" t="s">
        <v>37</v>
      </c>
      <c r="C2735" s="77" t="s">
        <v>88</v>
      </c>
      <c r="D2735" t="s">
        <v>81</v>
      </c>
      <c r="E2735" s="77" t="s">
        <v>116</v>
      </c>
      <c r="F2735" s="77" t="s">
        <v>73</v>
      </c>
      <c r="G2735" s="77" t="s">
        <v>74</v>
      </c>
      <c r="H2735" s="77" t="s">
        <v>102</v>
      </c>
      <c r="I2735" s="77" t="s">
        <v>84</v>
      </c>
      <c r="J2735" s="76">
        <v>0.7862213561563367</v>
      </c>
    </row>
    <row r="2736" spans="1:10" x14ac:dyDescent="0.35">
      <c r="A2736" t="s">
        <v>14</v>
      </c>
      <c r="B2736" t="s">
        <v>37</v>
      </c>
      <c r="C2736" s="77" t="s">
        <v>88</v>
      </c>
      <c r="D2736" t="s">
        <v>81</v>
      </c>
      <c r="E2736" s="77" t="s">
        <v>117</v>
      </c>
      <c r="F2736" s="77" t="s">
        <v>73</v>
      </c>
      <c r="G2736" s="77" t="s">
        <v>74</v>
      </c>
      <c r="H2736" s="77" t="s">
        <v>102</v>
      </c>
      <c r="I2736" s="77" t="s">
        <v>84</v>
      </c>
      <c r="J2736" s="76">
        <f>'SUT_EU27 total'!$J$44</f>
        <v>286.26390000000004</v>
      </c>
    </row>
    <row r="2737" spans="1:10" x14ac:dyDescent="0.35">
      <c r="A2737" t="s">
        <v>14</v>
      </c>
      <c r="B2737" t="s">
        <v>37</v>
      </c>
      <c r="C2737" s="77" t="s">
        <v>88</v>
      </c>
      <c r="D2737" t="s">
        <v>81</v>
      </c>
      <c r="E2737" s="77" t="s">
        <v>101</v>
      </c>
      <c r="F2737" s="77" t="s">
        <v>73</v>
      </c>
      <c r="G2737" s="77" t="s">
        <v>74</v>
      </c>
      <c r="H2737" s="77" t="s">
        <v>102</v>
      </c>
      <c r="I2737" s="77" t="s">
        <v>84</v>
      </c>
      <c r="J2737" s="76" cm="1">
        <f t="array" ref="J2737:J2739">'SUT_EU27 total'!$J$49:$J$51</f>
        <v>0</v>
      </c>
    </row>
    <row r="2738" spans="1:10" x14ac:dyDescent="0.35">
      <c r="A2738" t="s">
        <v>14</v>
      </c>
      <c r="B2738" t="s">
        <v>37</v>
      </c>
      <c r="C2738" s="77" t="s">
        <v>88</v>
      </c>
      <c r="D2738" t="s">
        <v>81</v>
      </c>
      <c r="E2738" s="77" t="s">
        <v>104</v>
      </c>
      <c r="F2738" s="77" t="s">
        <v>73</v>
      </c>
      <c r="G2738" s="77" t="s">
        <v>74</v>
      </c>
      <c r="H2738" s="77" t="s">
        <v>102</v>
      </c>
      <c r="I2738" s="77" t="s">
        <v>84</v>
      </c>
      <c r="J2738" s="76">
        <v>0</v>
      </c>
    </row>
    <row r="2739" spans="1:10" x14ac:dyDescent="0.35">
      <c r="A2739" t="s">
        <v>14</v>
      </c>
      <c r="B2739" t="s">
        <v>37</v>
      </c>
      <c r="C2739" s="77" t="s">
        <v>88</v>
      </c>
      <c r="D2739" t="s">
        <v>81</v>
      </c>
      <c r="E2739" s="77" t="s">
        <v>106</v>
      </c>
      <c r="F2739" s="77" t="s">
        <v>73</v>
      </c>
      <c r="G2739" s="77" t="s">
        <v>74</v>
      </c>
      <c r="H2739" s="77" t="s">
        <v>102</v>
      </c>
      <c r="I2739" s="77" t="s">
        <v>84</v>
      </c>
      <c r="J2739" s="76">
        <v>0</v>
      </c>
    </row>
    <row r="2740" spans="1:10" x14ac:dyDescent="0.35">
      <c r="A2740" t="s">
        <v>14</v>
      </c>
      <c r="B2740" t="s">
        <v>37</v>
      </c>
      <c r="C2740" s="77" t="s">
        <v>90</v>
      </c>
      <c r="D2740" t="s">
        <v>81</v>
      </c>
      <c r="E2740" s="77" t="s">
        <v>115</v>
      </c>
      <c r="F2740" s="77" t="s">
        <v>73</v>
      </c>
      <c r="G2740" s="77" t="s">
        <v>74</v>
      </c>
      <c r="H2740" s="77" t="s">
        <v>102</v>
      </c>
      <c r="I2740" s="77" t="s">
        <v>84</v>
      </c>
      <c r="J2740" s="76" cm="1">
        <f t="array" ref="J2740:J2741">'SUT_EU27 total'!$J$53:$J$54</f>
        <v>7.7904761904761894</v>
      </c>
    </row>
    <row r="2741" spans="1:10" x14ac:dyDescent="0.35">
      <c r="A2741" t="s">
        <v>14</v>
      </c>
      <c r="B2741" t="s">
        <v>37</v>
      </c>
      <c r="C2741" s="77" t="s">
        <v>90</v>
      </c>
      <c r="D2741" t="s">
        <v>81</v>
      </c>
      <c r="E2741" s="77" t="s">
        <v>116</v>
      </c>
      <c r="F2741" s="77" t="s">
        <v>73</v>
      </c>
      <c r="G2741" s="77" t="s">
        <v>74</v>
      </c>
      <c r="H2741" s="77" t="s">
        <v>102</v>
      </c>
      <c r="I2741" s="77" t="s">
        <v>84</v>
      </c>
      <c r="J2741" s="76">
        <v>1.5473889063756709E-2</v>
      </c>
    </row>
    <row r="2742" spans="1:10" x14ac:dyDescent="0.35">
      <c r="A2742" t="s">
        <v>14</v>
      </c>
      <c r="B2742" t="s">
        <v>37</v>
      </c>
      <c r="C2742" s="77" t="s">
        <v>90</v>
      </c>
      <c r="D2742" t="s">
        <v>81</v>
      </c>
      <c r="E2742" s="77" t="s">
        <v>117</v>
      </c>
      <c r="F2742" s="77" t="s">
        <v>73</v>
      </c>
      <c r="G2742" s="77" t="s">
        <v>74</v>
      </c>
      <c r="H2742" s="77" t="s">
        <v>102</v>
      </c>
      <c r="I2742" s="77" t="s">
        <v>84</v>
      </c>
      <c r="J2742" s="76">
        <f>'SUT_EU27 total'!$J$61</f>
        <v>11.2662</v>
      </c>
    </row>
    <row r="2743" spans="1:10" x14ac:dyDescent="0.35">
      <c r="A2743" t="s">
        <v>14</v>
      </c>
      <c r="B2743" t="s">
        <v>37</v>
      </c>
      <c r="C2743" s="77" t="s">
        <v>90</v>
      </c>
      <c r="D2743" t="s">
        <v>81</v>
      </c>
      <c r="E2743" s="77" t="s">
        <v>101</v>
      </c>
      <c r="F2743" s="77" t="s">
        <v>73</v>
      </c>
      <c r="G2743" s="77" t="s">
        <v>74</v>
      </c>
      <c r="H2743" s="77" t="s">
        <v>102</v>
      </c>
      <c r="I2743" s="77" t="s">
        <v>84</v>
      </c>
      <c r="J2743" s="76" cm="1">
        <f t="array" ref="J2743:J2745">'SUT_EU27 total'!$J$66:$J$68</f>
        <v>0</v>
      </c>
    </row>
    <row r="2744" spans="1:10" x14ac:dyDescent="0.35">
      <c r="A2744" t="s">
        <v>14</v>
      </c>
      <c r="B2744" t="s">
        <v>37</v>
      </c>
      <c r="C2744" s="77" t="s">
        <v>90</v>
      </c>
      <c r="D2744" t="s">
        <v>81</v>
      </c>
      <c r="E2744" s="77" t="s">
        <v>104</v>
      </c>
      <c r="F2744" s="77" t="s">
        <v>73</v>
      </c>
      <c r="G2744" s="77" t="s">
        <v>74</v>
      </c>
      <c r="H2744" s="77" t="s">
        <v>102</v>
      </c>
      <c r="I2744" s="77" t="s">
        <v>84</v>
      </c>
      <c r="J2744" s="76">
        <v>0</v>
      </c>
    </row>
    <row r="2745" spans="1:10" x14ac:dyDescent="0.35">
      <c r="A2745" t="s">
        <v>14</v>
      </c>
      <c r="B2745" t="s">
        <v>37</v>
      </c>
      <c r="C2745" s="77" t="s">
        <v>90</v>
      </c>
      <c r="D2745" t="s">
        <v>81</v>
      </c>
      <c r="E2745" s="77" t="s">
        <v>106</v>
      </c>
      <c r="F2745" s="77" t="s">
        <v>73</v>
      </c>
      <c r="G2745" s="77" t="s">
        <v>74</v>
      </c>
      <c r="H2745" s="77" t="s">
        <v>102</v>
      </c>
      <c r="I2745" s="77" t="s">
        <v>84</v>
      </c>
      <c r="J2745" s="76">
        <v>0</v>
      </c>
    </row>
    <row r="2746" spans="1:10" x14ac:dyDescent="0.35">
      <c r="A2746" t="s">
        <v>14</v>
      </c>
      <c r="B2746" t="s">
        <v>37</v>
      </c>
      <c r="C2746" s="77" t="s">
        <v>91</v>
      </c>
      <c r="D2746" t="s">
        <v>81</v>
      </c>
      <c r="E2746" s="77" t="s">
        <v>115</v>
      </c>
      <c r="F2746" s="77" t="s">
        <v>73</v>
      </c>
      <c r="G2746" s="77" t="s">
        <v>74</v>
      </c>
      <c r="H2746" s="77" t="s">
        <v>102</v>
      </c>
      <c r="I2746" s="77" t="s">
        <v>84</v>
      </c>
      <c r="J2746" s="76" cm="1">
        <f t="array" ref="J2746:J2747">'SUT_EU27 total'!$J$70:$J$71</f>
        <v>15.771428571428569</v>
      </c>
    </row>
    <row r="2747" spans="1:10" x14ac:dyDescent="0.35">
      <c r="A2747" t="s">
        <v>14</v>
      </c>
      <c r="B2747" t="s">
        <v>37</v>
      </c>
      <c r="C2747" s="77" t="s">
        <v>91</v>
      </c>
      <c r="D2747" t="s">
        <v>81</v>
      </c>
      <c r="E2747" s="77" t="s">
        <v>116</v>
      </c>
      <c r="F2747" s="77" t="s">
        <v>73</v>
      </c>
      <c r="G2747" s="77" t="s">
        <v>74</v>
      </c>
      <c r="H2747" s="77" t="s">
        <v>102</v>
      </c>
      <c r="I2747" s="77" t="s">
        <v>84</v>
      </c>
      <c r="J2747" s="76">
        <v>8.7507175559917313E-2</v>
      </c>
    </row>
    <row r="2748" spans="1:10" x14ac:dyDescent="0.35">
      <c r="A2748" t="s">
        <v>14</v>
      </c>
      <c r="B2748" t="s">
        <v>37</v>
      </c>
      <c r="C2748" s="77" t="s">
        <v>91</v>
      </c>
      <c r="D2748" t="s">
        <v>81</v>
      </c>
      <c r="E2748" s="77" t="s">
        <v>117</v>
      </c>
      <c r="F2748" s="77" t="s">
        <v>73</v>
      </c>
      <c r="G2748" s="77" t="s">
        <v>74</v>
      </c>
      <c r="H2748" s="77" t="s">
        <v>102</v>
      </c>
      <c r="I2748" s="77" t="s">
        <v>84</v>
      </c>
      <c r="J2748" s="76">
        <f>'SUT_EU27 total'!$J$78</f>
        <v>41.4801</v>
      </c>
    </row>
    <row r="2749" spans="1:10" x14ac:dyDescent="0.35">
      <c r="A2749" t="s">
        <v>14</v>
      </c>
      <c r="B2749" t="s">
        <v>37</v>
      </c>
      <c r="C2749" s="77" t="s">
        <v>91</v>
      </c>
      <c r="D2749" t="s">
        <v>81</v>
      </c>
      <c r="E2749" s="77" t="s">
        <v>101</v>
      </c>
      <c r="F2749" s="77" t="s">
        <v>73</v>
      </c>
      <c r="G2749" s="77" t="s">
        <v>74</v>
      </c>
      <c r="H2749" s="77" t="s">
        <v>102</v>
      </c>
      <c r="I2749" s="77" t="s">
        <v>84</v>
      </c>
      <c r="J2749" s="76" cm="1">
        <f t="array" ref="J2749:J2751">'SUT_EU27 total'!$J$83:$J$85</f>
        <v>0</v>
      </c>
    </row>
    <row r="2750" spans="1:10" x14ac:dyDescent="0.35">
      <c r="A2750" t="s">
        <v>14</v>
      </c>
      <c r="B2750" t="s">
        <v>37</v>
      </c>
      <c r="C2750" s="77" t="s">
        <v>91</v>
      </c>
      <c r="D2750" t="s">
        <v>81</v>
      </c>
      <c r="E2750" s="77" t="s">
        <v>104</v>
      </c>
      <c r="F2750" s="77" t="s">
        <v>73</v>
      </c>
      <c r="G2750" s="77" t="s">
        <v>74</v>
      </c>
      <c r="H2750" s="77" t="s">
        <v>102</v>
      </c>
      <c r="I2750" s="77" t="s">
        <v>84</v>
      </c>
      <c r="J2750" s="76">
        <v>0</v>
      </c>
    </row>
    <row r="2751" spans="1:10" x14ac:dyDescent="0.35">
      <c r="A2751" t="s">
        <v>14</v>
      </c>
      <c r="B2751" t="s">
        <v>37</v>
      </c>
      <c r="C2751" s="77" t="s">
        <v>91</v>
      </c>
      <c r="D2751" t="s">
        <v>81</v>
      </c>
      <c r="E2751" s="77" t="s">
        <v>106</v>
      </c>
      <c r="F2751" s="77" t="s">
        <v>73</v>
      </c>
      <c r="G2751" s="77" t="s">
        <v>74</v>
      </c>
      <c r="H2751" s="77" t="s">
        <v>102</v>
      </c>
      <c r="I2751" s="77" t="s">
        <v>84</v>
      </c>
      <c r="J2751" s="76">
        <v>0</v>
      </c>
    </row>
    <row r="2752" spans="1:10" x14ac:dyDescent="0.35">
      <c r="A2752" t="s">
        <v>14</v>
      </c>
      <c r="B2752" t="s">
        <v>37</v>
      </c>
      <c r="C2752" s="77" t="s">
        <v>92</v>
      </c>
      <c r="D2752" t="s">
        <v>81</v>
      </c>
      <c r="E2752" s="77" t="s">
        <v>115</v>
      </c>
      <c r="F2752" s="77" t="s">
        <v>73</v>
      </c>
      <c r="G2752" s="77" t="s">
        <v>74</v>
      </c>
      <c r="H2752" s="77" t="s">
        <v>102</v>
      </c>
      <c r="I2752" s="77" t="s">
        <v>84</v>
      </c>
      <c r="J2752" s="76" cm="1">
        <f t="array" ref="J2752:J2753">'SUT_EU27 total'!$J$87:$J$88</f>
        <v>6.6239999999999997</v>
      </c>
    </row>
    <row r="2753" spans="1:10" x14ac:dyDescent="0.35">
      <c r="A2753" t="s">
        <v>14</v>
      </c>
      <c r="B2753" t="s">
        <v>37</v>
      </c>
      <c r="C2753" s="77" t="s">
        <v>92</v>
      </c>
      <c r="D2753" t="s">
        <v>81</v>
      </c>
      <c r="E2753" s="77" t="s">
        <v>116</v>
      </c>
      <c r="F2753" s="77" t="s">
        <v>73</v>
      </c>
      <c r="G2753" s="77" t="s">
        <v>74</v>
      </c>
      <c r="H2753" s="77" t="s">
        <v>102</v>
      </c>
      <c r="I2753" s="77" t="s">
        <v>84</v>
      </c>
      <c r="J2753" s="76">
        <v>6.0040746268656714E-2</v>
      </c>
    </row>
    <row r="2754" spans="1:10" x14ac:dyDescent="0.35">
      <c r="A2754" t="s">
        <v>14</v>
      </c>
      <c r="B2754" t="s">
        <v>37</v>
      </c>
      <c r="C2754" s="77" t="s">
        <v>92</v>
      </c>
      <c r="D2754" t="s">
        <v>81</v>
      </c>
      <c r="E2754" s="77" t="s">
        <v>117</v>
      </c>
      <c r="F2754" s="77" t="s">
        <v>73</v>
      </c>
      <c r="G2754" s="77" t="s">
        <v>74</v>
      </c>
      <c r="H2754" s="77" t="s">
        <v>102</v>
      </c>
      <c r="I2754" s="77" t="s">
        <v>84</v>
      </c>
      <c r="J2754" s="76">
        <f>'SUT_EU27 total'!$J$95</f>
        <v>13.3146</v>
      </c>
    </row>
    <row r="2755" spans="1:10" x14ac:dyDescent="0.35">
      <c r="A2755" t="s">
        <v>14</v>
      </c>
      <c r="B2755" t="s">
        <v>37</v>
      </c>
      <c r="C2755" s="77" t="s">
        <v>92</v>
      </c>
      <c r="D2755" t="s">
        <v>81</v>
      </c>
      <c r="E2755" s="77" t="s">
        <v>101</v>
      </c>
      <c r="F2755" s="77" t="s">
        <v>73</v>
      </c>
      <c r="G2755" s="77" t="s">
        <v>74</v>
      </c>
      <c r="H2755" s="77" t="s">
        <v>102</v>
      </c>
      <c r="I2755" s="77" t="s">
        <v>84</v>
      </c>
      <c r="J2755" s="76" cm="1">
        <f t="array" ref="J2755:J2757">'SUT_EU27 total'!$J$100:$J$102</f>
        <v>0</v>
      </c>
    </row>
    <row r="2756" spans="1:10" x14ac:dyDescent="0.35">
      <c r="A2756" t="s">
        <v>14</v>
      </c>
      <c r="B2756" t="s">
        <v>37</v>
      </c>
      <c r="C2756" s="77" t="s">
        <v>92</v>
      </c>
      <c r="D2756" t="s">
        <v>81</v>
      </c>
      <c r="E2756" s="77" t="s">
        <v>104</v>
      </c>
      <c r="F2756" s="77" t="s">
        <v>73</v>
      </c>
      <c r="G2756" s="77" t="s">
        <v>74</v>
      </c>
      <c r="H2756" s="77" t="s">
        <v>102</v>
      </c>
      <c r="I2756" s="77" t="s">
        <v>84</v>
      </c>
      <c r="J2756" s="76">
        <v>0</v>
      </c>
    </row>
    <row r="2757" spans="1:10" x14ac:dyDescent="0.35">
      <c r="A2757" t="s">
        <v>14</v>
      </c>
      <c r="B2757" t="s">
        <v>37</v>
      </c>
      <c r="C2757" s="77" t="s">
        <v>92</v>
      </c>
      <c r="D2757" t="s">
        <v>81</v>
      </c>
      <c r="E2757" s="77" t="s">
        <v>106</v>
      </c>
      <c r="F2757" s="77" t="s">
        <v>73</v>
      </c>
      <c r="G2757" s="77" t="s">
        <v>74</v>
      </c>
      <c r="H2757" s="77" t="s">
        <v>102</v>
      </c>
      <c r="I2757" s="77" t="s">
        <v>84</v>
      </c>
      <c r="J2757" s="76">
        <v>0</v>
      </c>
    </row>
    <row r="2758" spans="1:10" x14ac:dyDescent="0.35">
      <c r="A2758" t="s">
        <v>14</v>
      </c>
      <c r="B2758" t="s">
        <v>37</v>
      </c>
      <c r="C2758" s="77" t="s">
        <v>93</v>
      </c>
      <c r="D2758" t="s">
        <v>81</v>
      </c>
      <c r="E2758" s="77" t="s">
        <v>115</v>
      </c>
      <c r="F2758" s="77" t="s">
        <v>73</v>
      </c>
      <c r="G2758" s="77" t="s">
        <v>74</v>
      </c>
      <c r="H2758" s="77" t="s">
        <v>102</v>
      </c>
      <c r="I2758" s="77" t="s">
        <v>84</v>
      </c>
      <c r="J2758" s="76" cm="1">
        <f t="array" ref="J2758:J2759">'SUT_EU27 total'!$J$104:$J$105</f>
        <v>44.633142857142865</v>
      </c>
    </row>
    <row r="2759" spans="1:10" x14ac:dyDescent="0.35">
      <c r="A2759" t="s">
        <v>14</v>
      </c>
      <c r="B2759" t="s">
        <v>37</v>
      </c>
      <c r="C2759" s="77" t="s">
        <v>93</v>
      </c>
      <c r="D2759" t="s">
        <v>81</v>
      </c>
      <c r="E2759" s="77" t="s">
        <v>116</v>
      </c>
      <c r="F2759" s="77" t="s">
        <v>73</v>
      </c>
      <c r="G2759" s="77" t="s">
        <v>74</v>
      </c>
      <c r="H2759" s="77" t="s">
        <v>102</v>
      </c>
      <c r="I2759" s="77" t="s">
        <v>84</v>
      </c>
      <c r="J2759" s="76">
        <v>0.3673348440311186</v>
      </c>
    </row>
    <row r="2760" spans="1:10" x14ac:dyDescent="0.35">
      <c r="A2760" t="s">
        <v>14</v>
      </c>
      <c r="B2760" t="s">
        <v>37</v>
      </c>
      <c r="C2760" s="77" t="s">
        <v>93</v>
      </c>
      <c r="D2760" t="s">
        <v>81</v>
      </c>
      <c r="E2760" s="77" t="s">
        <v>117</v>
      </c>
      <c r="F2760" s="77" t="s">
        <v>73</v>
      </c>
      <c r="G2760" s="77" t="s">
        <v>74</v>
      </c>
      <c r="H2760" s="77" t="s">
        <v>102</v>
      </c>
      <c r="I2760" s="77" t="s">
        <v>84</v>
      </c>
      <c r="J2760" s="76">
        <f>'SUT_EU27 total'!$J$112</f>
        <v>138.77909999999997</v>
      </c>
    </row>
    <row r="2761" spans="1:10" x14ac:dyDescent="0.35">
      <c r="A2761" t="s">
        <v>14</v>
      </c>
      <c r="B2761" t="s">
        <v>37</v>
      </c>
      <c r="C2761" s="77" t="s">
        <v>93</v>
      </c>
      <c r="D2761" t="s">
        <v>81</v>
      </c>
      <c r="E2761" s="77" t="s">
        <v>101</v>
      </c>
      <c r="F2761" s="77" t="s">
        <v>73</v>
      </c>
      <c r="G2761" s="77" t="s">
        <v>74</v>
      </c>
      <c r="H2761" s="77" t="s">
        <v>102</v>
      </c>
      <c r="I2761" s="77" t="s">
        <v>84</v>
      </c>
      <c r="J2761" s="76" cm="1">
        <f t="array" ref="J2761:J2763">'SUT_EU27 total'!$J$117:$J$119</f>
        <v>0</v>
      </c>
    </row>
    <row r="2762" spans="1:10" x14ac:dyDescent="0.35">
      <c r="A2762" t="s">
        <v>14</v>
      </c>
      <c r="B2762" t="s">
        <v>37</v>
      </c>
      <c r="C2762" s="77" t="s">
        <v>93</v>
      </c>
      <c r="D2762" t="s">
        <v>81</v>
      </c>
      <c r="E2762" s="77" t="s">
        <v>104</v>
      </c>
      <c r="F2762" s="77" t="s">
        <v>73</v>
      </c>
      <c r="G2762" s="77" t="s">
        <v>74</v>
      </c>
      <c r="H2762" s="77" t="s">
        <v>102</v>
      </c>
      <c r="I2762" s="77" t="s">
        <v>84</v>
      </c>
      <c r="J2762" s="76">
        <v>0</v>
      </c>
    </row>
    <row r="2763" spans="1:10" x14ac:dyDescent="0.35">
      <c r="A2763" t="s">
        <v>14</v>
      </c>
      <c r="B2763" t="s">
        <v>37</v>
      </c>
      <c r="C2763" s="77" t="s">
        <v>93</v>
      </c>
      <c r="D2763" t="s">
        <v>81</v>
      </c>
      <c r="E2763" s="77" t="s">
        <v>106</v>
      </c>
      <c r="F2763" s="77" t="s">
        <v>73</v>
      </c>
      <c r="G2763" s="77" t="s">
        <v>74</v>
      </c>
      <c r="H2763" s="77" t="s">
        <v>102</v>
      </c>
      <c r="I2763" s="77" t="s">
        <v>84</v>
      </c>
      <c r="J2763" s="76">
        <v>0</v>
      </c>
    </row>
    <row r="2764" spans="1:10" x14ac:dyDescent="0.35">
      <c r="A2764" t="s">
        <v>14</v>
      </c>
      <c r="B2764" t="s">
        <v>37</v>
      </c>
      <c r="C2764" s="77" t="s">
        <v>73</v>
      </c>
      <c r="D2764" t="s">
        <v>81</v>
      </c>
      <c r="E2764" s="77" t="s">
        <v>118</v>
      </c>
      <c r="F2764" s="77" t="s">
        <v>73</v>
      </c>
      <c r="G2764" s="77" t="s">
        <v>74</v>
      </c>
      <c r="H2764" s="77" t="s">
        <v>108</v>
      </c>
      <c r="I2764" s="77" t="s">
        <v>84</v>
      </c>
      <c r="J2764" s="76" cm="1">
        <f t="array" ref="J2764:J2766">'SUT_EU27 total'!$K$21:$K$23</f>
        <v>1.4582562144772118E-3</v>
      </c>
    </row>
    <row r="2765" spans="1:10" x14ac:dyDescent="0.35">
      <c r="A2765" t="s">
        <v>14</v>
      </c>
      <c r="B2765" t="s">
        <v>37</v>
      </c>
      <c r="C2765" s="77" t="s">
        <v>73</v>
      </c>
      <c r="D2765" t="s">
        <v>81</v>
      </c>
      <c r="E2765" s="77" t="s">
        <v>119</v>
      </c>
      <c r="F2765" s="77" t="s">
        <v>73</v>
      </c>
      <c r="G2765" s="77" t="s">
        <v>74</v>
      </c>
      <c r="H2765" s="77" t="s">
        <v>108</v>
      </c>
      <c r="I2765" s="77" t="s">
        <v>84</v>
      </c>
      <c r="J2765" s="76">
        <v>8.4634636521458274E-4</v>
      </c>
    </row>
    <row r="2766" spans="1:10" x14ac:dyDescent="0.35">
      <c r="A2766" t="s">
        <v>14</v>
      </c>
      <c r="B2766" t="s">
        <v>37</v>
      </c>
      <c r="C2766" s="77" t="s">
        <v>73</v>
      </c>
      <c r="D2766" t="s">
        <v>81</v>
      </c>
      <c r="E2766" s="77" t="s">
        <v>120</v>
      </c>
      <c r="F2766" s="77" t="s">
        <v>73</v>
      </c>
      <c r="G2766" s="77" t="s">
        <v>74</v>
      </c>
      <c r="H2766" s="77" t="s">
        <v>108</v>
      </c>
      <c r="I2766" s="77" t="s">
        <v>84</v>
      </c>
      <c r="J2766" s="76">
        <v>1.2517329093179335E-4</v>
      </c>
    </row>
    <row r="2767" spans="1:10" x14ac:dyDescent="0.35">
      <c r="A2767" t="s">
        <v>14</v>
      </c>
      <c r="B2767" t="s">
        <v>37</v>
      </c>
      <c r="C2767" s="77" t="s">
        <v>73</v>
      </c>
      <c r="D2767" t="s">
        <v>81</v>
      </c>
      <c r="E2767" s="77" t="s">
        <v>121</v>
      </c>
      <c r="F2767" s="77" t="s">
        <v>73</v>
      </c>
      <c r="G2767" s="77" t="s">
        <v>74</v>
      </c>
      <c r="H2767" s="77" t="s">
        <v>108</v>
      </c>
      <c r="I2767" s="77" t="s">
        <v>84</v>
      </c>
      <c r="J2767" s="76">
        <f>'SUT_EU27 total'!$K$25</f>
        <v>6.9749679999999994E-2</v>
      </c>
    </row>
    <row r="2768" spans="1:10" x14ac:dyDescent="0.35">
      <c r="A2768" t="s">
        <v>14</v>
      </c>
      <c r="B2768" t="s">
        <v>37</v>
      </c>
      <c r="C2768" s="77" t="s">
        <v>73</v>
      </c>
      <c r="D2768" t="s">
        <v>81</v>
      </c>
      <c r="E2768" s="77" t="s">
        <v>117</v>
      </c>
      <c r="F2768" s="77" t="s">
        <v>73</v>
      </c>
      <c r="G2768" s="77" t="s">
        <v>74</v>
      </c>
      <c r="H2768" s="77" t="s">
        <v>108</v>
      </c>
      <c r="I2768" s="77" t="s">
        <v>84</v>
      </c>
      <c r="J2768" s="76">
        <f>'SUT_EU27 total'!$K$27</f>
        <v>1.1932942595726979E-3</v>
      </c>
    </row>
    <row r="2769" spans="1:10" x14ac:dyDescent="0.35">
      <c r="A2769" t="s">
        <v>14</v>
      </c>
      <c r="B2769" t="s">
        <v>37</v>
      </c>
      <c r="C2769" s="77" t="s">
        <v>73</v>
      </c>
      <c r="D2769" t="s">
        <v>81</v>
      </c>
      <c r="E2769" s="77" t="s">
        <v>122</v>
      </c>
      <c r="F2769" s="77" t="s">
        <v>73</v>
      </c>
      <c r="G2769" s="77" t="s">
        <v>74</v>
      </c>
      <c r="H2769" s="77" t="s">
        <v>108</v>
      </c>
      <c r="I2769" s="77" t="s">
        <v>84</v>
      </c>
      <c r="J2769" s="76">
        <f>'SUT_EU27 total'!$K$30</f>
        <v>1.5965533412604042E-3</v>
      </c>
    </row>
    <row r="2770" spans="1:10" x14ac:dyDescent="0.35">
      <c r="A2770" t="s">
        <v>14</v>
      </c>
      <c r="B2770" t="s">
        <v>37</v>
      </c>
      <c r="C2770" s="77" t="s">
        <v>73</v>
      </c>
      <c r="D2770" t="s">
        <v>81</v>
      </c>
      <c r="E2770" s="77" t="s">
        <v>101</v>
      </c>
      <c r="F2770" s="77" t="s">
        <v>73</v>
      </c>
      <c r="G2770" s="77" t="s">
        <v>74</v>
      </c>
      <c r="H2770" s="77" t="s">
        <v>108</v>
      </c>
      <c r="I2770" s="77" t="s">
        <v>84</v>
      </c>
      <c r="J2770" s="76" cm="1">
        <f t="array" ref="J2770:J2772">'SUT_EU27 total'!$K$32:$K$34</f>
        <v>2.4335351040000001E-4</v>
      </c>
    </row>
    <row r="2771" spans="1:10" x14ac:dyDescent="0.35">
      <c r="A2771" t="s">
        <v>14</v>
      </c>
      <c r="B2771" t="s">
        <v>37</v>
      </c>
      <c r="C2771" s="77" t="s">
        <v>73</v>
      </c>
      <c r="D2771" t="s">
        <v>81</v>
      </c>
      <c r="E2771" s="77" t="s">
        <v>104</v>
      </c>
      <c r="F2771" s="77" t="s">
        <v>73</v>
      </c>
      <c r="G2771" s="77" t="s">
        <v>74</v>
      </c>
      <c r="H2771" s="77" t="s">
        <v>108</v>
      </c>
      <c r="I2771" s="77" t="s">
        <v>84</v>
      </c>
      <c r="J2771" s="76">
        <v>4.6076808959999996E-4</v>
      </c>
    </row>
    <row r="2772" spans="1:10" x14ac:dyDescent="0.35">
      <c r="A2772" t="s">
        <v>14</v>
      </c>
      <c r="B2772" t="s">
        <v>37</v>
      </c>
      <c r="C2772" s="77" t="s">
        <v>73</v>
      </c>
      <c r="D2772" t="s">
        <v>81</v>
      </c>
      <c r="E2772" s="77" t="s">
        <v>106</v>
      </c>
      <c r="F2772" s="77" t="s">
        <v>73</v>
      </c>
      <c r="G2772" s="77" t="s">
        <v>74</v>
      </c>
      <c r="H2772" s="77" t="s">
        <v>108</v>
      </c>
      <c r="I2772" s="77" t="s">
        <v>84</v>
      </c>
      <c r="J2772" s="76">
        <v>1.5672383999999996E-3</v>
      </c>
    </row>
    <row r="2773" spans="1:10" x14ac:dyDescent="0.35">
      <c r="A2773" t="s">
        <v>14</v>
      </c>
      <c r="B2773" t="s">
        <v>37</v>
      </c>
      <c r="C2773" s="77" t="s">
        <v>88</v>
      </c>
      <c r="D2773" t="s">
        <v>81</v>
      </c>
      <c r="E2773" s="77" t="s">
        <v>118</v>
      </c>
      <c r="F2773" s="77" t="s">
        <v>73</v>
      </c>
      <c r="G2773" s="77" t="s">
        <v>74</v>
      </c>
      <c r="H2773" s="77" t="s">
        <v>108</v>
      </c>
      <c r="I2773" s="77" t="s">
        <v>84</v>
      </c>
      <c r="J2773" s="76" cm="1">
        <f t="array" ref="J2773:J2775">'SUT_EU27 total'!$K$38:$K$40</f>
        <v>3.3029309855227888E-2</v>
      </c>
    </row>
    <row r="2774" spans="1:10" x14ac:dyDescent="0.35">
      <c r="A2774" t="s">
        <v>14</v>
      </c>
      <c r="B2774" t="s">
        <v>37</v>
      </c>
      <c r="C2774" s="77" t="s">
        <v>88</v>
      </c>
      <c r="D2774" t="s">
        <v>81</v>
      </c>
      <c r="E2774" s="77" t="s">
        <v>119</v>
      </c>
      <c r="F2774" s="77" t="s">
        <v>73</v>
      </c>
      <c r="G2774" s="77" t="s">
        <v>74</v>
      </c>
      <c r="H2774" s="77" t="s">
        <v>108</v>
      </c>
      <c r="I2774" s="77" t="s">
        <v>84</v>
      </c>
      <c r="J2774" s="76">
        <v>6.9915569300335089E-3</v>
      </c>
    </row>
    <row r="2775" spans="1:10" x14ac:dyDescent="0.35">
      <c r="A2775" t="s">
        <v>14</v>
      </c>
      <c r="B2775" t="s">
        <v>37</v>
      </c>
      <c r="C2775" s="77" t="s">
        <v>88</v>
      </c>
      <c r="D2775" t="s">
        <v>81</v>
      </c>
      <c r="E2775" s="77" t="s">
        <v>120</v>
      </c>
      <c r="F2775" s="77" t="s">
        <v>73</v>
      </c>
      <c r="G2775" s="77" t="s">
        <v>74</v>
      </c>
      <c r="H2775" s="77" t="s">
        <v>108</v>
      </c>
      <c r="I2775" s="77" t="s">
        <v>84</v>
      </c>
      <c r="J2775" s="76">
        <v>1.5283979779928203E-3</v>
      </c>
    </row>
    <row r="2776" spans="1:10" x14ac:dyDescent="0.35">
      <c r="A2776" t="s">
        <v>14</v>
      </c>
      <c r="B2776" t="s">
        <v>37</v>
      </c>
      <c r="C2776" s="77" t="s">
        <v>88</v>
      </c>
      <c r="D2776" t="s">
        <v>81</v>
      </c>
      <c r="E2776" s="77" t="s">
        <v>121</v>
      </c>
      <c r="F2776" s="77" t="s">
        <v>73</v>
      </c>
      <c r="G2776" s="77" t="s">
        <v>74</v>
      </c>
      <c r="H2776" s="77" t="s">
        <v>108</v>
      </c>
      <c r="I2776" s="77" t="s">
        <v>84</v>
      </c>
      <c r="J2776" s="76">
        <f>'SUT_EU27 total'!$K$42</f>
        <v>0</v>
      </c>
    </row>
    <row r="2777" spans="1:10" x14ac:dyDescent="0.35">
      <c r="A2777" t="s">
        <v>14</v>
      </c>
      <c r="B2777" t="s">
        <v>37</v>
      </c>
      <c r="C2777" s="77" t="s">
        <v>88</v>
      </c>
      <c r="D2777" t="s">
        <v>81</v>
      </c>
      <c r="E2777" s="77" t="s">
        <v>117</v>
      </c>
      <c r="F2777" s="77" t="s">
        <v>73</v>
      </c>
      <c r="G2777" s="77" t="s">
        <v>74</v>
      </c>
      <c r="H2777" s="77" t="s">
        <v>108</v>
      </c>
      <c r="I2777" s="77" t="s">
        <v>84</v>
      </c>
      <c r="J2777" s="76">
        <f>'SUT_EU27 total'!$K$44</f>
        <v>9.9090099874062521E-4</v>
      </c>
    </row>
    <row r="2778" spans="1:10" x14ac:dyDescent="0.35">
      <c r="A2778" t="s">
        <v>14</v>
      </c>
      <c r="B2778" t="s">
        <v>37</v>
      </c>
      <c r="C2778" s="77" t="s">
        <v>88</v>
      </c>
      <c r="D2778" t="s">
        <v>81</v>
      </c>
      <c r="E2778" s="77" t="s">
        <v>122</v>
      </c>
      <c r="F2778" s="77" t="s">
        <v>73</v>
      </c>
      <c r="G2778" s="77" t="s">
        <v>74</v>
      </c>
      <c r="H2778" s="77" t="s">
        <v>108</v>
      </c>
      <c r="I2778" s="77" t="s">
        <v>84</v>
      </c>
      <c r="J2778" s="76">
        <f>'SUT_EU27 total'!$K$47</f>
        <v>0</v>
      </c>
    </row>
    <row r="2779" spans="1:10" x14ac:dyDescent="0.35">
      <c r="A2779" t="s">
        <v>14</v>
      </c>
      <c r="B2779" t="s">
        <v>37</v>
      </c>
      <c r="C2779" s="77" t="s">
        <v>88</v>
      </c>
      <c r="D2779" t="s">
        <v>81</v>
      </c>
      <c r="E2779" s="77" t="s">
        <v>101</v>
      </c>
      <c r="F2779" s="77" t="s">
        <v>73</v>
      </c>
      <c r="G2779" s="77" t="s">
        <v>74</v>
      </c>
      <c r="H2779" s="77" t="s">
        <v>108</v>
      </c>
      <c r="I2779" s="77" t="s">
        <v>84</v>
      </c>
      <c r="J2779" s="76" cm="1">
        <f t="array" ref="J2779:J2781">'SUT_EU27 total'!$K$49:$K$51</f>
        <v>0</v>
      </c>
    </row>
    <row r="2780" spans="1:10" x14ac:dyDescent="0.35">
      <c r="A2780" t="s">
        <v>14</v>
      </c>
      <c r="B2780" t="s">
        <v>37</v>
      </c>
      <c r="C2780" s="77" t="s">
        <v>88</v>
      </c>
      <c r="D2780" t="s">
        <v>81</v>
      </c>
      <c r="E2780" s="77" t="s">
        <v>104</v>
      </c>
      <c r="F2780" s="77" t="s">
        <v>73</v>
      </c>
      <c r="G2780" s="77" t="s">
        <v>74</v>
      </c>
      <c r="H2780" s="77" t="s">
        <v>108</v>
      </c>
      <c r="I2780" s="77" t="s">
        <v>84</v>
      </c>
      <c r="J2780" s="76">
        <v>0</v>
      </c>
    </row>
    <row r="2781" spans="1:10" x14ac:dyDescent="0.35">
      <c r="A2781" t="s">
        <v>14</v>
      </c>
      <c r="B2781" t="s">
        <v>37</v>
      </c>
      <c r="C2781" s="77" t="s">
        <v>88</v>
      </c>
      <c r="D2781" t="s">
        <v>81</v>
      </c>
      <c r="E2781" s="77" t="s">
        <v>106</v>
      </c>
      <c r="F2781" s="77" t="s">
        <v>73</v>
      </c>
      <c r="G2781" s="77" t="s">
        <v>74</v>
      </c>
      <c r="H2781" s="77" t="s">
        <v>108</v>
      </c>
      <c r="I2781" s="77" t="s">
        <v>84</v>
      </c>
      <c r="J2781" s="76">
        <v>0</v>
      </c>
    </row>
    <row r="2782" spans="1:10" x14ac:dyDescent="0.35">
      <c r="A2782" t="s">
        <v>14</v>
      </c>
      <c r="B2782" t="s">
        <v>37</v>
      </c>
      <c r="C2782" s="77" t="s">
        <v>90</v>
      </c>
      <c r="D2782" t="s">
        <v>81</v>
      </c>
      <c r="E2782" s="77" t="s">
        <v>118</v>
      </c>
      <c r="F2782" s="77" t="s">
        <v>73</v>
      </c>
      <c r="G2782" s="77" t="s">
        <v>74</v>
      </c>
      <c r="H2782" s="77" t="s">
        <v>108</v>
      </c>
      <c r="I2782" s="77" t="s">
        <v>84</v>
      </c>
      <c r="J2782" s="76" cm="1">
        <f t="array" ref="J2782:J2784">'SUT_EU27 total'!$K$55:$K$57</f>
        <v>4.323194595174263E-3</v>
      </c>
    </row>
    <row r="2783" spans="1:10" x14ac:dyDescent="0.35">
      <c r="A2783" t="s">
        <v>14</v>
      </c>
      <c r="B2783" t="s">
        <v>37</v>
      </c>
      <c r="C2783" s="77" t="s">
        <v>90</v>
      </c>
      <c r="D2783" t="s">
        <v>81</v>
      </c>
      <c r="E2783" s="77" t="s">
        <v>119</v>
      </c>
      <c r="F2783" s="77" t="s">
        <v>73</v>
      </c>
      <c r="G2783" s="77" t="s">
        <v>74</v>
      </c>
      <c r="H2783" s="77" t="s">
        <v>108</v>
      </c>
      <c r="I2783" s="77" t="s">
        <v>84</v>
      </c>
      <c r="J2783" s="76">
        <v>1.2800331672655335E-3</v>
      </c>
    </row>
    <row r="2784" spans="1:10" x14ac:dyDescent="0.35">
      <c r="A2784" t="s">
        <v>14</v>
      </c>
      <c r="B2784" t="s">
        <v>37</v>
      </c>
      <c r="C2784" s="77" t="s">
        <v>90</v>
      </c>
      <c r="D2784" t="s">
        <v>81</v>
      </c>
      <c r="E2784" s="77" t="s">
        <v>120</v>
      </c>
      <c r="F2784" s="77" t="s">
        <v>73</v>
      </c>
      <c r="G2784" s="77" t="s">
        <v>74</v>
      </c>
      <c r="H2784" s="77" t="s">
        <v>108</v>
      </c>
      <c r="I2784" s="77" t="s">
        <v>84</v>
      </c>
      <c r="J2784" s="76">
        <v>5.6700291220540041E-3</v>
      </c>
    </row>
    <row r="2785" spans="1:10" x14ac:dyDescent="0.35">
      <c r="A2785" t="s">
        <v>14</v>
      </c>
      <c r="B2785" t="s">
        <v>37</v>
      </c>
      <c r="C2785" s="77" t="s">
        <v>90</v>
      </c>
      <c r="D2785" t="s">
        <v>81</v>
      </c>
      <c r="E2785" s="77" t="s">
        <v>121</v>
      </c>
      <c r="F2785" s="77" t="s">
        <v>73</v>
      </c>
      <c r="G2785" s="77" t="s">
        <v>74</v>
      </c>
      <c r="H2785" s="77" t="s">
        <v>108</v>
      </c>
      <c r="I2785" s="77" t="s">
        <v>84</v>
      </c>
      <c r="J2785" s="76">
        <f>'SUT_EU27 total'!$K$59</f>
        <v>0</v>
      </c>
    </row>
    <row r="2786" spans="1:10" x14ac:dyDescent="0.35">
      <c r="A2786" t="s">
        <v>14</v>
      </c>
      <c r="B2786" t="s">
        <v>37</v>
      </c>
      <c r="C2786" s="77" t="s">
        <v>90</v>
      </c>
      <c r="D2786" t="s">
        <v>81</v>
      </c>
      <c r="E2786" s="77" t="s">
        <v>117</v>
      </c>
      <c r="F2786" s="77" t="s">
        <v>73</v>
      </c>
      <c r="G2786" s="77" t="s">
        <v>74</v>
      </c>
      <c r="H2786" s="77" t="s">
        <v>108</v>
      </c>
      <c r="I2786" s="77" t="s">
        <v>84</v>
      </c>
      <c r="J2786" s="76">
        <f>'SUT_EU27 total'!$K$61</f>
        <v>1.1930979242119881E-3</v>
      </c>
    </row>
    <row r="2787" spans="1:10" x14ac:dyDescent="0.35">
      <c r="A2787" t="s">
        <v>14</v>
      </c>
      <c r="B2787" t="s">
        <v>37</v>
      </c>
      <c r="C2787" s="77" t="s">
        <v>90</v>
      </c>
      <c r="D2787" t="s">
        <v>81</v>
      </c>
      <c r="E2787" s="77" t="s">
        <v>122</v>
      </c>
      <c r="F2787" s="77" t="s">
        <v>73</v>
      </c>
      <c r="G2787" s="77" t="s">
        <v>74</v>
      </c>
      <c r="H2787" s="77" t="s">
        <v>108</v>
      </c>
      <c r="I2787" s="77" t="s">
        <v>84</v>
      </c>
      <c r="J2787" s="76">
        <f>'SUT_EU27 total'!$K$64</f>
        <v>2.5776238002378116E-3</v>
      </c>
    </row>
    <row r="2788" spans="1:10" x14ac:dyDescent="0.35">
      <c r="A2788" t="s">
        <v>14</v>
      </c>
      <c r="B2788" t="s">
        <v>37</v>
      </c>
      <c r="C2788" s="77" t="s">
        <v>90</v>
      </c>
      <c r="D2788" t="s">
        <v>81</v>
      </c>
      <c r="E2788" s="77" t="s">
        <v>101</v>
      </c>
      <c r="F2788" s="77" t="s">
        <v>73</v>
      </c>
      <c r="G2788" s="77" t="s">
        <v>74</v>
      </c>
      <c r="H2788" s="77" t="s">
        <v>108</v>
      </c>
      <c r="I2788" s="77" t="s">
        <v>84</v>
      </c>
      <c r="J2788" s="76" cm="1">
        <f t="array" ref="J2788:J2790">'SUT_EU27 total'!$K$66:$K$68</f>
        <v>0</v>
      </c>
    </row>
    <row r="2789" spans="1:10" x14ac:dyDescent="0.35">
      <c r="A2789" t="s">
        <v>14</v>
      </c>
      <c r="B2789" t="s">
        <v>37</v>
      </c>
      <c r="C2789" s="77" t="s">
        <v>90</v>
      </c>
      <c r="D2789" t="s">
        <v>81</v>
      </c>
      <c r="E2789" s="77" t="s">
        <v>104</v>
      </c>
      <c r="F2789" s="77" t="s">
        <v>73</v>
      </c>
      <c r="G2789" s="77" t="s">
        <v>74</v>
      </c>
      <c r="H2789" s="77" t="s">
        <v>108</v>
      </c>
      <c r="I2789" s="77" t="s">
        <v>84</v>
      </c>
      <c r="J2789" s="76">
        <v>0</v>
      </c>
    </row>
    <row r="2790" spans="1:10" x14ac:dyDescent="0.35">
      <c r="A2790" t="s">
        <v>14</v>
      </c>
      <c r="B2790" t="s">
        <v>37</v>
      </c>
      <c r="C2790" s="77" t="s">
        <v>90</v>
      </c>
      <c r="D2790" t="s">
        <v>81</v>
      </c>
      <c r="E2790" s="77" t="s">
        <v>106</v>
      </c>
      <c r="F2790" s="77" t="s">
        <v>73</v>
      </c>
      <c r="G2790" s="77" t="s">
        <v>74</v>
      </c>
      <c r="H2790" s="77" t="s">
        <v>108</v>
      </c>
      <c r="I2790" s="77" t="s">
        <v>84</v>
      </c>
      <c r="J2790" s="76">
        <v>0</v>
      </c>
    </row>
    <row r="2791" spans="1:10" x14ac:dyDescent="0.35">
      <c r="A2791" t="s">
        <v>14</v>
      </c>
      <c r="B2791" t="s">
        <v>37</v>
      </c>
      <c r="C2791" s="77" t="s">
        <v>91</v>
      </c>
      <c r="D2791" t="s">
        <v>81</v>
      </c>
      <c r="E2791" s="77" t="s">
        <v>118</v>
      </c>
      <c r="F2791" s="77" t="s">
        <v>73</v>
      </c>
      <c r="G2791" s="77" t="s">
        <v>74</v>
      </c>
      <c r="H2791" s="77" t="s">
        <v>108</v>
      </c>
      <c r="I2791" s="77" t="s">
        <v>84</v>
      </c>
      <c r="J2791" s="76" cm="1">
        <f t="array" ref="J2791:J2793">'SUT_EU27 total'!$K$72:$K$74</f>
        <v>5.3791732332439677E-3</v>
      </c>
    </row>
    <row r="2792" spans="1:10" x14ac:dyDescent="0.35">
      <c r="A2792" t="s">
        <v>14</v>
      </c>
      <c r="B2792" t="s">
        <v>37</v>
      </c>
      <c r="C2792" s="77" t="s">
        <v>91</v>
      </c>
      <c r="D2792" t="s">
        <v>81</v>
      </c>
      <c r="E2792" s="77" t="s">
        <v>119</v>
      </c>
      <c r="F2792" s="77" t="s">
        <v>73</v>
      </c>
      <c r="G2792" s="77" t="s">
        <v>74</v>
      </c>
      <c r="H2792" s="77" t="s">
        <v>108</v>
      </c>
      <c r="I2792" s="77" t="s">
        <v>84</v>
      </c>
      <c r="J2792" s="76">
        <v>6.5526133182607291E-3</v>
      </c>
    </row>
    <row r="2793" spans="1:10" x14ac:dyDescent="0.35">
      <c r="A2793" t="s">
        <v>14</v>
      </c>
      <c r="B2793" t="s">
        <v>37</v>
      </c>
      <c r="C2793" s="77" t="s">
        <v>91</v>
      </c>
      <c r="D2793" t="s">
        <v>81</v>
      </c>
      <c r="E2793" s="77" t="s">
        <v>120</v>
      </c>
      <c r="F2793" s="77" t="s">
        <v>73</v>
      </c>
      <c r="G2793" s="77" t="s">
        <v>74</v>
      </c>
      <c r="H2793" s="77" t="s">
        <v>108</v>
      </c>
      <c r="I2793" s="77" t="s">
        <v>84</v>
      </c>
      <c r="J2793" s="76">
        <v>2.464950959887623E-4</v>
      </c>
    </row>
    <row r="2794" spans="1:10" x14ac:dyDescent="0.35">
      <c r="A2794" t="s">
        <v>14</v>
      </c>
      <c r="B2794" t="s">
        <v>37</v>
      </c>
      <c r="C2794" s="77" t="s">
        <v>91</v>
      </c>
      <c r="D2794" t="s">
        <v>81</v>
      </c>
      <c r="E2794" s="77" t="s">
        <v>121</v>
      </c>
      <c r="F2794" s="77" t="s">
        <v>73</v>
      </c>
      <c r="G2794" s="77" t="s">
        <v>74</v>
      </c>
      <c r="H2794" s="77" t="s">
        <v>108</v>
      </c>
      <c r="I2794" s="77" t="s">
        <v>84</v>
      </c>
      <c r="J2794" s="76">
        <f>'SUT_EU27 total'!$K$76</f>
        <v>0</v>
      </c>
    </row>
    <row r="2795" spans="1:10" x14ac:dyDescent="0.35">
      <c r="A2795" t="s">
        <v>14</v>
      </c>
      <c r="B2795" t="s">
        <v>37</v>
      </c>
      <c r="C2795" s="77" t="s">
        <v>91</v>
      </c>
      <c r="D2795" t="s">
        <v>81</v>
      </c>
      <c r="E2795" s="77" t="s">
        <v>117</v>
      </c>
      <c r="F2795" s="77" t="s">
        <v>73</v>
      </c>
      <c r="G2795" s="77" t="s">
        <v>74</v>
      </c>
      <c r="H2795" s="77" t="s">
        <v>108</v>
      </c>
      <c r="I2795" s="77" t="s">
        <v>84</v>
      </c>
      <c r="J2795" s="76">
        <f>'SUT_EU27 total'!$K$78</f>
        <v>1.1485683451306521E-3</v>
      </c>
    </row>
    <row r="2796" spans="1:10" x14ac:dyDescent="0.35">
      <c r="A2796" t="s">
        <v>14</v>
      </c>
      <c r="B2796" t="s">
        <v>37</v>
      </c>
      <c r="C2796" s="77" t="s">
        <v>91</v>
      </c>
      <c r="D2796" t="s">
        <v>81</v>
      </c>
      <c r="E2796" s="77" t="s">
        <v>122</v>
      </c>
      <c r="F2796" s="77" t="s">
        <v>73</v>
      </c>
      <c r="G2796" s="77" t="s">
        <v>74</v>
      </c>
      <c r="H2796" s="77" t="s">
        <v>108</v>
      </c>
      <c r="I2796" s="77" t="s">
        <v>84</v>
      </c>
      <c r="J2796" s="76">
        <f>'SUT_EU27 total'!$K$81</f>
        <v>0</v>
      </c>
    </row>
    <row r="2797" spans="1:10" x14ac:dyDescent="0.35">
      <c r="A2797" t="s">
        <v>14</v>
      </c>
      <c r="B2797" t="s">
        <v>37</v>
      </c>
      <c r="C2797" s="77" t="s">
        <v>91</v>
      </c>
      <c r="D2797" t="s">
        <v>81</v>
      </c>
      <c r="E2797" s="77" t="s">
        <v>101</v>
      </c>
      <c r="F2797" s="77" t="s">
        <v>73</v>
      </c>
      <c r="G2797" s="77" t="s">
        <v>74</v>
      </c>
      <c r="H2797" s="77" t="s">
        <v>108</v>
      </c>
      <c r="I2797" s="77" t="s">
        <v>84</v>
      </c>
      <c r="J2797" s="76" cm="1">
        <f t="array" ref="J2797:J2799">'SUT_EU27 total'!$K$83:$K$85</f>
        <v>0</v>
      </c>
    </row>
    <row r="2798" spans="1:10" x14ac:dyDescent="0.35">
      <c r="A2798" t="s">
        <v>14</v>
      </c>
      <c r="B2798" t="s">
        <v>37</v>
      </c>
      <c r="C2798" s="77" t="s">
        <v>91</v>
      </c>
      <c r="D2798" t="s">
        <v>81</v>
      </c>
      <c r="E2798" s="77" t="s">
        <v>104</v>
      </c>
      <c r="F2798" s="77" t="s">
        <v>73</v>
      </c>
      <c r="G2798" s="77" t="s">
        <v>74</v>
      </c>
      <c r="H2798" s="77" t="s">
        <v>108</v>
      </c>
      <c r="I2798" s="77" t="s">
        <v>84</v>
      </c>
      <c r="J2798" s="76">
        <v>0</v>
      </c>
    </row>
    <row r="2799" spans="1:10" x14ac:dyDescent="0.35">
      <c r="A2799" t="s">
        <v>14</v>
      </c>
      <c r="B2799" t="s">
        <v>37</v>
      </c>
      <c r="C2799" s="77" t="s">
        <v>91</v>
      </c>
      <c r="D2799" t="s">
        <v>81</v>
      </c>
      <c r="E2799" s="77" t="s">
        <v>106</v>
      </c>
      <c r="F2799" s="77" t="s">
        <v>73</v>
      </c>
      <c r="G2799" s="77" t="s">
        <v>74</v>
      </c>
      <c r="H2799" s="77" t="s">
        <v>108</v>
      </c>
      <c r="I2799" s="77" t="s">
        <v>84</v>
      </c>
      <c r="J2799" s="76">
        <v>0</v>
      </c>
    </row>
    <row r="2800" spans="1:10" x14ac:dyDescent="0.35">
      <c r="A2800" t="s">
        <v>14</v>
      </c>
      <c r="B2800" t="s">
        <v>37</v>
      </c>
      <c r="C2800" s="77" t="s">
        <v>92</v>
      </c>
      <c r="D2800" t="s">
        <v>81</v>
      </c>
      <c r="E2800" s="77" t="s">
        <v>118</v>
      </c>
      <c r="F2800" s="77" t="s">
        <v>73</v>
      </c>
      <c r="G2800" s="77" t="s">
        <v>74</v>
      </c>
      <c r="H2800" s="77" t="s">
        <v>108</v>
      </c>
      <c r="I2800" s="77" t="s">
        <v>84</v>
      </c>
      <c r="J2800" s="76" cm="1">
        <f t="array" ref="J2800:J2802">'SUT_EU27 total'!$K$89:$K$91</f>
        <v>3.3497344343163542E-3</v>
      </c>
    </row>
    <row r="2801" spans="1:10" x14ac:dyDescent="0.35">
      <c r="A2801" t="s">
        <v>14</v>
      </c>
      <c r="B2801" t="s">
        <v>37</v>
      </c>
      <c r="C2801" s="77" t="s">
        <v>92</v>
      </c>
      <c r="D2801" t="s">
        <v>81</v>
      </c>
      <c r="E2801" s="77" t="s">
        <v>119</v>
      </c>
      <c r="F2801" s="77" t="s">
        <v>73</v>
      </c>
      <c r="G2801" s="77" t="s">
        <v>74</v>
      </c>
      <c r="H2801" s="77" t="s">
        <v>108</v>
      </c>
      <c r="I2801" s="77" t="s">
        <v>84</v>
      </c>
      <c r="J2801" s="76">
        <v>6.0269323460777589E-3</v>
      </c>
    </row>
    <row r="2802" spans="1:10" x14ac:dyDescent="0.35">
      <c r="A2802" t="s">
        <v>14</v>
      </c>
      <c r="B2802" t="s">
        <v>37</v>
      </c>
      <c r="C2802" s="77" t="s">
        <v>92</v>
      </c>
      <c r="D2802" t="s">
        <v>81</v>
      </c>
      <c r="E2802" s="77" t="s">
        <v>120</v>
      </c>
      <c r="F2802" s="77" t="s">
        <v>73</v>
      </c>
      <c r="G2802" s="77" t="s">
        <v>74</v>
      </c>
      <c r="H2802" s="77" t="s">
        <v>108</v>
      </c>
      <c r="I2802" s="77" t="s">
        <v>84</v>
      </c>
      <c r="J2802" s="76">
        <v>4.0947713992508196E-3</v>
      </c>
    </row>
    <row r="2803" spans="1:10" x14ac:dyDescent="0.35">
      <c r="A2803" t="s">
        <v>14</v>
      </c>
      <c r="B2803" t="s">
        <v>37</v>
      </c>
      <c r="C2803" s="77" t="s">
        <v>92</v>
      </c>
      <c r="D2803" t="s">
        <v>81</v>
      </c>
      <c r="E2803" s="77" t="s">
        <v>121</v>
      </c>
      <c r="F2803" s="77" t="s">
        <v>73</v>
      </c>
      <c r="G2803" s="77" t="s">
        <v>74</v>
      </c>
      <c r="H2803" s="77" t="s">
        <v>108</v>
      </c>
      <c r="I2803" s="77" t="s">
        <v>84</v>
      </c>
      <c r="J2803" s="76">
        <f>'SUT_EU27 total'!$K$93</f>
        <v>0</v>
      </c>
    </row>
    <row r="2804" spans="1:10" x14ac:dyDescent="0.35">
      <c r="A2804" t="s">
        <v>14</v>
      </c>
      <c r="B2804" t="s">
        <v>37</v>
      </c>
      <c r="C2804" s="77" t="s">
        <v>92</v>
      </c>
      <c r="D2804" t="s">
        <v>81</v>
      </c>
      <c r="E2804" s="77" t="s">
        <v>117</v>
      </c>
      <c r="F2804" s="77" t="s">
        <v>73</v>
      </c>
      <c r="G2804" s="77" t="s">
        <v>74</v>
      </c>
      <c r="H2804" s="77" t="s">
        <v>108</v>
      </c>
      <c r="I2804" s="77" t="s">
        <v>84</v>
      </c>
      <c r="J2804" s="76">
        <f>'SUT_EU27 total'!$K$95</f>
        <v>0</v>
      </c>
    </row>
    <row r="2805" spans="1:10" x14ac:dyDescent="0.35">
      <c r="A2805" t="s">
        <v>14</v>
      </c>
      <c r="B2805" t="s">
        <v>37</v>
      </c>
      <c r="C2805" s="77" t="s">
        <v>92</v>
      </c>
      <c r="D2805" t="s">
        <v>81</v>
      </c>
      <c r="E2805" s="77" t="s">
        <v>122</v>
      </c>
      <c r="F2805" s="77" t="s">
        <v>73</v>
      </c>
      <c r="G2805" s="77" t="s">
        <v>74</v>
      </c>
      <c r="H2805" s="77" t="s">
        <v>108</v>
      </c>
      <c r="I2805" s="77" t="s">
        <v>84</v>
      </c>
      <c r="J2805" s="76">
        <f>'SUT_EU27 total'!$K$98</f>
        <v>0</v>
      </c>
    </row>
    <row r="2806" spans="1:10" x14ac:dyDescent="0.35">
      <c r="A2806" t="s">
        <v>14</v>
      </c>
      <c r="B2806" t="s">
        <v>37</v>
      </c>
      <c r="C2806" s="77" t="s">
        <v>92</v>
      </c>
      <c r="D2806" t="s">
        <v>81</v>
      </c>
      <c r="E2806" s="77" t="s">
        <v>101</v>
      </c>
      <c r="F2806" s="77" t="s">
        <v>73</v>
      </c>
      <c r="G2806" s="77" t="s">
        <v>74</v>
      </c>
      <c r="H2806" s="77" t="s">
        <v>108</v>
      </c>
      <c r="I2806" s="77" t="s">
        <v>84</v>
      </c>
      <c r="J2806" s="76" cm="1">
        <f t="array" ref="J2806:J2808">'SUT_EU27 total'!$K$100:$K$102</f>
        <v>0</v>
      </c>
    </row>
    <row r="2807" spans="1:10" x14ac:dyDescent="0.35">
      <c r="A2807" t="s">
        <v>14</v>
      </c>
      <c r="B2807" t="s">
        <v>37</v>
      </c>
      <c r="C2807" s="77" t="s">
        <v>92</v>
      </c>
      <c r="D2807" t="s">
        <v>81</v>
      </c>
      <c r="E2807" s="77" t="s">
        <v>104</v>
      </c>
      <c r="F2807" s="77" t="s">
        <v>73</v>
      </c>
      <c r="G2807" s="77" t="s">
        <v>74</v>
      </c>
      <c r="H2807" s="77" t="s">
        <v>108</v>
      </c>
      <c r="I2807" s="77" t="s">
        <v>84</v>
      </c>
      <c r="J2807" s="76">
        <v>0</v>
      </c>
    </row>
    <row r="2808" spans="1:10" x14ac:dyDescent="0.35">
      <c r="A2808" t="s">
        <v>14</v>
      </c>
      <c r="B2808" t="s">
        <v>37</v>
      </c>
      <c r="C2808" s="77" t="s">
        <v>92</v>
      </c>
      <c r="D2808" t="s">
        <v>81</v>
      </c>
      <c r="E2808" s="77" t="s">
        <v>106</v>
      </c>
      <c r="F2808" s="77" t="s">
        <v>73</v>
      </c>
      <c r="G2808" s="77" t="s">
        <v>74</v>
      </c>
      <c r="H2808" s="77" t="s">
        <v>108</v>
      </c>
      <c r="I2808" s="77" t="s">
        <v>84</v>
      </c>
      <c r="J2808" s="76">
        <v>0</v>
      </c>
    </row>
    <row r="2809" spans="1:10" x14ac:dyDescent="0.35">
      <c r="A2809" t="s">
        <v>14</v>
      </c>
      <c r="B2809" t="s">
        <v>37</v>
      </c>
      <c r="C2809" s="77" t="s">
        <v>93</v>
      </c>
      <c r="D2809" t="s">
        <v>81</v>
      </c>
      <c r="E2809" s="77" t="s">
        <v>118</v>
      </c>
      <c r="F2809" s="77" t="s">
        <v>73</v>
      </c>
      <c r="G2809" s="77" t="s">
        <v>74</v>
      </c>
      <c r="H2809" s="77" t="s">
        <v>108</v>
      </c>
      <c r="I2809" s="77" t="s">
        <v>84</v>
      </c>
      <c r="J2809" s="76" cm="1">
        <f t="array" ref="J2809:J2811">'SUT_EU27 total'!$K$106:$K$108</f>
        <v>1.4980971667560324E-2</v>
      </c>
    </row>
    <row r="2810" spans="1:10" x14ac:dyDescent="0.35">
      <c r="A2810" t="s">
        <v>14</v>
      </c>
      <c r="B2810" t="s">
        <v>37</v>
      </c>
      <c r="C2810" s="77" t="s">
        <v>93</v>
      </c>
      <c r="D2810" t="s">
        <v>81</v>
      </c>
      <c r="E2810" s="77" t="s">
        <v>119</v>
      </c>
      <c r="F2810" s="77" t="s">
        <v>73</v>
      </c>
      <c r="G2810" s="77" t="s">
        <v>74</v>
      </c>
      <c r="H2810" s="77" t="s">
        <v>108</v>
      </c>
      <c r="I2810" s="77" t="s">
        <v>84</v>
      </c>
      <c r="J2810" s="76">
        <v>4.3405477873147885E-2</v>
      </c>
    </row>
    <row r="2811" spans="1:10" x14ac:dyDescent="0.35">
      <c r="A2811" t="s">
        <v>14</v>
      </c>
      <c r="B2811" t="s">
        <v>37</v>
      </c>
      <c r="C2811" s="77" t="s">
        <v>93</v>
      </c>
      <c r="D2811" t="s">
        <v>81</v>
      </c>
      <c r="E2811" s="77" t="s">
        <v>120</v>
      </c>
      <c r="F2811" s="77" t="s">
        <v>73</v>
      </c>
      <c r="G2811" s="77" t="s">
        <v>74</v>
      </c>
      <c r="H2811" s="77" t="s">
        <v>108</v>
      </c>
      <c r="I2811" s="77" t="s">
        <v>84</v>
      </c>
      <c r="J2811" s="76">
        <v>2.1237093113781802E-2</v>
      </c>
    </row>
    <row r="2812" spans="1:10" x14ac:dyDescent="0.35">
      <c r="A2812" t="s">
        <v>14</v>
      </c>
      <c r="B2812" t="s">
        <v>37</v>
      </c>
      <c r="C2812" s="77" t="s">
        <v>93</v>
      </c>
      <c r="D2812" t="s">
        <v>81</v>
      </c>
      <c r="E2812" s="77" t="s">
        <v>121</v>
      </c>
      <c r="F2812" s="77" t="s">
        <v>73</v>
      </c>
      <c r="G2812" s="77" t="s">
        <v>74</v>
      </c>
      <c r="H2812" s="77" t="s">
        <v>108</v>
      </c>
      <c r="I2812" s="77" t="s">
        <v>84</v>
      </c>
      <c r="J2812" s="76">
        <f>'SUT_EU27 total'!$K$110</f>
        <v>0</v>
      </c>
    </row>
    <row r="2813" spans="1:10" x14ac:dyDescent="0.35">
      <c r="A2813" t="s">
        <v>14</v>
      </c>
      <c r="B2813" t="s">
        <v>37</v>
      </c>
      <c r="C2813" s="77" t="s">
        <v>93</v>
      </c>
      <c r="D2813" t="s">
        <v>81</v>
      </c>
      <c r="E2813" s="77" t="s">
        <v>117</v>
      </c>
      <c r="F2813" s="77" t="s">
        <v>73</v>
      </c>
      <c r="G2813" s="77" t="s">
        <v>74</v>
      </c>
      <c r="H2813" s="77" t="s">
        <v>108</v>
      </c>
      <c r="I2813" s="77" t="s">
        <v>84</v>
      </c>
      <c r="J2813" s="76">
        <f>'SUT_EU27 total'!$K$112</f>
        <v>1.1930984723440377E-3</v>
      </c>
    </row>
    <row r="2814" spans="1:10" x14ac:dyDescent="0.35">
      <c r="A2814" t="s">
        <v>14</v>
      </c>
      <c r="B2814" t="s">
        <v>37</v>
      </c>
      <c r="C2814" s="77" t="s">
        <v>93</v>
      </c>
      <c r="D2814" t="s">
        <v>81</v>
      </c>
      <c r="E2814" s="77" t="s">
        <v>122</v>
      </c>
      <c r="F2814" s="77" t="s">
        <v>73</v>
      </c>
      <c r="G2814" s="77" t="s">
        <v>74</v>
      </c>
      <c r="H2814" s="77" t="s">
        <v>108</v>
      </c>
      <c r="I2814" s="77" t="s">
        <v>84</v>
      </c>
      <c r="J2814" s="76">
        <f>'SUT_EU27 total'!$K$115</f>
        <v>8.7987828585017833E-3</v>
      </c>
    </row>
    <row r="2815" spans="1:10" x14ac:dyDescent="0.35">
      <c r="A2815" t="s">
        <v>14</v>
      </c>
      <c r="B2815" t="s">
        <v>37</v>
      </c>
      <c r="C2815" s="77" t="s">
        <v>93</v>
      </c>
      <c r="D2815" t="s">
        <v>81</v>
      </c>
      <c r="E2815" s="77" t="s">
        <v>101</v>
      </c>
      <c r="F2815" s="77" t="s">
        <v>73</v>
      </c>
      <c r="G2815" s="77" t="s">
        <v>74</v>
      </c>
      <c r="H2815" s="77" t="s">
        <v>108</v>
      </c>
      <c r="I2815" s="77" t="s">
        <v>84</v>
      </c>
      <c r="J2815" s="76" cm="1">
        <f t="array" ref="J2815:J2817">'SUT_EU27 total'!$K$117:$K$119</f>
        <v>0</v>
      </c>
    </row>
    <row r="2816" spans="1:10" x14ac:dyDescent="0.35">
      <c r="A2816" t="s">
        <v>14</v>
      </c>
      <c r="B2816" t="s">
        <v>37</v>
      </c>
      <c r="C2816" s="77" t="s">
        <v>93</v>
      </c>
      <c r="D2816" t="s">
        <v>81</v>
      </c>
      <c r="E2816" s="77" t="s">
        <v>104</v>
      </c>
      <c r="F2816" s="77" t="s">
        <v>73</v>
      </c>
      <c r="G2816" s="77" t="s">
        <v>74</v>
      </c>
      <c r="H2816" s="77" t="s">
        <v>108</v>
      </c>
      <c r="I2816" s="77" t="s">
        <v>84</v>
      </c>
      <c r="J2816" s="76">
        <v>0</v>
      </c>
    </row>
    <row r="2817" spans="1:10" x14ac:dyDescent="0.35">
      <c r="A2817" t="s">
        <v>14</v>
      </c>
      <c r="B2817" t="s">
        <v>37</v>
      </c>
      <c r="C2817" s="77" t="s">
        <v>93</v>
      </c>
      <c r="D2817" t="s">
        <v>81</v>
      </c>
      <c r="E2817" s="77" t="s">
        <v>106</v>
      </c>
      <c r="F2817" s="77" t="s">
        <v>73</v>
      </c>
      <c r="G2817" s="77" t="s">
        <v>74</v>
      </c>
      <c r="H2817" s="77" t="s">
        <v>108</v>
      </c>
      <c r="I2817" s="77" t="s">
        <v>84</v>
      </c>
      <c r="J2817" s="76">
        <v>0</v>
      </c>
    </row>
    <row r="2818" spans="1:10" x14ac:dyDescent="0.35">
      <c r="A2818" t="s">
        <v>14</v>
      </c>
      <c r="B2818" t="s">
        <v>37</v>
      </c>
      <c r="C2818" s="77" t="s">
        <v>73</v>
      </c>
      <c r="D2818" t="s">
        <v>81</v>
      </c>
      <c r="E2818" s="77" t="s">
        <v>119</v>
      </c>
      <c r="F2818" s="77" t="s">
        <v>73</v>
      </c>
      <c r="G2818" s="77" t="s">
        <v>74</v>
      </c>
      <c r="H2818" s="77" t="s">
        <v>123</v>
      </c>
      <c r="I2818" s="77" t="s">
        <v>84</v>
      </c>
      <c r="J2818" s="76">
        <f>'SUT_EU27 total'!$L$22</f>
        <v>1.9500181678711294E-2</v>
      </c>
    </row>
    <row r="2819" spans="1:10" x14ac:dyDescent="0.35">
      <c r="A2819" t="s">
        <v>14</v>
      </c>
      <c r="B2819" t="s">
        <v>37</v>
      </c>
      <c r="C2819" s="77" t="s">
        <v>73</v>
      </c>
      <c r="D2819" t="s">
        <v>81</v>
      </c>
      <c r="E2819" s="77" t="s">
        <v>124</v>
      </c>
      <c r="F2819" s="77" t="s">
        <v>73</v>
      </c>
      <c r="G2819" s="77" t="s">
        <v>74</v>
      </c>
      <c r="H2819" s="77" t="s">
        <v>123</v>
      </c>
      <c r="I2819" s="77" t="s">
        <v>84</v>
      </c>
      <c r="J2819" s="76" cm="1">
        <f t="array" ref="J2819:J2827">'SUT_EU27 total'!$L$26:$L$34</f>
        <v>1.9404661061278542E-3</v>
      </c>
    </row>
    <row r="2820" spans="1:10" x14ac:dyDescent="0.35">
      <c r="A2820" t="s">
        <v>14</v>
      </c>
      <c r="B2820" t="s">
        <v>37</v>
      </c>
      <c r="C2820" s="77" t="s">
        <v>73</v>
      </c>
      <c r="D2820" t="s">
        <v>81</v>
      </c>
      <c r="E2820" s="77" t="s">
        <v>117</v>
      </c>
      <c r="F2820" s="77" t="s">
        <v>73</v>
      </c>
      <c r="G2820" s="77" t="s">
        <v>74</v>
      </c>
      <c r="H2820" s="77" t="s">
        <v>123</v>
      </c>
      <c r="I2820" s="77" t="s">
        <v>84</v>
      </c>
      <c r="J2820" s="76">
        <v>5.8423628191201782E-3</v>
      </c>
    </row>
    <row r="2821" spans="1:10" x14ac:dyDescent="0.35">
      <c r="A2821" t="s">
        <v>14</v>
      </c>
      <c r="B2821" t="s">
        <v>37</v>
      </c>
      <c r="C2821" s="77" t="s">
        <v>73</v>
      </c>
      <c r="D2821" t="s">
        <v>81</v>
      </c>
      <c r="E2821" s="77" t="s">
        <v>82</v>
      </c>
      <c r="F2821" s="77" t="s">
        <v>73</v>
      </c>
      <c r="G2821" s="77" t="s">
        <v>74</v>
      </c>
      <c r="H2821" s="77" t="s">
        <v>123</v>
      </c>
      <c r="I2821" s="77" t="s">
        <v>84</v>
      </c>
      <c r="J2821" s="76">
        <v>4.8981233243967828E-4</v>
      </c>
    </row>
    <row r="2822" spans="1:10" x14ac:dyDescent="0.35">
      <c r="A2822" t="s">
        <v>14</v>
      </c>
      <c r="B2822" t="s">
        <v>37</v>
      </c>
      <c r="C2822" s="77" t="s">
        <v>73</v>
      </c>
      <c r="D2822" t="s">
        <v>81</v>
      </c>
      <c r="E2822" s="77" t="s">
        <v>125</v>
      </c>
      <c r="F2822" s="77" t="s">
        <v>73</v>
      </c>
      <c r="G2822" s="77" t="s">
        <v>74</v>
      </c>
      <c r="H2822" s="77" t="s">
        <v>123</v>
      </c>
      <c r="I2822" s="77" t="s">
        <v>84</v>
      </c>
      <c r="J2822" s="76">
        <v>2.4658201215687387E-3</v>
      </c>
    </row>
    <row r="2823" spans="1:10" x14ac:dyDescent="0.35">
      <c r="A2823" t="s">
        <v>14</v>
      </c>
      <c r="B2823" t="s">
        <v>37</v>
      </c>
      <c r="C2823" s="77" t="s">
        <v>73</v>
      </c>
      <c r="D2823" t="s">
        <v>81</v>
      </c>
      <c r="E2823" s="77" t="s">
        <v>122</v>
      </c>
      <c r="F2823" s="77" t="s">
        <v>73</v>
      </c>
      <c r="G2823" s="77" t="s">
        <v>74</v>
      </c>
      <c r="H2823" s="77" t="s">
        <v>123</v>
      </c>
      <c r="I2823" s="77" t="s">
        <v>84</v>
      </c>
      <c r="J2823" s="76">
        <v>4.922711058263972E-4</v>
      </c>
    </row>
    <row r="2824" spans="1:10" x14ac:dyDescent="0.35">
      <c r="A2824" t="s">
        <v>14</v>
      </c>
      <c r="B2824" t="s">
        <v>37</v>
      </c>
      <c r="C2824" s="77" t="s">
        <v>73</v>
      </c>
      <c r="D2824" t="s">
        <v>81</v>
      </c>
      <c r="E2824" s="77" t="s">
        <v>126</v>
      </c>
      <c r="F2824" s="77" t="s">
        <v>73</v>
      </c>
      <c r="G2824" s="77" t="s">
        <v>74</v>
      </c>
      <c r="H2824" s="77" t="s">
        <v>123</v>
      </c>
      <c r="I2824" s="77" t="s">
        <v>84</v>
      </c>
      <c r="J2824" s="76">
        <v>0</v>
      </c>
    </row>
    <row r="2825" spans="1:10" x14ac:dyDescent="0.35">
      <c r="A2825" t="s">
        <v>14</v>
      </c>
      <c r="B2825" t="s">
        <v>37</v>
      </c>
      <c r="C2825" s="77" t="s">
        <v>73</v>
      </c>
      <c r="D2825" t="s">
        <v>81</v>
      </c>
      <c r="E2825" s="77" t="s">
        <v>101</v>
      </c>
      <c r="F2825" s="77" t="s">
        <v>73</v>
      </c>
      <c r="G2825" s="77" t="s">
        <v>74</v>
      </c>
      <c r="H2825" s="77" t="s">
        <v>123</v>
      </c>
      <c r="I2825" s="77" t="s">
        <v>84</v>
      </c>
      <c r="J2825" s="76">
        <v>3.7860913795851507E-4</v>
      </c>
    </row>
    <row r="2826" spans="1:10" x14ac:dyDescent="0.35">
      <c r="A2826" t="s">
        <v>14</v>
      </c>
      <c r="B2826" t="s">
        <v>37</v>
      </c>
      <c r="C2826" s="77" t="s">
        <v>73</v>
      </c>
      <c r="D2826" t="s">
        <v>81</v>
      </c>
      <c r="E2826" s="77" t="s">
        <v>104</v>
      </c>
      <c r="F2826" s="77" t="s">
        <v>73</v>
      </c>
      <c r="G2826" s="77" t="s">
        <v>74</v>
      </c>
      <c r="H2826" s="77" t="s">
        <v>123</v>
      </c>
      <c r="I2826" s="77" t="s">
        <v>84</v>
      </c>
      <c r="J2826" s="76">
        <v>7.1686251377883477E-4</v>
      </c>
    </row>
    <row r="2827" spans="1:10" x14ac:dyDescent="0.35">
      <c r="A2827" t="s">
        <v>14</v>
      </c>
      <c r="B2827" t="s">
        <v>37</v>
      </c>
      <c r="C2827" s="77" t="s">
        <v>73</v>
      </c>
      <c r="D2827" t="s">
        <v>81</v>
      </c>
      <c r="E2827" s="77" t="s">
        <v>106</v>
      </c>
      <c r="F2827" s="77" t="s">
        <v>73</v>
      </c>
      <c r="G2827" s="77" t="s">
        <v>74</v>
      </c>
      <c r="H2827" s="77" t="s">
        <v>123</v>
      </c>
      <c r="I2827" s="77" t="s">
        <v>84</v>
      </c>
      <c r="J2827" s="76">
        <v>2.438307869996036E-3</v>
      </c>
    </row>
    <row r="2828" spans="1:10" x14ac:dyDescent="0.35">
      <c r="A2828" t="s">
        <v>14</v>
      </c>
      <c r="B2828" t="s">
        <v>37</v>
      </c>
      <c r="C2828" s="77" t="s">
        <v>88</v>
      </c>
      <c r="D2828" t="s">
        <v>81</v>
      </c>
      <c r="E2828" s="77" t="s">
        <v>119</v>
      </c>
      <c r="F2828" s="77" t="s">
        <v>73</v>
      </c>
      <c r="G2828" s="77" t="s">
        <v>74</v>
      </c>
      <c r="H2828" s="77" t="s">
        <v>123</v>
      </c>
      <c r="I2828" s="77" t="s">
        <v>84</v>
      </c>
      <c r="J2828" s="76">
        <f>'SUT_EU27 total'!$L$39</f>
        <v>0.16108845734587587</v>
      </c>
    </row>
    <row r="2829" spans="1:10" x14ac:dyDescent="0.35">
      <c r="A2829" t="s">
        <v>14</v>
      </c>
      <c r="B2829" t="s">
        <v>37</v>
      </c>
      <c r="C2829" s="77" t="s">
        <v>88</v>
      </c>
      <c r="D2829" t="s">
        <v>81</v>
      </c>
      <c r="E2829" s="77" t="s">
        <v>124</v>
      </c>
      <c r="F2829" s="77" t="s">
        <v>73</v>
      </c>
      <c r="G2829" s="77" t="s">
        <v>74</v>
      </c>
      <c r="H2829" s="77" t="s">
        <v>123</v>
      </c>
      <c r="I2829" s="77" t="s">
        <v>84</v>
      </c>
      <c r="J2829" s="76" cm="1">
        <f t="array" ref="J2829:J2837">'SUT_EU27 total'!$M$43:$M$51</f>
        <v>5.0558836222750793E-4</v>
      </c>
    </row>
    <row r="2830" spans="1:10" x14ac:dyDescent="0.35">
      <c r="A2830" t="s">
        <v>14</v>
      </c>
      <c r="B2830" t="s">
        <v>37</v>
      </c>
      <c r="C2830" s="77" t="s">
        <v>88</v>
      </c>
      <c r="D2830" t="s">
        <v>81</v>
      </c>
      <c r="E2830" s="77" t="s">
        <v>117</v>
      </c>
      <c r="F2830" s="77" t="s">
        <v>73</v>
      </c>
      <c r="G2830" s="77" t="s">
        <v>74</v>
      </c>
      <c r="H2830" s="77" t="s">
        <v>123</v>
      </c>
      <c r="I2830" s="77" t="s">
        <v>84</v>
      </c>
      <c r="J2830" s="76">
        <v>4.8514464106651379E-3</v>
      </c>
    </row>
    <row r="2831" spans="1:10" x14ac:dyDescent="0.35">
      <c r="A2831" t="s">
        <v>14</v>
      </c>
      <c r="B2831" t="s">
        <v>37</v>
      </c>
      <c r="C2831" s="77" t="s">
        <v>88</v>
      </c>
      <c r="D2831" t="s">
        <v>81</v>
      </c>
      <c r="E2831" s="77" t="s">
        <v>82</v>
      </c>
      <c r="F2831" s="77" t="s">
        <v>73</v>
      </c>
      <c r="G2831" s="77" t="s">
        <v>74</v>
      </c>
      <c r="H2831" s="77" t="s">
        <v>123</v>
      </c>
      <c r="I2831" s="77" t="s">
        <v>84</v>
      </c>
      <c r="J2831" s="76">
        <v>1.109418436791091E-2</v>
      </c>
    </row>
    <row r="2832" spans="1:10" x14ac:dyDescent="0.35">
      <c r="A2832" t="s">
        <v>14</v>
      </c>
      <c r="B2832" t="s">
        <v>37</v>
      </c>
      <c r="C2832" s="77" t="s">
        <v>88</v>
      </c>
      <c r="D2832" t="s">
        <v>81</v>
      </c>
      <c r="E2832" s="77" t="s">
        <v>125</v>
      </c>
      <c r="F2832" s="77" t="s">
        <v>73</v>
      </c>
      <c r="G2832" s="77" t="s">
        <v>74</v>
      </c>
      <c r="H2832" s="77" t="s">
        <v>123</v>
      </c>
      <c r="I2832" s="77" t="s">
        <v>84</v>
      </c>
      <c r="J2832" s="76">
        <v>2.890870278990243E-5</v>
      </c>
    </row>
    <row r="2833" spans="1:10" x14ac:dyDescent="0.35">
      <c r="A2833" t="s">
        <v>14</v>
      </c>
      <c r="B2833" t="s">
        <v>37</v>
      </c>
      <c r="C2833" s="77" t="s">
        <v>88</v>
      </c>
      <c r="D2833" t="s">
        <v>81</v>
      </c>
      <c r="E2833" s="77" t="s">
        <v>122</v>
      </c>
      <c r="F2833" s="77" t="s">
        <v>73</v>
      </c>
      <c r="G2833" s="77" t="s">
        <v>74</v>
      </c>
      <c r="H2833" s="77" t="s">
        <v>123</v>
      </c>
      <c r="I2833" s="77" t="s">
        <v>84</v>
      </c>
      <c r="J2833" s="76">
        <v>0</v>
      </c>
    </row>
    <row r="2834" spans="1:10" x14ac:dyDescent="0.35">
      <c r="A2834" t="s">
        <v>14</v>
      </c>
      <c r="B2834" t="s">
        <v>37</v>
      </c>
      <c r="C2834" s="77" t="s">
        <v>88</v>
      </c>
      <c r="D2834" t="s">
        <v>81</v>
      </c>
      <c r="E2834" s="77" t="s">
        <v>126</v>
      </c>
      <c r="F2834" s="77" t="s">
        <v>73</v>
      </c>
      <c r="G2834" s="77" t="s">
        <v>74</v>
      </c>
      <c r="H2834" s="77" t="s">
        <v>123</v>
      </c>
      <c r="I2834" s="77" t="s">
        <v>84</v>
      </c>
      <c r="J2834" s="76">
        <v>2.8514320987501449E-3</v>
      </c>
    </row>
    <row r="2835" spans="1:10" x14ac:dyDescent="0.35">
      <c r="A2835" t="s">
        <v>14</v>
      </c>
      <c r="B2835" t="s">
        <v>37</v>
      </c>
      <c r="C2835" s="77" t="s">
        <v>88</v>
      </c>
      <c r="D2835" t="s">
        <v>81</v>
      </c>
      <c r="E2835" s="77" t="s">
        <v>101</v>
      </c>
      <c r="F2835" s="77" t="s">
        <v>73</v>
      </c>
      <c r="G2835" s="77" t="s">
        <v>74</v>
      </c>
      <c r="H2835" s="77" t="s">
        <v>123</v>
      </c>
      <c r="I2835" s="77" t="s">
        <v>84</v>
      </c>
      <c r="J2835" s="76">
        <v>0</v>
      </c>
    </row>
    <row r="2836" spans="1:10" x14ac:dyDescent="0.35">
      <c r="A2836" t="s">
        <v>14</v>
      </c>
      <c r="B2836" t="s">
        <v>37</v>
      </c>
      <c r="C2836" s="77" t="s">
        <v>88</v>
      </c>
      <c r="D2836" t="s">
        <v>81</v>
      </c>
      <c r="E2836" s="77" t="s">
        <v>104</v>
      </c>
      <c r="F2836" s="77" t="s">
        <v>73</v>
      </c>
      <c r="G2836" s="77" t="s">
        <v>74</v>
      </c>
      <c r="H2836" s="77" t="s">
        <v>123</v>
      </c>
      <c r="I2836" s="77" t="s">
        <v>84</v>
      </c>
      <c r="J2836" s="76">
        <v>0</v>
      </c>
    </row>
    <row r="2837" spans="1:10" x14ac:dyDescent="0.35">
      <c r="A2837" t="s">
        <v>14</v>
      </c>
      <c r="B2837" t="s">
        <v>37</v>
      </c>
      <c r="C2837" s="77" t="s">
        <v>88</v>
      </c>
      <c r="D2837" t="s">
        <v>81</v>
      </c>
      <c r="E2837" s="77" t="s">
        <v>106</v>
      </c>
      <c r="F2837" s="77" t="s">
        <v>73</v>
      </c>
      <c r="G2837" s="77" t="s">
        <v>74</v>
      </c>
      <c r="H2837" s="77" t="s">
        <v>123</v>
      </c>
      <c r="I2837" s="77" t="s">
        <v>84</v>
      </c>
      <c r="J2837" s="76">
        <v>0</v>
      </c>
    </row>
    <row r="2838" spans="1:10" x14ac:dyDescent="0.35">
      <c r="A2838" t="s">
        <v>14</v>
      </c>
      <c r="B2838" t="s">
        <v>37</v>
      </c>
      <c r="C2838" s="77" t="s">
        <v>90</v>
      </c>
      <c r="D2838" t="s">
        <v>81</v>
      </c>
      <c r="E2838" s="77" t="s">
        <v>119</v>
      </c>
      <c r="F2838" s="77" t="s">
        <v>73</v>
      </c>
      <c r="G2838" s="77" t="s">
        <v>74</v>
      </c>
      <c r="H2838" s="77" t="s">
        <v>123</v>
      </c>
      <c r="I2838" s="77" t="s">
        <v>84</v>
      </c>
      <c r="J2838" s="76">
        <f>'SUT_EU27 total'!$M$56</f>
        <v>2.949251079979006E-2</v>
      </c>
    </row>
    <row r="2839" spans="1:10" x14ac:dyDescent="0.35">
      <c r="A2839" t="s">
        <v>14</v>
      </c>
      <c r="B2839" t="s">
        <v>37</v>
      </c>
      <c r="C2839" s="77" t="s">
        <v>90</v>
      </c>
      <c r="D2839" t="s">
        <v>81</v>
      </c>
      <c r="E2839" s="77" t="s">
        <v>124</v>
      </c>
      <c r="F2839" s="77" t="s">
        <v>73</v>
      </c>
      <c r="G2839" s="77" t="s">
        <v>74</v>
      </c>
      <c r="H2839" s="77" t="s">
        <v>123</v>
      </c>
      <c r="I2839" s="77" t="s">
        <v>84</v>
      </c>
      <c r="J2839" s="76" cm="1">
        <f t="array" ref="J2839:J2847">'SUT_EU27 total'!$L$60:$L$68</f>
        <v>2.1047443073980527E-5</v>
      </c>
    </row>
    <row r="2840" spans="1:10" x14ac:dyDescent="0.35">
      <c r="A2840" t="s">
        <v>14</v>
      </c>
      <c r="B2840" t="s">
        <v>37</v>
      </c>
      <c r="C2840" s="77" t="s">
        <v>90</v>
      </c>
      <c r="D2840" t="s">
        <v>81</v>
      </c>
      <c r="E2840" s="77" t="s">
        <v>117</v>
      </c>
      <c r="F2840" s="77" t="s">
        <v>73</v>
      </c>
      <c r="G2840" s="77" t="s">
        <v>74</v>
      </c>
      <c r="H2840" s="77" t="s">
        <v>123</v>
      </c>
      <c r="I2840" s="77" t="s">
        <v>84</v>
      </c>
      <c r="J2840" s="76">
        <v>5.8414015621608938E-3</v>
      </c>
    </row>
    <row r="2841" spans="1:10" x14ac:dyDescent="0.35">
      <c r="A2841" t="s">
        <v>14</v>
      </c>
      <c r="B2841" t="s">
        <v>37</v>
      </c>
      <c r="C2841" s="77" t="s">
        <v>90</v>
      </c>
      <c r="D2841" t="s">
        <v>81</v>
      </c>
      <c r="E2841" s="77" t="s">
        <v>82</v>
      </c>
      <c r="F2841" s="77" t="s">
        <v>73</v>
      </c>
      <c r="G2841" s="77" t="s">
        <v>74</v>
      </c>
      <c r="H2841" s="77" t="s">
        <v>123</v>
      </c>
      <c r="I2841" s="77" t="s">
        <v>84</v>
      </c>
      <c r="J2841" s="76">
        <v>1.4521138379047227E-3</v>
      </c>
    </row>
    <row r="2842" spans="1:10" x14ac:dyDescent="0.35">
      <c r="A2842" t="s">
        <v>14</v>
      </c>
      <c r="B2842" t="s">
        <v>37</v>
      </c>
      <c r="C2842" s="77" t="s">
        <v>90</v>
      </c>
      <c r="D2842" t="s">
        <v>81</v>
      </c>
      <c r="E2842" s="77" t="s">
        <v>125</v>
      </c>
      <c r="F2842" s="77" t="s">
        <v>73</v>
      </c>
      <c r="G2842" s="77" t="s">
        <v>74</v>
      </c>
      <c r="H2842" s="77" t="s">
        <v>123</v>
      </c>
      <c r="I2842" s="77" t="s">
        <v>84</v>
      </c>
      <c r="J2842" s="76">
        <v>6.5130870114372285E-5</v>
      </c>
    </row>
    <row r="2843" spans="1:10" x14ac:dyDescent="0.35">
      <c r="A2843" t="s">
        <v>14</v>
      </c>
      <c r="B2843" t="s">
        <v>37</v>
      </c>
      <c r="C2843" s="77" t="s">
        <v>90</v>
      </c>
      <c r="D2843" t="s">
        <v>81</v>
      </c>
      <c r="E2843" s="77" t="s">
        <v>122</v>
      </c>
      <c r="F2843" s="77" t="s">
        <v>73</v>
      </c>
      <c r="G2843" s="77" t="s">
        <v>74</v>
      </c>
      <c r="H2843" s="77" t="s">
        <v>123</v>
      </c>
      <c r="I2843" s="77" t="s">
        <v>84</v>
      </c>
      <c r="J2843" s="76">
        <v>7.9476813317479189E-4</v>
      </c>
    </row>
    <row r="2844" spans="1:10" x14ac:dyDescent="0.35">
      <c r="A2844" t="s">
        <v>14</v>
      </c>
      <c r="B2844" t="s">
        <v>37</v>
      </c>
      <c r="C2844" s="77" t="s">
        <v>90</v>
      </c>
      <c r="D2844" t="s">
        <v>81</v>
      </c>
      <c r="E2844" s="77" t="s">
        <v>126</v>
      </c>
      <c r="F2844" s="77" t="s">
        <v>73</v>
      </c>
      <c r="G2844" s="77" t="s">
        <v>74</v>
      </c>
      <c r="H2844" s="77" t="s">
        <v>123</v>
      </c>
      <c r="I2844" s="77" t="s">
        <v>84</v>
      </c>
      <c r="J2844" s="76">
        <v>8.4821183458843076E-3</v>
      </c>
    </row>
    <row r="2845" spans="1:10" x14ac:dyDescent="0.35">
      <c r="A2845" t="s">
        <v>14</v>
      </c>
      <c r="B2845" t="s">
        <v>37</v>
      </c>
      <c r="C2845" s="77" t="s">
        <v>90</v>
      </c>
      <c r="D2845" t="s">
        <v>81</v>
      </c>
      <c r="E2845" s="77" t="s">
        <v>101</v>
      </c>
      <c r="F2845" s="77" t="s">
        <v>73</v>
      </c>
      <c r="G2845" s="77" t="s">
        <v>74</v>
      </c>
      <c r="H2845" s="77" t="s">
        <v>123</v>
      </c>
      <c r="I2845" s="77" t="s">
        <v>84</v>
      </c>
      <c r="J2845" s="76">
        <v>0</v>
      </c>
    </row>
    <row r="2846" spans="1:10" x14ac:dyDescent="0.35">
      <c r="A2846" t="s">
        <v>14</v>
      </c>
      <c r="B2846" t="s">
        <v>37</v>
      </c>
      <c r="C2846" s="77" t="s">
        <v>90</v>
      </c>
      <c r="D2846" t="s">
        <v>81</v>
      </c>
      <c r="E2846" s="77" t="s">
        <v>104</v>
      </c>
      <c r="F2846" s="77" t="s">
        <v>73</v>
      </c>
      <c r="G2846" s="77" t="s">
        <v>74</v>
      </c>
      <c r="H2846" s="77" t="s">
        <v>123</v>
      </c>
      <c r="I2846" s="77" t="s">
        <v>84</v>
      </c>
      <c r="J2846" s="76">
        <v>0</v>
      </c>
    </row>
    <row r="2847" spans="1:10" x14ac:dyDescent="0.35">
      <c r="A2847" t="s">
        <v>14</v>
      </c>
      <c r="B2847" t="s">
        <v>37</v>
      </c>
      <c r="C2847" s="77" t="s">
        <v>90</v>
      </c>
      <c r="D2847" t="s">
        <v>81</v>
      </c>
      <c r="E2847" s="77" t="s">
        <v>106</v>
      </c>
      <c r="F2847" s="77" t="s">
        <v>73</v>
      </c>
      <c r="G2847" s="77" t="s">
        <v>74</v>
      </c>
      <c r="H2847" s="77" t="s">
        <v>123</v>
      </c>
      <c r="I2847" s="77" t="s">
        <v>84</v>
      </c>
      <c r="J2847" s="76">
        <v>0</v>
      </c>
    </row>
    <row r="2848" spans="1:10" x14ac:dyDescent="0.35">
      <c r="A2848" t="s">
        <v>14</v>
      </c>
      <c r="B2848" t="s">
        <v>37</v>
      </c>
      <c r="C2848" s="77" t="s">
        <v>91</v>
      </c>
      <c r="D2848" t="s">
        <v>81</v>
      </c>
      <c r="E2848" s="77" t="s">
        <v>119</v>
      </c>
      <c r="F2848" s="77" t="s">
        <v>73</v>
      </c>
      <c r="G2848" s="77" t="s">
        <v>74</v>
      </c>
      <c r="H2848" s="77" t="s">
        <v>123</v>
      </c>
      <c r="I2848" s="77" t="s">
        <v>84</v>
      </c>
      <c r="J2848" s="76">
        <f>'SUT_EU27 total'!$L$73</f>
        <v>0.15097500908393557</v>
      </c>
    </row>
    <row r="2849" spans="1:10" x14ac:dyDescent="0.35">
      <c r="A2849" t="s">
        <v>14</v>
      </c>
      <c r="B2849" t="s">
        <v>37</v>
      </c>
      <c r="C2849" s="77" t="s">
        <v>91</v>
      </c>
      <c r="D2849" t="s">
        <v>81</v>
      </c>
      <c r="E2849" s="77" t="s">
        <v>124</v>
      </c>
      <c r="F2849" s="77" t="s">
        <v>73</v>
      </c>
      <c r="G2849" s="77" t="s">
        <v>74</v>
      </c>
      <c r="H2849" s="77" t="s">
        <v>123</v>
      </c>
      <c r="I2849" s="77" t="s">
        <v>84</v>
      </c>
      <c r="J2849" s="76" cm="1">
        <f t="array" ref="J2849:J2857">'SUT_EU27 total'!$L$77:$L$85</f>
        <v>6.7728942399646885E-5</v>
      </c>
    </row>
    <row r="2850" spans="1:10" x14ac:dyDescent="0.35">
      <c r="A2850" t="s">
        <v>14</v>
      </c>
      <c r="B2850" t="s">
        <v>37</v>
      </c>
      <c r="C2850" s="77" t="s">
        <v>91</v>
      </c>
      <c r="D2850" t="s">
        <v>81</v>
      </c>
      <c r="E2850" s="77" t="s">
        <v>117</v>
      </c>
      <c r="F2850" s="77" t="s">
        <v>73</v>
      </c>
      <c r="G2850" s="77" t="s">
        <v>74</v>
      </c>
      <c r="H2850" s="77" t="s">
        <v>123</v>
      </c>
      <c r="I2850" s="77" t="s">
        <v>84</v>
      </c>
      <c r="J2850" s="76">
        <v>5.6233849622410815E-3</v>
      </c>
    </row>
    <row r="2851" spans="1:10" x14ac:dyDescent="0.35">
      <c r="A2851" t="s">
        <v>14</v>
      </c>
      <c r="B2851" t="s">
        <v>37</v>
      </c>
      <c r="C2851" s="77" t="s">
        <v>91</v>
      </c>
      <c r="D2851" t="s">
        <v>81</v>
      </c>
      <c r="E2851" s="77" t="s">
        <v>82</v>
      </c>
      <c r="F2851" s="77" t="s">
        <v>73</v>
      </c>
      <c r="G2851" s="77" t="s">
        <v>74</v>
      </c>
      <c r="H2851" s="77" t="s">
        <v>123</v>
      </c>
      <c r="I2851" s="77" t="s">
        <v>84</v>
      </c>
      <c r="J2851" s="76">
        <v>1.8068055269127655E-3</v>
      </c>
    </row>
    <row r="2852" spans="1:10" x14ac:dyDescent="0.35">
      <c r="A2852" t="s">
        <v>14</v>
      </c>
      <c r="B2852" t="s">
        <v>37</v>
      </c>
      <c r="C2852" s="77" t="s">
        <v>91</v>
      </c>
      <c r="D2852" t="s">
        <v>81</v>
      </c>
      <c r="E2852" s="77" t="s">
        <v>125</v>
      </c>
      <c r="F2852" s="77" t="s">
        <v>73</v>
      </c>
      <c r="G2852" s="77" t="s">
        <v>74</v>
      </c>
      <c r="H2852" s="77" t="s">
        <v>123</v>
      </c>
      <c r="I2852" s="77" t="s">
        <v>84</v>
      </c>
      <c r="J2852" s="76">
        <v>5.6492118062760293E-6</v>
      </c>
    </row>
    <row r="2853" spans="1:10" x14ac:dyDescent="0.35">
      <c r="A2853" t="s">
        <v>14</v>
      </c>
      <c r="B2853" t="s">
        <v>37</v>
      </c>
      <c r="C2853" s="77" t="s">
        <v>91</v>
      </c>
      <c r="D2853" t="s">
        <v>81</v>
      </c>
      <c r="E2853" s="77" t="s">
        <v>122</v>
      </c>
      <c r="F2853" s="77" t="s">
        <v>73</v>
      </c>
      <c r="G2853" s="77" t="s">
        <v>74</v>
      </c>
      <c r="H2853" s="77" t="s">
        <v>123</v>
      </c>
      <c r="I2853" s="77" t="s">
        <v>84</v>
      </c>
      <c r="J2853" s="76">
        <v>0</v>
      </c>
    </row>
    <row r="2854" spans="1:10" x14ac:dyDescent="0.35">
      <c r="A2854" t="s">
        <v>14</v>
      </c>
      <c r="B2854" t="s">
        <v>37</v>
      </c>
      <c r="C2854" s="77" t="s">
        <v>91</v>
      </c>
      <c r="D2854" t="s">
        <v>81</v>
      </c>
      <c r="E2854" s="77" t="s">
        <v>126</v>
      </c>
      <c r="F2854" s="77" t="s">
        <v>73</v>
      </c>
      <c r="G2854" s="77" t="s">
        <v>74</v>
      </c>
      <c r="H2854" s="77" t="s">
        <v>123</v>
      </c>
      <c r="I2854" s="77" t="s">
        <v>84</v>
      </c>
      <c r="J2854" s="76">
        <v>8.1093795177776388E-4</v>
      </c>
    </row>
    <row r="2855" spans="1:10" x14ac:dyDescent="0.35">
      <c r="A2855" t="s">
        <v>14</v>
      </c>
      <c r="B2855" t="s">
        <v>37</v>
      </c>
      <c r="C2855" s="77" t="s">
        <v>91</v>
      </c>
      <c r="D2855" t="s">
        <v>81</v>
      </c>
      <c r="E2855" s="77" t="s">
        <v>101</v>
      </c>
      <c r="F2855" s="77" t="s">
        <v>73</v>
      </c>
      <c r="G2855" s="77" t="s">
        <v>74</v>
      </c>
      <c r="H2855" s="77" t="s">
        <v>123</v>
      </c>
      <c r="I2855" s="77" t="s">
        <v>84</v>
      </c>
      <c r="J2855" s="76">
        <v>0</v>
      </c>
    </row>
    <row r="2856" spans="1:10" x14ac:dyDescent="0.35">
      <c r="A2856" t="s">
        <v>14</v>
      </c>
      <c r="B2856" t="s">
        <v>37</v>
      </c>
      <c r="C2856" s="77" t="s">
        <v>91</v>
      </c>
      <c r="D2856" t="s">
        <v>81</v>
      </c>
      <c r="E2856" s="77" t="s">
        <v>104</v>
      </c>
      <c r="F2856" s="77" t="s">
        <v>73</v>
      </c>
      <c r="G2856" s="77" t="s">
        <v>74</v>
      </c>
      <c r="H2856" s="77" t="s">
        <v>123</v>
      </c>
      <c r="I2856" s="77" t="s">
        <v>84</v>
      </c>
      <c r="J2856" s="76">
        <v>0</v>
      </c>
    </row>
    <row r="2857" spans="1:10" x14ac:dyDescent="0.35">
      <c r="A2857" t="s">
        <v>14</v>
      </c>
      <c r="B2857" t="s">
        <v>37</v>
      </c>
      <c r="C2857" s="77" t="s">
        <v>91</v>
      </c>
      <c r="D2857" t="s">
        <v>81</v>
      </c>
      <c r="E2857" s="77" t="s">
        <v>106</v>
      </c>
      <c r="F2857" s="77" t="s">
        <v>73</v>
      </c>
      <c r="G2857" s="77" t="s">
        <v>74</v>
      </c>
      <c r="H2857" s="77" t="s">
        <v>123</v>
      </c>
      <c r="I2857" s="77" t="s">
        <v>84</v>
      </c>
      <c r="J2857" s="76">
        <v>0</v>
      </c>
    </row>
    <row r="2858" spans="1:10" x14ac:dyDescent="0.35">
      <c r="A2858" t="s">
        <v>14</v>
      </c>
      <c r="B2858" t="s">
        <v>37</v>
      </c>
      <c r="C2858" s="77" t="s">
        <v>92</v>
      </c>
      <c r="D2858" t="s">
        <v>81</v>
      </c>
      <c r="E2858" s="77" t="s">
        <v>119</v>
      </c>
      <c r="F2858" s="77" t="s">
        <v>73</v>
      </c>
      <c r="G2858" s="77" t="s">
        <v>74</v>
      </c>
      <c r="H2858" s="77" t="s">
        <v>123</v>
      </c>
      <c r="I2858" s="77" t="s">
        <v>84</v>
      </c>
      <c r="J2858" s="76">
        <f>'SUT_EU27 total'!$L$90</f>
        <v>0.13886309499777949</v>
      </c>
    </row>
    <row r="2859" spans="1:10" x14ac:dyDescent="0.35">
      <c r="A2859" t="s">
        <v>14</v>
      </c>
      <c r="B2859" t="s">
        <v>37</v>
      </c>
      <c r="C2859" s="77" t="s">
        <v>92</v>
      </c>
      <c r="D2859" t="s">
        <v>81</v>
      </c>
      <c r="E2859" s="77" t="s">
        <v>124</v>
      </c>
      <c r="F2859" s="77" t="s">
        <v>73</v>
      </c>
      <c r="G2859" s="77" t="s">
        <v>74</v>
      </c>
      <c r="H2859" s="77" t="s">
        <v>123</v>
      </c>
      <c r="I2859" s="77" t="s">
        <v>84</v>
      </c>
      <c r="J2859" s="76" cm="1">
        <f t="array" ref="J2859:J2867">'SUT_EU27 total'!$L$94:$L$102</f>
        <v>9.2968907089085616E-5</v>
      </c>
    </row>
    <row r="2860" spans="1:10" x14ac:dyDescent="0.35">
      <c r="A2860" t="s">
        <v>14</v>
      </c>
      <c r="B2860" t="s">
        <v>37</v>
      </c>
      <c r="C2860" s="77" t="s">
        <v>92</v>
      </c>
      <c r="D2860" t="s">
        <v>81</v>
      </c>
      <c r="E2860" s="77" t="s">
        <v>117</v>
      </c>
      <c r="F2860" s="77" t="s">
        <v>73</v>
      </c>
      <c r="G2860" s="77" t="s">
        <v>74</v>
      </c>
      <c r="H2860" s="77" t="s">
        <v>123</v>
      </c>
      <c r="I2860" s="77" t="s">
        <v>84</v>
      </c>
      <c r="J2860" s="76">
        <v>0</v>
      </c>
    </row>
    <row r="2861" spans="1:10" x14ac:dyDescent="0.35">
      <c r="A2861" t="s">
        <v>14</v>
      </c>
      <c r="B2861" t="s">
        <v>37</v>
      </c>
      <c r="C2861" s="77" t="s">
        <v>92</v>
      </c>
      <c r="D2861" t="s">
        <v>81</v>
      </c>
      <c r="E2861" s="77" t="s">
        <v>82</v>
      </c>
      <c r="F2861" s="77" t="s">
        <v>73</v>
      </c>
      <c r="G2861" s="77" t="s">
        <v>74</v>
      </c>
      <c r="H2861" s="77" t="s">
        <v>123</v>
      </c>
      <c r="I2861" s="77" t="s">
        <v>84</v>
      </c>
      <c r="J2861" s="76">
        <v>1.1251392039595793E-3</v>
      </c>
    </row>
    <row r="2862" spans="1:10" x14ac:dyDescent="0.35">
      <c r="A2862" t="s">
        <v>14</v>
      </c>
      <c r="B2862" t="s">
        <v>37</v>
      </c>
      <c r="C2862" s="77" t="s">
        <v>92</v>
      </c>
      <c r="D2862" t="s">
        <v>81</v>
      </c>
      <c r="E2862" s="77" t="s">
        <v>125</v>
      </c>
      <c r="F2862" s="77" t="s">
        <v>73</v>
      </c>
      <c r="G2862" s="77" t="s">
        <v>74</v>
      </c>
      <c r="H2862" s="77" t="s">
        <v>123</v>
      </c>
      <c r="I2862" s="77" t="s">
        <v>84</v>
      </c>
      <c r="J2862" s="76">
        <v>5.0048817841215026E-7</v>
      </c>
    </row>
    <row r="2863" spans="1:10" x14ac:dyDescent="0.35">
      <c r="A2863" t="s">
        <v>14</v>
      </c>
      <c r="B2863" t="s">
        <v>37</v>
      </c>
      <c r="C2863" s="77" t="s">
        <v>92</v>
      </c>
      <c r="D2863" t="s">
        <v>81</v>
      </c>
      <c r="E2863" s="77" t="s">
        <v>122</v>
      </c>
      <c r="F2863" s="77" t="s">
        <v>73</v>
      </c>
      <c r="G2863" s="77" t="s">
        <v>74</v>
      </c>
      <c r="H2863" s="77" t="s">
        <v>123</v>
      </c>
      <c r="I2863" s="77" t="s">
        <v>84</v>
      </c>
      <c r="J2863" s="76">
        <v>0</v>
      </c>
    </row>
    <row r="2864" spans="1:10" x14ac:dyDescent="0.35">
      <c r="A2864" t="s">
        <v>14</v>
      </c>
      <c r="B2864" t="s">
        <v>37</v>
      </c>
      <c r="C2864" s="77" t="s">
        <v>92</v>
      </c>
      <c r="D2864" t="s">
        <v>81</v>
      </c>
      <c r="E2864" s="77" t="s">
        <v>126</v>
      </c>
      <c r="F2864" s="77" t="s">
        <v>73</v>
      </c>
      <c r="G2864" s="77" t="s">
        <v>74</v>
      </c>
      <c r="H2864" s="77" t="s">
        <v>123</v>
      </c>
      <c r="I2864" s="77" t="s">
        <v>84</v>
      </c>
      <c r="J2864" s="76">
        <v>0</v>
      </c>
    </row>
    <row r="2865" spans="1:10" x14ac:dyDescent="0.35">
      <c r="A2865" t="s">
        <v>14</v>
      </c>
      <c r="B2865" t="s">
        <v>37</v>
      </c>
      <c r="C2865" s="77" t="s">
        <v>92</v>
      </c>
      <c r="D2865" t="s">
        <v>81</v>
      </c>
      <c r="E2865" s="77" t="s">
        <v>101</v>
      </c>
      <c r="F2865" s="77" t="s">
        <v>73</v>
      </c>
      <c r="G2865" s="77" t="s">
        <v>74</v>
      </c>
      <c r="H2865" s="77" t="s">
        <v>123</v>
      </c>
      <c r="I2865" s="77" t="s">
        <v>84</v>
      </c>
      <c r="J2865" s="76">
        <v>0</v>
      </c>
    </row>
    <row r="2866" spans="1:10" x14ac:dyDescent="0.35">
      <c r="A2866" t="s">
        <v>14</v>
      </c>
      <c r="B2866" t="s">
        <v>37</v>
      </c>
      <c r="C2866" s="77" t="s">
        <v>92</v>
      </c>
      <c r="D2866" t="s">
        <v>81</v>
      </c>
      <c r="E2866" s="77" t="s">
        <v>104</v>
      </c>
      <c r="F2866" s="77" t="s">
        <v>73</v>
      </c>
      <c r="G2866" s="77" t="s">
        <v>74</v>
      </c>
      <c r="H2866" s="77" t="s">
        <v>123</v>
      </c>
      <c r="I2866" s="77" t="s">
        <v>84</v>
      </c>
      <c r="J2866" s="76">
        <v>0</v>
      </c>
    </row>
    <row r="2867" spans="1:10" x14ac:dyDescent="0.35">
      <c r="A2867" t="s">
        <v>14</v>
      </c>
      <c r="B2867" t="s">
        <v>37</v>
      </c>
      <c r="C2867" s="77" t="s">
        <v>92</v>
      </c>
      <c r="D2867" t="s">
        <v>81</v>
      </c>
      <c r="E2867" s="77" t="s">
        <v>106</v>
      </c>
      <c r="F2867" s="77" t="s">
        <v>73</v>
      </c>
      <c r="G2867" s="77" t="s">
        <v>74</v>
      </c>
      <c r="H2867" s="77" t="s">
        <v>123</v>
      </c>
      <c r="I2867" s="77" t="s">
        <v>84</v>
      </c>
      <c r="J2867" s="76">
        <v>0</v>
      </c>
    </row>
    <row r="2868" spans="1:10" x14ac:dyDescent="0.35">
      <c r="A2868" t="s">
        <v>14</v>
      </c>
      <c r="B2868" t="s">
        <v>37</v>
      </c>
      <c r="C2868" s="77" t="s">
        <v>93</v>
      </c>
      <c r="D2868" t="s">
        <v>81</v>
      </c>
      <c r="E2868" s="77" t="s">
        <v>119</v>
      </c>
      <c r="F2868" s="77" t="s">
        <v>73</v>
      </c>
      <c r="G2868" s="77" t="s">
        <v>74</v>
      </c>
      <c r="H2868" s="77" t="s">
        <v>123</v>
      </c>
      <c r="I2868" s="77" t="s">
        <v>84</v>
      </c>
      <c r="J2868" s="76">
        <f>'SUT_EU27 total'!$L$107</f>
        <v>1.0000807460939076</v>
      </c>
    </row>
    <row r="2869" spans="1:10" x14ac:dyDescent="0.35">
      <c r="A2869" t="s">
        <v>14</v>
      </c>
      <c r="B2869" t="s">
        <v>37</v>
      </c>
      <c r="C2869" s="77" t="s">
        <v>93</v>
      </c>
      <c r="D2869" t="s">
        <v>81</v>
      </c>
      <c r="E2869" s="77" t="s">
        <v>124</v>
      </c>
      <c r="F2869" s="77" t="s">
        <v>73</v>
      </c>
      <c r="G2869" s="77" t="s">
        <v>74</v>
      </c>
      <c r="H2869" s="77" t="s">
        <v>123</v>
      </c>
      <c r="I2869" s="77" t="s">
        <v>84</v>
      </c>
      <c r="J2869" s="76" cm="1">
        <f t="array" ref="J2869:J2877">'SUT_EU27 total'!$L$111:$L$119</f>
        <v>3.7052409430862396E-4</v>
      </c>
    </row>
    <row r="2870" spans="1:10" x14ac:dyDescent="0.35">
      <c r="A2870" t="s">
        <v>14</v>
      </c>
      <c r="B2870" t="s">
        <v>37</v>
      </c>
      <c r="C2870" s="77" t="s">
        <v>93</v>
      </c>
      <c r="D2870" t="s">
        <v>81</v>
      </c>
      <c r="E2870" s="77" t="s">
        <v>117</v>
      </c>
      <c r="F2870" s="77" t="s">
        <v>73</v>
      </c>
      <c r="G2870" s="77" t="s">
        <v>74</v>
      </c>
      <c r="H2870" s="77" t="s">
        <v>123</v>
      </c>
      <c r="I2870" s="77" t="s">
        <v>84</v>
      </c>
      <c r="J2870" s="76">
        <v>5.8414042458127093E-3</v>
      </c>
    </row>
    <row r="2871" spans="1:10" x14ac:dyDescent="0.35">
      <c r="A2871" t="s">
        <v>14</v>
      </c>
      <c r="B2871" t="s">
        <v>37</v>
      </c>
      <c r="C2871" s="77" t="s">
        <v>93</v>
      </c>
      <c r="D2871" t="s">
        <v>81</v>
      </c>
      <c r="E2871" s="77" t="s">
        <v>82</v>
      </c>
      <c r="F2871" s="77" t="s">
        <v>73</v>
      </c>
      <c r="G2871" s="77" t="s">
        <v>74</v>
      </c>
      <c r="H2871" s="77" t="s">
        <v>123</v>
      </c>
      <c r="I2871" s="77" t="s">
        <v>84</v>
      </c>
      <c r="J2871" s="76">
        <v>5.0319447308723453E-3</v>
      </c>
    </row>
    <row r="2872" spans="1:10" x14ac:dyDescent="0.35">
      <c r="A2872" t="s">
        <v>14</v>
      </c>
      <c r="B2872" t="s">
        <v>37</v>
      </c>
      <c r="C2872" s="77" t="s">
        <v>93</v>
      </c>
      <c r="D2872" t="s">
        <v>81</v>
      </c>
      <c r="E2872" s="77" t="s">
        <v>125</v>
      </c>
      <c r="F2872" s="77" t="s">
        <v>73</v>
      </c>
      <c r="G2872" s="77" t="s">
        <v>74</v>
      </c>
      <c r="H2872" s="77" t="s">
        <v>123</v>
      </c>
      <c r="I2872" s="77" t="s">
        <v>84</v>
      </c>
      <c r="J2872" s="76">
        <v>4.336096678710085E-4</v>
      </c>
    </row>
    <row r="2873" spans="1:10" x14ac:dyDescent="0.35">
      <c r="A2873" t="s">
        <v>14</v>
      </c>
      <c r="B2873" t="s">
        <v>37</v>
      </c>
      <c r="C2873" s="77" t="s">
        <v>93</v>
      </c>
      <c r="D2873" t="s">
        <v>81</v>
      </c>
      <c r="E2873" s="77" t="s">
        <v>122</v>
      </c>
      <c r="F2873" s="77" t="s">
        <v>73</v>
      </c>
      <c r="G2873" s="77" t="s">
        <v>74</v>
      </c>
      <c r="H2873" s="77" t="s">
        <v>123</v>
      </c>
      <c r="I2873" s="77" t="s">
        <v>84</v>
      </c>
      <c r="J2873" s="76">
        <v>2.7129607609988112E-3</v>
      </c>
    </row>
    <row r="2874" spans="1:10" x14ac:dyDescent="0.35">
      <c r="A2874" t="s">
        <v>14</v>
      </c>
      <c r="B2874" t="s">
        <v>37</v>
      </c>
      <c r="C2874" s="77" t="s">
        <v>93</v>
      </c>
      <c r="D2874" t="s">
        <v>81</v>
      </c>
      <c r="E2874" s="77" t="s">
        <v>126</v>
      </c>
      <c r="F2874" s="77" t="s">
        <v>73</v>
      </c>
      <c r="G2874" s="77" t="s">
        <v>74</v>
      </c>
      <c r="H2874" s="77" t="s">
        <v>123</v>
      </c>
      <c r="I2874" s="77" t="s">
        <v>84</v>
      </c>
      <c r="J2874" s="76">
        <v>4.3855511603587784E-2</v>
      </c>
    </row>
    <row r="2875" spans="1:10" x14ac:dyDescent="0.35">
      <c r="A2875" t="s">
        <v>14</v>
      </c>
      <c r="B2875" t="s">
        <v>37</v>
      </c>
      <c r="C2875" s="77" t="s">
        <v>93</v>
      </c>
      <c r="D2875" t="s">
        <v>81</v>
      </c>
      <c r="E2875" s="77" t="s">
        <v>101</v>
      </c>
      <c r="F2875" s="77" t="s">
        <v>73</v>
      </c>
      <c r="G2875" s="77" t="s">
        <v>74</v>
      </c>
      <c r="H2875" s="77" t="s">
        <v>123</v>
      </c>
      <c r="I2875" s="77" t="s">
        <v>84</v>
      </c>
      <c r="J2875" s="76">
        <v>0</v>
      </c>
    </row>
    <row r="2876" spans="1:10" x14ac:dyDescent="0.35">
      <c r="A2876" t="s">
        <v>14</v>
      </c>
      <c r="B2876" t="s">
        <v>37</v>
      </c>
      <c r="C2876" s="77" t="s">
        <v>93</v>
      </c>
      <c r="D2876" t="s">
        <v>81</v>
      </c>
      <c r="E2876" s="77" t="s">
        <v>104</v>
      </c>
      <c r="F2876" s="77" t="s">
        <v>73</v>
      </c>
      <c r="G2876" s="77" t="s">
        <v>74</v>
      </c>
      <c r="H2876" s="77" t="s">
        <v>123</v>
      </c>
      <c r="I2876" s="77" t="s">
        <v>84</v>
      </c>
      <c r="J2876" s="76">
        <v>0</v>
      </c>
    </row>
    <row r="2877" spans="1:10" x14ac:dyDescent="0.35">
      <c r="A2877" t="s">
        <v>14</v>
      </c>
      <c r="B2877" t="s">
        <v>37</v>
      </c>
      <c r="C2877" s="77" t="s">
        <v>93</v>
      </c>
      <c r="D2877" t="s">
        <v>81</v>
      </c>
      <c r="E2877" s="77" t="s">
        <v>106</v>
      </c>
      <c r="F2877" s="77" t="s">
        <v>73</v>
      </c>
      <c r="G2877" s="77" t="s">
        <v>74</v>
      </c>
      <c r="H2877" s="77" t="s">
        <v>123</v>
      </c>
      <c r="I2877" s="77" t="s">
        <v>84</v>
      </c>
      <c r="J2877" s="76">
        <v>0</v>
      </c>
    </row>
    <row r="2878" spans="1:10" x14ac:dyDescent="0.35">
      <c r="A2878" t="s">
        <v>14</v>
      </c>
      <c r="B2878" t="s">
        <v>37</v>
      </c>
      <c r="C2878" s="77" t="s">
        <v>73</v>
      </c>
      <c r="D2878" t="s">
        <v>81</v>
      </c>
      <c r="E2878" s="77" t="s">
        <v>119</v>
      </c>
      <c r="F2878" s="77" t="s">
        <v>73</v>
      </c>
      <c r="G2878" s="77" t="s">
        <v>74</v>
      </c>
      <c r="H2878" s="77" t="s">
        <v>127</v>
      </c>
      <c r="I2878" s="77" t="s">
        <v>84</v>
      </c>
      <c r="J2878" s="76">
        <f>'SUT_EU27 total'!$M$22</f>
        <v>1.9500181678711294E-2</v>
      </c>
    </row>
    <row r="2879" spans="1:10" x14ac:dyDescent="0.35">
      <c r="A2879" t="s">
        <v>14</v>
      </c>
      <c r="B2879" t="s">
        <v>37</v>
      </c>
      <c r="C2879" s="77" t="s">
        <v>73</v>
      </c>
      <c r="D2879" t="s">
        <v>81</v>
      </c>
      <c r="E2879" s="77" t="s">
        <v>124</v>
      </c>
      <c r="F2879" s="77" t="s">
        <v>73</v>
      </c>
      <c r="G2879" s="77" t="s">
        <v>74</v>
      </c>
      <c r="H2879" s="77" t="s">
        <v>127</v>
      </c>
      <c r="I2879" s="77" t="s">
        <v>84</v>
      </c>
      <c r="J2879" s="76" cm="1">
        <f t="array" ref="J2879:J2887">'SUT_EU27 total'!$M$26:$M$34</f>
        <v>1.9404661061278542E-3</v>
      </c>
    </row>
    <row r="2880" spans="1:10" x14ac:dyDescent="0.35">
      <c r="A2880" t="s">
        <v>14</v>
      </c>
      <c r="B2880" t="s">
        <v>37</v>
      </c>
      <c r="C2880" s="77" t="s">
        <v>73</v>
      </c>
      <c r="D2880" t="s">
        <v>81</v>
      </c>
      <c r="E2880" s="77" t="s">
        <v>117</v>
      </c>
      <c r="F2880" s="77" t="s">
        <v>73</v>
      </c>
      <c r="G2880" s="77" t="s">
        <v>74</v>
      </c>
      <c r="H2880" s="77" t="s">
        <v>127</v>
      </c>
      <c r="I2880" s="77" t="s">
        <v>84</v>
      </c>
      <c r="J2880" s="76">
        <v>5.8423628191201782E-3</v>
      </c>
    </row>
    <row r="2881" spans="1:10" x14ac:dyDescent="0.35">
      <c r="A2881" t="s">
        <v>14</v>
      </c>
      <c r="B2881" t="s">
        <v>37</v>
      </c>
      <c r="C2881" s="77" t="s">
        <v>73</v>
      </c>
      <c r="D2881" t="s">
        <v>81</v>
      </c>
      <c r="E2881" s="77" t="s">
        <v>82</v>
      </c>
      <c r="F2881" s="77" t="s">
        <v>73</v>
      </c>
      <c r="G2881" s="77" t="s">
        <v>74</v>
      </c>
      <c r="H2881" s="77" t="s">
        <v>127</v>
      </c>
      <c r="I2881" s="77" t="s">
        <v>84</v>
      </c>
      <c r="J2881" s="76">
        <v>4.8981233243967828E-4</v>
      </c>
    </row>
    <row r="2882" spans="1:10" x14ac:dyDescent="0.35">
      <c r="A2882" t="s">
        <v>14</v>
      </c>
      <c r="B2882" t="s">
        <v>37</v>
      </c>
      <c r="C2882" s="77" t="s">
        <v>73</v>
      </c>
      <c r="D2882" t="s">
        <v>81</v>
      </c>
      <c r="E2882" s="77" t="s">
        <v>125</v>
      </c>
      <c r="F2882" s="77" t="s">
        <v>73</v>
      </c>
      <c r="G2882" s="77" t="s">
        <v>74</v>
      </c>
      <c r="H2882" s="77" t="s">
        <v>127</v>
      </c>
      <c r="I2882" s="77" t="s">
        <v>84</v>
      </c>
      <c r="J2882" s="76">
        <v>2.4658201215687387E-3</v>
      </c>
    </row>
    <row r="2883" spans="1:10" x14ac:dyDescent="0.35">
      <c r="A2883" t="s">
        <v>14</v>
      </c>
      <c r="B2883" t="s">
        <v>37</v>
      </c>
      <c r="C2883" s="77" t="s">
        <v>73</v>
      </c>
      <c r="D2883" t="s">
        <v>81</v>
      </c>
      <c r="E2883" s="77" t="s">
        <v>122</v>
      </c>
      <c r="F2883" s="77" t="s">
        <v>73</v>
      </c>
      <c r="G2883" s="77" t="s">
        <v>74</v>
      </c>
      <c r="H2883" s="77" t="s">
        <v>127</v>
      </c>
      <c r="I2883" s="77" t="s">
        <v>84</v>
      </c>
      <c r="J2883" s="76">
        <v>4.922711058263972E-4</v>
      </c>
    </row>
    <row r="2884" spans="1:10" x14ac:dyDescent="0.35">
      <c r="A2884" t="s">
        <v>14</v>
      </c>
      <c r="B2884" t="s">
        <v>37</v>
      </c>
      <c r="C2884" s="77" t="s">
        <v>73</v>
      </c>
      <c r="D2884" t="s">
        <v>81</v>
      </c>
      <c r="E2884" s="77" t="s">
        <v>126</v>
      </c>
      <c r="F2884" s="77" t="s">
        <v>73</v>
      </c>
      <c r="G2884" s="77" t="s">
        <v>74</v>
      </c>
      <c r="H2884" s="77" t="s">
        <v>127</v>
      </c>
      <c r="I2884" s="77" t="s">
        <v>84</v>
      </c>
      <c r="J2884" s="76">
        <v>0</v>
      </c>
    </row>
    <row r="2885" spans="1:10" x14ac:dyDescent="0.35">
      <c r="A2885" t="s">
        <v>14</v>
      </c>
      <c r="B2885" t="s">
        <v>37</v>
      </c>
      <c r="C2885" s="77" t="s">
        <v>73</v>
      </c>
      <c r="D2885" t="s">
        <v>81</v>
      </c>
      <c r="E2885" s="77" t="s">
        <v>101</v>
      </c>
      <c r="F2885" s="77" t="s">
        <v>73</v>
      </c>
      <c r="G2885" s="77" t="s">
        <v>74</v>
      </c>
      <c r="H2885" s="77" t="s">
        <v>127</v>
      </c>
      <c r="I2885" s="77" t="s">
        <v>84</v>
      </c>
      <c r="J2885" s="76">
        <v>3.6586167200000007E-4</v>
      </c>
    </row>
    <row r="2886" spans="1:10" x14ac:dyDescent="0.35">
      <c r="A2886" t="s">
        <v>14</v>
      </c>
      <c r="B2886" t="s">
        <v>37</v>
      </c>
      <c r="C2886" s="77" t="s">
        <v>73</v>
      </c>
      <c r="D2886" t="s">
        <v>81</v>
      </c>
      <c r="E2886" s="77" t="s">
        <v>104</v>
      </c>
      <c r="F2886" s="77" t="s">
        <v>73</v>
      </c>
      <c r="G2886" s="77" t="s">
        <v>74</v>
      </c>
      <c r="H2886" s="77" t="s">
        <v>127</v>
      </c>
      <c r="I2886" s="77" t="s">
        <v>84</v>
      </c>
      <c r="J2886" s="76">
        <v>6.9272632800000005E-4</v>
      </c>
    </row>
    <row r="2887" spans="1:10" x14ac:dyDescent="0.35">
      <c r="A2887" t="s">
        <v>14</v>
      </c>
      <c r="B2887" t="s">
        <v>37</v>
      </c>
      <c r="C2887" s="77" t="s">
        <v>73</v>
      </c>
      <c r="D2887" t="s">
        <v>81</v>
      </c>
      <c r="E2887" s="77" t="s">
        <v>106</v>
      </c>
      <c r="F2887" s="77" t="s">
        <v>73</v>
      </c>
      <c r="G2887" s="77" t="s">
        <v>74</v>
      </c>
      <c r="H2887" s="77" t="s">
        <v>127</v>
      </c>
      <c r="I2887" s="77" t="s">
        <v>84</v>
      </c>
      <c r="J2887" s="76">
        <v>2.3562119999999999E-3</v>
      </c>
    </row>
    <row r="2888" spans="1:10" x14ac:dyDescent="0.35">
      <c r="A2888" t="s">
        <v>14</v>
      </c>
      <c r="B2888" t="s">
        <v>37</v>
      </c>
      <c r="C2888" s="77" t="s">
        <v>88</v>
      </c>
      <c r="D2888" t="s">
        <v>81</v>
      </c>
      <c r="E2888" s="77" t="s">
        <v>119</v>
      </c>
      <c r="F2888" s="77" t="s">
        <v>73</v>
      </c>
      <c r="G2888" s="77" t="s">
        <v>74</v>
      </c>
      <c r="H2888" s="77" t="s">
        <v>127</v>
      </c>
      <c r="I2888" s="77" t="s">
        <v>84</v>
      </c>
      <c r="J2888" s="76">
        <f>'SUT_EU27 total'!$M$39</f>
        <v>0.16108845734587587</v>
      </c>
    </row>
    <row r="2889" spans="1:10" x14ac:dyDescent="0.35">
      <c r="A2889" t="s">
        <v>14</v>
      </c>
      <c r="B2889" t="s">
        <v>37</v>
      </c>
      <c r="C2889" s="77" t="s">
        <v>88</v>
      </c>
      <c r="D2889" t="s">
        <v>81</v>
      </c>
      <c r="E2889" s="77" t="s">
        <v>124</v>
      </c>
      <c r="F2889" s="77" t="s">
        <v>73</v>
      </c>
      <c r="G2889" s="77" t="s">
        <v>74</v>
      </c>
      <c r="H2889" s="77" t="s">
        <v>127</v>
      </c>
      <c r="I2889" s="77" t="s">
        <v>84</v>
      </c>
      <c r="J2889" s="76" cm="1">
        <f t="array" ref="J2889:J2897">'SUT_EU27 total'!$L$43:$L$51</f>
        <v>5.0558836222750793E-4</v>
      </c>
    </row>
    <row r="2890" spans="1:10" x14ac:dyDescent="0.35">
      <c r="A2890" t="s">
        <v>14</v>
      </c>
      <c r="B2890" t="s">
        <v>37</v>
      </c>
      <c r="C2890" s="77" t="s">
        <v>88</v>
      </c>
      <c r="D2890" t="s">
        <v>81</v>
      </c>
      <c r="E2890" s="77" t="s">
        <v>117</v>
      </c>
      <c r="F2890" s="77" t="s">
        <v>73</v>
      </c>
      <c r="G2890" s="77" t="s">
        <v>74</v>
      </c>
      <c r="H2890" s="77" t="s">
        <v>127</v>
      </c>
      <c r="I2890" s="77" t="s">
        <v>84</v>
      </c>
      <c r="J2890" s="76">
        <v>4.8514464106651379E-3</v>
      </c>
    </row>
    <row r="2891" spans="1:10" x14ac:dyDescent="0.35">
      <c r="A2891" t="s">
        <v>14</v>
      </c>
      <c r="B2891" t="s">
        <v>37</v>
      </c>
      <c r="C2891" s="77" t="s">
        <v>88</v>
      </c>
      <c r="D2891" t="s">
        <v>81</v>
      </c>
      <c r="E2891" s="77" t="s">
        <v>82</v>
      </c>
      <c r="F2891" s="77" t="s">
        <v>73</v>
      </c>
      <c r="G2891" s="77" t="s">
        <v>74</v>
      </c>
      <c r="H2891" s="77" t="s">
        <v>127</v>
      </c>
      <c r="I2891" s="77" t="s">
        <v>84</v>
      </c>
      <c r="J2891" s="76">
        <v>1.109418436791091E-2</v>
      </c>
    </row>
    <row r="2892" spans="1:10" x14ac:dyDescent="0.35">
      <c r="A2892" t="s">
        <v>14</v>
      </c>
      <c r="B2892" t="s">
        <v>37</v>
      </c>
      <c r="C2892" s="77" t="s">
        <v>88</v>
      </c>
      <c r="D2892" t="s">
        <v>81</v>
      </c>
      <c r="E2892" s="77" t="s">
        <v>125</v>
      </c>
      <c r="F2892" s="77" t="s">
        <v>73</v>
      </c>
      <c r="G2892" s="77" t="s">
        <v>74</v>
      </c>
      <c r="H2892" s="77" t="s">
        <v>127</v>
      </c>
      <c r="I2892" s="77" t="s">
        <v>84</v>
      </c>
      <c r="J2892" s="76">
        <v>2.890870278990243E-5</v>
      </c>
    </row>
    <row r="2893" spans="1:10" x14ac:dyDescent="0.35">
      <c r="A2893" t="s">
        <v>14</v>
      </c>
      <c r="B2893" t="s">
        <v>37</v>
      </c>
      <c r="C2893" s="77" t="s">
        <v>88</v>
      </c>
      <c r="D2893" t="s">
        <v>81</v>
      </c>
      <c r="E2893" s="77" t="s">
        <v>122</v>
      </c>
      <c r="F2893" s="77" t="s">
        <v>73</v>
      </c>
      <c r="G2893" s="77" t="s">
        <v>74</v>
      </c>
      <c r="H2893" s="77" t="s">
        <v>127</v>
      </c>
      <c r="I2893" s="77" t="s">
        <v>84</v>
      </c>
      <c r="J2893" s="76">
        <v>0</v>
      </c>
    </row>
    <row r="2894" spans="1:10" x14ac:dyDescent="0.35">
      <c r="A2894" t="s">
        <v>14</v>
      </c>
      <c r="B2894" t="s">
        <v>37</v>
      </c>
      <c r="C2894" s="77" t="s">
        <v>88</v>
      </c>
      <c r="D2894" t="s">
        <v>81</v>
      </c>
      <c r="E2894" s="77" t="s">
        <v>126</v>
      </c>
      <c r="F2894" s="77" t="s">
        <v>73</v>
      </c>
      <c r="G2894" s="77" t="s">
        <v>74</v>
      </c>
      <c r="H2894" s="77" t="s">
        <v>127</v>
      </c>
      <c r="I2894" s="77" t="s">
        <v>84</v>
      </c>
      <c r="J2894" s="76">
        <v>2.8514320987501449E-3</v>
      </c>
    </row>
    <row r="2895" spans="1:10" x14ac:dyDescent="0.35">
      <c r="A2895" t="s">
        <v>14</v>
      </c>
      <c r="B2895" t="s">
        <v>37</v>
      </c>
      <c r="C2895" s="77" t="s">
        <v>88</v>
      </c>
      <c r="D2895" t="s">
        <v>81</v>
      </c>
      <c r="E2895" s="77" t="s">
        <v>101</v>
      </c>
      <c r="F2895" s="77" t="s">
        <v>73</v>
      </c>
      <c r="G2895" s="77" t="s">
        <v>74</v>
      </c>
      <c r="H2895" s="77" t="s">
        <v>127</v>
      </c>
      <c r="I2895" s="77" t="s">
        <v>84</v>
      </c>
      <c r="J2895" s="76">
        <v>0</v>
      </c>
    </row>
    <row r="2896" spans="1:10" x14ac:dyDescent="0.35">
      <c r="A2896" t="s">
        <v>14</v>
      </c>
      <c r="B2896" t="s">
        <v>37</v>
      </c>
      <c r="C2896" s="77" t="s">
        <v>88</v>
      </c>
      <c r="D2896" t="s">
        <v>81</v>
      </c>
      <c r="E2896" s="77" t="s">
        <v>104</v>
      </c>
      <c r="F2896" s="77" t="s">
        <v>73</v>
      </c>
      <c r="G2896" s="77" t="s">
        <v>74</v>
      </c>
      <c r="H2896" s="77" t="s">
        <v>127</v>
      </c>
      <c r="I2896" s="77" t="s">
        <v>84</v>
      </c>
      <c r="J2896" s="76">
        <v>0</v>
      </c>
    </row>
    <row r="2897" spans="1:10" x14ac:dyDescent="0.35">
      <c r="A2897" t="s">
        <v>14</v>
      </c>
      <c r="B2897" t="s">
        <v>37</v>
      </c>
      <c r="C2897" s="77" t="s">
        <v>88</v>
      </c>
      <c r="D2897" t="s">
        <v>81</v>
      </c>
      <c r="E2897" s="77" t="s">
        <v>106</v>
      </c>
      <c r="F2897" s="77" t="s">
        <v>73</v>
      </c>
      <c r="G2897" s="77" t="s">
        <v>74</v>
      </c>
      <c r="H2897" s="77" t="s">
        <v>127</v>
      </c>
      <c r="I2897" s="77" t="s">
        <v>84</v>
      </c>
      <c r="J2897" s="76">
        <v>0</v>
      </c>
    </row>
    <row r="2898" spans="1:10" x14ac:dyDescent="0.35">
      <c r="A2898" t="s">
        <v>14</v>
      </c>
      <c r="B2898" t="s">
        <v>37</v>
      </c>
      <c r="C2898" s="77" t="s">
        <v>90</v>
      </c>
      <c r="D2898" t="s">
        <v>81</v>
      </c>
      <c r="E2898" s="77" t="s">
        <v>119</v>
      </c>
      <c r="F2898" s="77" t="s">
        <v>73</v>
      </c>
      <c r="G2898" s="77" t="s">
        <v>74</v>
      </c>
      <c r="H2898" s="77" t="s">
        <v>127</v>
      </c>
      <c r="I2898" s="77" t="s">
        <v>84</v>
      </c>
      <c r="J2898" s="76">
        <f>'SUT_EU27 total'!$M$56</f>
        <v>2.949251079979006E-2</v>
      </c>
    </row>
    <row r="2899" spans="1:10" x14ac:dyDescent="0.35">
      <c r="A2899" t="s">
        <v>14</v>
      </c>
      <c r="B2899" t="s">
        <v>37</v>
      </c>
      <c r="C2899" s="77" t="s">
        <v>90</v>
      </c>
      <c r="D2899" t="s">
        <v>81</v>
      </c>
      <c r="E2899" s="77" t="s">
        <v>124</v>
      </c>
      <c r="F2899" s="77" t="s">
        <v>73</v>
      </c>
      <c r="G2899" s="77" t="s">
        <v>74</v>
      </c>
      <c r="H2899" s="77" t="s">
        <v>127</v>
      </c>
      <c r="I2899" s="77" t="s">
        <v>84</v>
      </c>
      <c r="J2899" s="76" cm="1">
        <f t="array" ref="J2899:J2907">'SUT_EU27 total'!$M$60:$M$68</f>
        <v>2.1047443073980527E-5</v>
      </c>
    </row>
    <row r="2900" spans="1:10" x14ac:dyDescent="0.35">
      <c r="A2900" t="s">
        <v>14</v>
      </c>
      <c r="B2900" t="s">
        <v>37</v>
      </c>
      <c r="C2900" s="77" t="s">
        <v>90</v>
      </c>
      <c r="D2900" t="s">
        <v>81</v>
      </c>
      <c r="E2900" s="77" t="s">
        <v>117</v>
      </c>
      <c r="F2900" s="77" t="s">
        <v>73</v>
      </c>
      <c r="G2900" s="77" t="s">
        <v>74</v>
      </c>
      <c r="H2900" s="77" t="s">
        <v>127</v>
      </c>
      <c r="I2900" s="77" t="s">
        <v>84</v>
      </c>
      <c r="J2900" s="76">
        <v>5.8414015621608938E-3</v>
      </c>
    </row>
    <row r="2901" spans="1:10" x14ac:dyDescent="0.35">
      <c r="A2901" t="s">
        <v>14</v>
      </c>
      <c r="B2901" t="s">
        <v>37</v>
      </c>
      <c r="C2901" s="77" t="s">
        <v>90</v>
      </c>
      <c r="D2901" t="s">
        <v>81</v>
      </c>
      <c r="E2901" s="77" t="s">
        <v>82</v>
      </c>
      <c r="F2901" s="77" t="s">
        <v>73</v>
      </c>
      <c r="G2901" s="77" t="s">
        <v>74</v>
      </c>
      <c r="H2901" s="77" t="s">
        <v>127</v>
      </c>
      <c r="I2901" s="77" t="s">
        <v>84</v>
      </c>
      <c r="J2901" s="76">
        <v>1.4521138379047227E-3</v>
      </c>
    </row>
    <row r="2902" spans="1:10" x14ac:dyDescent="0.35">
      <c r="A2902" t="s">
        <v>14</v>
      </c>
      <c r="B2902" t="s">
        <v>37</v>
      </c>
      <c r="C2902" s="77" t="s">
        <v>90</v>
      </c>
      <c r="D2902" t="s">
        <v>81</v>
      </c>
      <c r="E2902" s="77" t="s">
        <v>125</v>
      </c>
      <c r="F2902" s="77" t="s">
        <v>73</v>
      </c>
      <c r="G2902" s="77" t="s">
        <v>74</v>
      </c>
      <c r="H2902" s="77" t="s">
        <v>127</v>
      </c>
      <c r="I2902" s="77" t="s">
        <v>84</v>
      </c>
      <c r="J2902" s="76">
        <v>6.5130870114372285E-5</v>
      </c>
    </row>
    <row r="2903" spans="1:10" x14ac:dyDescent="0.35">
      <c r="A2903" t="s">
        <v>14</v>
      </c>
      <c r="B2903" t="s">
        <v>37</v>
      </c>
      <c r="C2903" s="77" t="s">
        <v>90</v>
      </c>
      <c r="D2903" t="s">
        <v>81</v>
      </c>
      <c r="E2903" s="77" t="s">
        <v>122</v>
      </c>
      <c r="F2903" s="77" t="s">
        <v>73</v>
      </c>
      <c r="G2903" s="77" t="s">
        <v>74</v>
      </c>
      <c r="H2903" s="77" t="s">
        <v>127</v>
      </c>
      <c r="I2903" s="77" t="s">
        <v>84</v>
      </c>
      <c r="J2903" s="76">
        <v>7.9476813317479189E-4</v>
      </c>
    </row>
    <row r="2904" spans="1:10" x14ac:dyDescent="0.35">
      <c r="A2904" t="s">
        <v>14</v>
      </c>
      <c r="B2904" t="s">
        <v>37</v>
      </c>
      <c r="C2904" s="77" t="s">
        <v>90</v>
      </c>
      <c r="D2904" t="s">
        <v>81</v>
      </c>
      <c r="E2904" s="77" t="s">
        <v>126</v>
      </c>
      <c r="F2904" s="77" t="s">
        <v>73</v>
      </c>
      <c r="G2904" s="77" t="s">
        <v>74</v>
      </c>
      <c r="H2904" s="77" t="s">
        <v>127</v>
      </c>
      <c r="I2904" s="77" t="s">
        <v>84</v>
      </c>
      <c r="J2904" s="76">
        <v>8.4821183458843076E-3</v>
      </c>
    </row>
    <row r="2905" spans="1:10" x14ac:dyDescent="0.35">
      <c r="A2905" t="s">
        <v>14</v>
      </c>
      <c r="B2905" t="s">
        <v>37</v>
      </c>
      <c r="C2905" s="77" t="s">
        <v>90</v>
      </c>
      <c r="D2905" t="s">
        <v>81</v>
      </c>
      <c r="E2905" s="77" t="s">
        <v>101</v>
      </c>
      <c r="F2905" s="77" t="s">
        <v>73</v>
      </c>
      <c r="G2905" s="77" t="s">
        <v>74</v>
      </c>
      <c r="H2905" s="77" t="s">
        <v>127</v>
      </c>
      <c r="I2905" s="77" t="s">
        <v>84</v>
      </c>
      <c r="J2905" s="76">
        <v>0</v>
      </c>
    </row>
    <row r="2906" spans="1:10" x14ac:dyDescent="0.35">
      <c r="A2906" t="s">
        <v>14</v>
      </c>
      <c r="B2906" t="s">
        <v>37</v>
      </c>
      <c r="C2906" s="77" t="s">
        <v>90</v>
      </c>
      <c r="D2906" t="s">
        <v>81</v>
      </c>
      <c r="E2906" s="77" t="s">
        <v>104</v>
      </c>
      <c r="F2906" s="77" t="s">
        <v>73</v>
      </c>
      <c r="G2906" s="77" t="s">
        <v>74</v>
      </c>
      <c r="H2906" s="77" t="s">
        <v>127</v>
      </c>
      <c r="I2906" s="77" t="s">
        <v>84</v>
      </c>
      <c r="J2906" s="76">
        <v>0</v>
      </c>
    </row>
    <row r="2907" spans="1:10" x14ac:dyDescent="0.35">
      <c r="A2907" t="s">
        <v>14</v>
      </c>
      <c r="B2907" t="s">
        <v>37</v>
      </c>
      <c r="C2907" s="77" t="s">
        <v>90</v>
      </c>
      <c r="D2907" t="s">
        <v>81</v>
      </c>
      <c r="E2907" s="77" t="s">
        <v>106</v>
      </c>
      <c r="F2907" s="77" t="s">
        <v>73</v>
      </c>
      <c r="G2907" s="77" t="s">
        <v>74</v>
      </c>
      <c r="H2907" s="77" t="s">
        <v>127</v>
      </c>
      <c r="I2907" s="77" t="s">
        <v>84</v>
      </c>
      <c r="J2907" s="76">
        <v>0</v>
      </c>
    </row>
    <row r="2908" spans="1:10" x14ac:dyDescent="0.35">
      <c r="A2908" t="s">
        <v>14</v>
      </c>
      <c r="B2908" t="s">
        <v>37</v>
      </c>
      <c r="C2908" s="77" t="s">
        <v>91</v>
      </c>
      <c r="D2908" t="s">
        <v>81</v>
      </c>
      <c r="E2908" s="77" t="s">
        <v>119</v>
      </c>
      <c r="F2908" s="77" t="s">
        <v>73</v>
      </c>
      <c r="G2908" s="77" t="s">
        <v>74</v>
      </c>
      <c r="H2908" s="77" t="s">
        <v>127</v>
      </c>
      <c r="I2908" s="77" t="s">
        <v>84</v>
      </c>
      <c r="J2908" s="76">
        <f>'SUT_EU27 total'!$M$73</f>
        <v>0.15097500908393557</v>
      </c>
    </row>
    <row r="2909" spans="1:10" x14ac:dyDescent="0.35">
      <c r="A2909" t="s">
        <v>14</v>
      </c>
      <c r="B2909" t="s">
        <v>37</v>
      </c>
      <c r="C2909" s="77" t="s">
        <v>91</v>
      </c>
      <c r="D2909" t="s">
        <v>81</v>
      </c>
      <c r="E2909" s="77" t="s">
        <v>124</v>
      </c>
      <c r="F2909" s="77" t="s">
        <v>73</v>
      </c>
      <c r="G2909" s="77" t="s">
        <v>74</v>
      </c>
      <c r="H2909" s="77" t="s">
        <v>127</v>
      </c>
      <c r="I2909" s="77" t="s">
        <v>84</v>
      </c>
      <c r="J2909" s="76" cm="1">
        <f t="array" ref="J2909:J2917">'SUT_EU27 total'!$M$77:$M$85</f>
        <v>6.7728942399646885E-5</v>
      </c>
    </row>
    <row r="2910" spans="1:10" x14ac:dyDescent="0.35">
      <c r="A2910" t="s">
        <v>14</v>
      </c>
      <c r="B2910" t="s">
        <v>37</v>
      </c>
      <c r="C2910" s="77" t="s">
        <v>91</v>
      </c>
      <c r="D2910" t="s">
        <v>81</v>
      </c>
      <c r="E2910" s="77" t="s">
        <v>117</v>
      </c>
      <c r="F2910" s="77" t="s">
        <v>73</v>
      </c>
      <c r="G2910" s="77" t="s">
        <v>74</v>
      </c>
      <c r="H2910" s="77" t="s">
        <v>127</v>
      </c>
      <c r="I2910" s="77" t="s">
        <v>84</v>
      </c>
      <c r="J2910" s="76">
        <v>5.6233849622410815E-3</v>
      </c>
    </row>
    <row r="2911" spans="1:10" x14ac:dyDescent="0.35">
      <c r="A2911" t="s">
        <v>14</v>
      </c>
      <c r="B2911" t="s">
        <v>37</v>
      </c>
      <c r="C2911" s="77" t="s">
        <v>91</v>
      </c>
      <c r="D2911" t="s">
        <v>81</v>
      </c>
      <c r="E2911" s="77" t="s">
        <v>82</v>
      </c>
      <c r="F2911" s="77" t="s">
        <v>73</v>
      </c>
      <c r="G2911" s="77" t="s">
        <v>74</v>
      </c>
      <c r="H2911" s="77" t="s">
        <v>127</v>
      </c>
      <c r="I2911" s="77" t="s">
        <v>84</v>
      </c>
      <c r="J2911" s="76">
        <v>1.8068055269127655E-3</v>
      </c>
    </row>
    <row r="2912" spans="1:10" x14ac:dyDescent="0.35">
      <c r="A2912" t="s">
        <v>14</v>
      </c>
      <c r="B2912" t="s">
        <v>37</v>
      </c>
      <c r="C2912" s="77" t="s">
        <v>91</v>
      </c>
      <c r="D2912" t="s">
        <v>81</v>
      </c>
      <c r="E2912" s="77" t="s">
        <v>125</v>
      </c>
      <c r="F2912" s="77" t="s">
        <v>73</v>
      </c>
      <c r="G2912" s="77" t="s">
        <v>74</v>
      </c>
      <c r="H2912" s="77" t="s">
        <v>127</v>
      </c>
      <c r="I2912" s="77" t="s">
        <v>84</v>
      </c>
      <c r="J2912" s="76">
        <v>5.6492118062760293E-6</v>
      </c>
    </row>
    <row r="2913" spans="1:10" x14ac:dyDescent="0.35">
      <c r="A2913" t="s">
        <v>14</v>
      </c>
      <c r="B2913" t="s">
        <v>37</v>
      </c>
      <c r="C2913" s="77" t="s">
        <v>91</v>
      </c>
      <c r="D2913" t="s">
        <v>81</v>
      </c>
      <c r="E2913" s="77" t="s">
        <v>122</v>
      </c>
      <c r="F2913" s="77" t="s">
        <v>73</v>
      </c>
      <c r="G2913" s="77" t="s">
        <v>74</v>
      </c>
      <c r="H2913" s="77" t="s">
        <v>127</v>
      </c>
      <c r="I2913" s="77" t="s">
        <v>84</v>
      </c>
      <c r="J2913" s="76">
        <v>0</v>
      </c>
    </row>
    <row r="2914" spans="1:10" x14ac:dyDescent="0.35">
      <c r="A2914" t="s">
        <v>14</v>
      </c>
      <c r="B2914" t="s">
        <v>37</v>
      </c>
      <c r="C2914" s="77" t="s">
        <v>91</v>
      </c>
      <c r="D2914" t="s">
        <v>81</v>
      </c>
      <c r="E2914" s="77" t="s">
        <v>126</v>
      </c>
      <c r="F2914" s="77" t="s">
        <v>73</v>
      </c>
      <c r="G2914" s="77" t="s">
        <v>74</v>
      </c>
      <c r="H2914" s="77" t="s">
        <v>127</v>
      </c>
      <c r="I2914" s="77" t="s">
        <v>84</v>
      </c>
      <c r="J2914" s="76">
        <v>8.1093795177776388E-4</v>
      </c>
    </row>
    <row r="2915" spans="1:10" x14ac:dyDescent="0.35">
      <c r="A2915" t="s">
        <v>14</v>
      </c>
      <c r="B2915" t="s">
        <v>37</v>
      </c>
      <c r="C2915" s="77" t="s">
        <v>91</v>
      </c>
      <c r="D2915" t="s">
        <v>81</v>
      </c>
      <c r="E2915" s="77" t="s">
        <v>101</v>
      </c>
      <c r="F2915" s="77" t="s">
        <v>73</v>
      </c>
      <c r="G2915" s="77" t="s">
        <v>74</v>
      </c>
      <c r="H2915" s="77" t="s">
        <v>127</v>
      </c>
      <c r="I2915" s="77" t="s">
        <v>84</v>
      </c>
      <c r="J2915" s="76">
        <v>0</v>
      </c>
    </row>
    <row r="2916" spans="1:10" x14ac:dyDescent="0.35">
      <c r="A2916" t="s">
        <v>14</v>
      </c>
      <c r="B2916" t="s">
        <v>37</v>
      </c>
      <c r="C2916" s="77" t="s">
        <v>91</v>
      </c>
      <c r="D2916" t="s">
        <v>81</v>
      </c>
      <c r="E2916" s="77" t="s">
        <v>104</v>
      </c>
      <c r="F2916" s="77" t="s">
        <v>73</v>
      </c>
      <c r="G2916" s="77" t="s">
        <v>74</v>
      </c>
      <c r="H2916" s="77" t="s">
        <v>127</v>
      </c>
      <c r="I2916" s="77" t="s">
        <v>84</v>
      </c>
      <c r="J2916" s="76">
        <v>0</v>
      </c>
    </row>
    <row r="2917" spans="1:10" x14ac:dyDescent="0.35">
      <c r="A2917" t="s">
        <v>14</v>
      </c>
      <c r="B2917" t="s">
        <v>37</v>
      </c>
      <c r="C2917" s="77" t="s">
        <v>91</v>
      </c>
      <c r="D2917" t="s">
        <v>81</v>
      </c>
      <c r="E2917" s="77" t="s">
        <v>106</v>
      </c>
      <c r="F2917" s="77" t="s">
        <v>73</v>
      </c>
      <c r="G2917" s="77" t="s">
        <v>74</v>
      </c>
      <c r="H2917" s="77" t="s">
        <v>127</v>
      </c>
      <c r="I2917" s="77" t="s">
        <v>84</v>
      </c>
      <c r="J2917" s="76">
        <v>0</v>
      </c>
    </row>
    <row r="2918" spans="1:10" x14ac:dyDescent="0.35">
      <c r="A2918" t="s">
        <v>14</v>
      </c>
      <c r="B2918" t="s">
        <v>37</v>
      </c>
      <c r="C2918" s="77" t="s">
        <v>92</v>
      </c>
      <c r="D2918" t="s">
        <v>81</v>
      </c>
      <c r="E2918" s="77" t="s">
        <v>119</v>
      </c>
      <c r="F2918" s="77" t="s">
        <v>73</v>
      </c>
      <c r="G2918" s="77" t="s">
        <v>74</v>
      </c>
      <c r="H2918" s="77" t="s">
        <v>127</v>
      </c>
      <c r="I2918" s="77" t="s">
        <v>84</v>
      </c>
      <c r="J2918" s="76">
        <f>'SUT_EU27 total'!$M$90</f>
        <v>0.13886309499777949</v>
      </c>
    </row>
    <row r="2919" spans="1:10" x14ac:dyDescent="0.35">
      <c r="A2919" t="s">
        <v>14</v>
      </c>
      <c r="B2919" t="s">
        <v>37</v>
      </c>
      <c r="C2919" s="77" t="s">
        <v>92</v>
      </c>
      <c r="D2919" t="s">
        <v>81</v>
      </c>
      <c r="E2919" s="77" t="s">
        <v>124</v>
      </c>
      <c r="F2919" s="77" t="s">
        <v>73</v>
      </c>
      <c r="G2919" s="77" t="s">
        <v>74</v>
      </c>
      <c r="H2919" s="77" t="s">
        <v>127</v>
      </c>
      <c r="I2919" s="77" t="s">
        <v>84</v>
      </c>
      <c r="J2919" s="76" cm="1">
        <f t="array" ref="J2919:J2927">'SUT_EU27 total'!$M$94:$M$102</f>
        <v>9.2968907089085616E-5</v>
      </c>
    </row>
    <row r="2920" spans="1:10" x14ac:dyDescent="0.35">
      <c r="A2920" t="s">
        <v>14</v>
      </c>
      <c r="B2920" t="s">
        <v>37</v>
      </c>
      <c r="C2920" s="77" t="s">
        <v>92</v>
      </c>
      <c r="D2920" t="s">
        <v>81</v>
      </c>
      <c r="E2920" s="77" t="s">
        <v>117</v>
      </c>
      <c r="F2920" s="77" t="s">
        <v>73</v>
      </c>
      <c r="G2920" s="77" t="s">
        <v>74</v>
      </c>
      <c r="H2920" s="77" t="s">
        <v>127</v>
      </c>
      <c r="I2920" s="77" t="s">
        <v>84</v>
      </c>
      <c r="J2920" s="76">
        <v>0</v>
      </c>
    </row>
    <row r="2921" spans="1:10" x14ac:dyDescent="0.35">
      <c r="A2921" t="s">
        <v>14</v>
      </c>
      <c r="B2921" t="s">
        <v>37</v>
      </c>
      <c r="C2921" s="77" t="s">
        <v>92</v>
      </c>
      <c r="D2921" t="s">
        <v>81</v>
      </c>
      <c r="E2921" s="77" t="s">
        <v>82</v>
      </c>
      <c r="F2921" s="77" t="s">
        <v>73</v>
      </c>
      <c r="G2921" s="77" t="s">
        <v>74</v>
      </c>
      <c r="H2921" s="77" t="s">
        <v>127</v>
      </c>
      <c r="I2921" s="77" t="s">
        <v>84</v>
      </c>
      <c r="J2921" s="76">
        <v>1.1251392039595793E-3</v>
      </c>
    </row>
    <row r="2922" spans="1:10" x14ac:dyDescent="0.35">
      <c r="A2922" t="s">
        <v>14</v>
      </c>
      <c r="B2922" t="s">
        <v>37</v>
      </c>
      <c r="C2922" s="77" t="s">
        <v>92</v>
      </c>
      <c r="D2922" t="s">
        <v>81</v>
      </c>
      <c r="E2922" s="77" t="s">
        <v>125</v>
      </c>
      <c r="F2922" s="77" t="s">
        <v>73</v>
      </c>
      <c r="G2922" s="77" t="s">
        <v>74</v>
      </c>
      <c r="H2922" s="77" t="s">
        <v>127</v>
      </c>
      <c r="I2922" s="77" t="s">
        <v>84</v>
      </c>
      <c r="J2922" s="76">
        <v>5.0048817841215026E-7</v>
      </c>
    </row>
    <row r="2923" spans="1:10" x14ac:dyDescent="0.35">
      <c r="A2923" t="s">
        <v>14</v>
      </c>
      <c r="B2923" t="s">
        <v>37</v>
      </c>
      <c r="C2923" s="77" t="s">
        <v>92</v>
      </c>
      <c r="D2923" t="s">
        <v>81</v>
      </c>
      <c r="E2923" s="77" t="s">
        <v>122</v>
      </c>
      <c r="F2923" s="77" t="s">
        <v>73</v>
      </c>
      <c r="G2923" s="77" t="s">
        <v>74</v>
      </c>
      <c r="H2923" s="77" t="s">
        <v>127</v>
      </c>
      <c r="I2923" s="77" t="s">
        <v>84</v>
      </c>
      <c r="J2923" s="76">
        <v>0</v>
      </c>
    </row>
    <row r="2924" spans="1:10" x14ac:dyDescent="0.35">
      <c r="A2924" t="s">
        <v>14</v>
      </c>
      <c r="B2924" t="s">
        <v>37</v>
      </c>
      <c r="C2924" s="77" t="s">
        <v>92</v>
      </c>
      <c r="D2924" t="s">
        <v>81</v>
      </c>
      <c r="E2924" s="77" t="s">
        <v>126</v>
      </c>
      <c r="F2924" s="77" t="s">
        <v>73</v>
      </c>
      <c r="G2924" s="77" t="s">
        <v>74</v>
      </c>
      <c r="H2924" s="77" t="s">
        <v>127</v>
      </c>
      <c r="I2924" s="77" t="s">
        <v>84</v>
      </c>
      <c r="J2924" s="76">
        <v>0</v>
      </c>
    </row>
    <row r="2925" spans="1:10" x14ac:dyDescent="0.35">
      <c r="A2925" t="s">
        <v>14</v>
      </c>
      <c r="B2925" t="s">
        <v>37</v>
      </c>
      <c r="C2925" s="77" t="s">
        <v>92</v>
      </c>
      <c r="D2925" t="s">
        <v>81</v>
      </c>
      <c r="E2925" s="77" t="s">
        <v>101</v>
      </c>
      <c r="F2925" s="77" t="s">
        <v>73</v>
      </c>
      <c r="G2925" s="77" t="s">
        <v>74</v>
      </c>
      <c r="H2925" s="77" t="s">
        <v>127</v>
      </c>
      <c r="I2925" s="77" t="s">
        <v>84</v>
      </c>
      <c r="J2925" s="76">
        <v>0</v>
      </c>
    </row>
    <row r="2926" spans="1:10" x14ac:dyDescent="0.35">
      <c r="A2926" t="s">
        <v>14</v>
      </c>
      <c r="B2926" t="s">
        <v>37</v>
      </c>
      <c r="C2926" s="77" t="s">
        <v>92</v>
      </c>
      <c r="D2926" t="s">
        <v>81</v>
      </c>
      <c r="E2926" s="77" t="s">
        <v>104</v>
      </c>
      <c r="F2926" s="77" t="s">
        <v>73</v>
      </c>
      <c r="G2926" s="77" t="s">
        <v>74</v>
      </c>
      <c r="H2926" s="77" t="s">
        <v>127</v>
      </c>
      <c r="I2926" s="77" t="s">
        <v>84</v>
      </c>
      <c r="J2926" s="76">
        <v>0</v>
      </c>
    </row>
    <row r="2927" spans="1:10" x14ac:dyDescent="0.35">
      <c r="A2927" t="s">
        <v>14</v>
      </c>
      <c r="B2927" t="s">
        <v>37</v>
      </c>
      <c r="C2927" s="77" t="s">
        <v>92</v>
      </c>
      <c r="D2927" t="s">
        <v>81</v>
      </c>
      <c r="E2927" s="77" t="s">
        <v>106</v>
      </c>
      <c r="F2927" s="77" t="s">
        <v>73</v>
      </c>
      <c r="G2927" s="77" t="s">
        <v>74</v>
      </c>
      <c r="H2927" s="77" t="s">
        <v>127</v>
      </c>
      <c r="I2927" s="77" t="s">
        <v>84</v>
      </c>
      <c r="J2927" s="76">
        <v>0</v>
      </c>
    </row>
    <row r="2928" spans="1:10" x14ac:dyDescent="0.35">
      <c r="A2928" t="s">
        <v>14</v>
      </c>
      <c r="B2928" t="s">
        <v>37</v>
      </c>
      <c r="C2928" s="77" t="s">
        <v>93</v>
      </c>
      <c r="D2928" t="s">
        <v>81</v>
      </c>
      <c r="E2928" s="77" t="s">
        <v>119</v>
      </c>
      <c r="F2928" s="77" t="s">
        <v>73</v>
      </c>
      <c r="G2928" s="77" t="s">
        <v>74</v>
      </c>
      <c r="H2928" s="77" t="s">
        <v>127</v>
      </c>
      <c r="I2928" s="77" t="s">
        <v>84</v>
      </c>
      <c r="J2928" s="76">
        <f>'SUT_EU27 total'!$M$107</f>
        <v>1.0000807460939076</v>
      </c>
    </row>
    <row r="2929" spans="1:10" x14ac:dyDescent="0.35">
      <c r="A2929" t="s">
        <v>14</v>
      </c>
      <c r="B2929" t="s">
        <v>37</v>
      </c>
      <c r="C2929" s="77" t="s">
        <v>93</v>
      </c>
      <c r="D2929" t="s">
        <v>81</v>
      </c>
      <c r="E2929" s="77" t="s">
        <v>124</v>
      </c>
      <c r="F2929" s="77" t="s">
        <v>73</v>
      </c>
      <c r="G2929" s="77" t="s">
        <v>74</v>
      </c>
      <c r="H2929" s="77" t="s">
        <v>127</v>
      </c>
      <c r="I2929" s="77" t="s">
        <v>84</v>
      </c>
      <c r="J2929" s="76" cm="1">
        <f t="array" ref="J2929:J2937">'SUT_EU27 total'!$M$111:$M$119</f>
        <v>3.7052409430862396E-4</v>
      </c>
    </row>
    <row r="2930" spans="1:10" x14ac:dyDescent="0.35">
      <c r="A2930" t="s">
        <v>14</v>
      </c>
      <c r="B2930" t="s">
        <v>37</v>
      </c>
      <c r="C2930" s="77" t="s">
        <v>93</v>
      </c>
      <c r="D2930" t="s">
        <v>81</v>
      </c>
      <c r="E2930" s="77" t="s">
        <v>117</v>
      </c>
      <c r="F2930" s="77" t="s">
        <v>73</v>
      </c>
      <c r="G2930" s="77" t="s">
        <v>74</v>
      </c>
      <c r="H2930" s="77" t="s">
        <v>127</v>
      </c>
      <c r="I2930" s="77" t="s">
        <v>84</v>
      </c>
      <c r="J2930" s="76">
        <v>5.8414042458127093E-3</v>
      </c>
    </row>
    <row r="2931" spans="1:10" x14ac:dyDescent="0.35">
      <c r="A2931" t="s">
        <v>14</v>
      </c>
      <c r="B2931" t="s">
        <v>37</v>
      </c>
      <c r="C2931" s="77" t="s">
        <v>93</v>
      </c>
      <c r="D2931" t="s">
        <v>81</v>
      </c>
      <c r="E2931" s="77" t="s">
        <v>82</v>
      </c>
      <c r="F2931" s="77" t="s">
        <v>73</v>
      </c>
      <c r="G2931" s="77" t="s">
        <v>74</v>
      </c>
      <c r="H2931" s="77" t="s">
        <v>127</v>
      </c>
      <c r="I2931" s="77" t="s">
        <v>84</v>
      </c>
      <c r="J2931" s="76">
        <v>5.0319447308723453E-3</v>
      </c>
    </row>
    <row r="2932" spans="1:10" x14ac:dyDescent="0.35">
      <c r="A2932" t="s">
        <v>14</v>
      </c>
      <c r="B2932" t="s">
        <v>37</v>
      </c>
      <c r="C2932" s="77" t="s">
        <v>93</v>
      </c>
      <c r="D2932" t="s">
        <v>81</v>
      </c>
      <c r="E2932" s="77" t="s">
        <v>125</v>
      </c>
      <c r="F2932" s="77" t="s">
        <v>73</v>
      </c>
      <c r="G2932" s="77" t="s">
        <v>74</v>
      </c>
      <c r="H2932" s="77" t="s">
        <v>127</v>
      </c>
      <c r="I2932" s="77" t="s">
        <v>84</v>
      </c>
      <c r="J2932" s="76">
        <v>4.336096678710085E-4</v>
      </c>
    </row>
    <row r="2933" spans="1:10" x14ac:dyDescent="0.35">
      <c r="A2933" t="s">
        <v>14</v>
      </c>
      <c r="B2933" t="s">
        <v>37</v>
      </c>
      <c r="C2933" s="77" t="s">
        <v>93</v>
      </c>
      <c r="D2933" t="s">
        <v>81</v>
      </c>
      <c r="E2933" s="77" t="s">
        <v>122</v>
      </c>
      <c r="F2933" s="77" t="s">
        <v>73</v>
      </c>
      <c r="G2933" s="77" t="s">
        <v>74</v>
      </c>
      <c r="H2933" s="77" t="s">
        <v>127</v>
      </c>
      <c r="I2933" s="77" t="s">
        <v>84</v>
      </c>
      <c r="J2933" s="76">
        <v>2.7129607609988112E-3</v>
      </c>
    </row>
    <row r="2934" spans="1:10" x14ac:dyDescent="0.35">
      <c r="A2934" t="s">
        <v>14</v>
      </c>
      <c r="B2934" t="s">
        <v>37</v>
      </c>
      <c r="C2934" s="77" t="s">
        <v>93</v>
      </c>
      <c r="D2934" t="s">
        <v>81</v>
      </c>
      <c r="E2934" s="77" t="s">
        <v>126</v>
      </c>
      <c r="F2934" s="77" t="s">
        <v>73</v>
      </c>
      <c r="G2934" s="77" t="s">
        <v>74</v>
      </c>
      <c r="H2934" s="77" t="s">
        <v>127</v>
      </c>
      <c r="I2934" s="77" t="s">
        <v>84</v>
      </c>
      <c r="J2934" s="76">
        <v>4.3855511603587784E-2</v>
      </c>
    </row>
    <row r="2935" spans="1:10" x14ac:dyDescent="0.35">
      <c r="A2935" t="s">
        <v>14</v>
      </c>
      <c r="B2935" t="s">
        <v>37</v>
      </c>
      <c r="C2935" s="77" t="s">
        <v>93</v>
      </c>
      <c r="D2935" t="s">
        <v>81</v>
      </c>
      <c r="E2935" s="77" t="s">
        <v>101</v>
      </c>
      <c r="F2935" s="77" t="s">
        <v>73</v>
      </c>
      <c r="G2935" s="77" t="s">
        <v>74</v>
      </c>
      <c r="H2935" s="77" t="s">
        <v>127</v>
      </c>
      <c r="I2935" s="77" t="s">
        <v>84</v>
      </c>
      <c r="J2935" s="76">
        <v>0</v>
      </c>
    </row>
    <row r="2936" spans="1:10" x14ac:dyDescent="0.35">
      <c r="A2936" t="s">
        <v>14</v>
      </c>
      <c r="B2936" t="s">
        <v>37</v>
      </c>
      <c r="C2936" s="77" t="s">
        <v>93</v>
      </c>
      <c r="D2936" t="s">
        <v>81</v>
      </c>
      <c r="E2936" s="77" t="s">
        <v>104</v>
      </c>
      <c r="F2936" s="77" t="s">
        <v>73</v>
      </c>
      <c r="G2936" s="77" t="s">
        <v>74</v>
      </c>
      <c r="H2936" s="77" t="s">
        <v>127</v>
      </c>
      <c r="I2936" s="77" t="s">
        <v>84</v>
      </c>
      <c r="J2936" s="76">
        <v>0</v>
      </c>
    </row>
    <row r="2937" spans="1:10" x14ac:dyDescent="0.35">
      <c r="A2937" t="s">
        <v>14</v>
      </c>
      <c r="B2937" t="s">
        <v>37</v>
      </c>
      <c r="C2937" s="77" t="s">
        <v>93</v>
      </c>
      <c r="D2937" t="s">
        <v>81</v>
      </c>
      <c r="E2937" s="77" t="s">
        <v>106</v>
      </c>
      <c r="F2937" s="77" t="s">
        <v>73</v>
      </c>
      <c r="G2937" s="77" t="s">
        <v>74</v>
      </c>
      <c r="H2937" s="77" t="s">
        <v>127</v>
      </c>
      <c r="I2937" s="77" t="s">
        <v>84</v>
      </c>
      <c r="J2937" s="76">
        <v>0</v>
      </c>
    </row>
    <row r="2938" spans="1:10" x14ac:dyDescent="0.35">
      <c r="A2938" t="s">
        <v>14</v>
      </c>
      <c r="B2938" t="s">
        <v>37</v>
      </c>
      <c r="C2938" s="77" t="s">
        <v>73</v>
      </c>
      <c r="D2938" t="s">
        <v>81</v>
      </c>
      <c r="E2938" s="77" t="s">
        <v>82</v>
      </c>
      <c r="F2938" s="77" t="s">
        <v>73</v>
      </c>
      <c r="G2938" s="77" t="s">
        <v>74</v>
      </c>
      <c r="H2938" s="77" t="s">
        <v>128</v>
      </c>
      <c r="I2938" s="77" t="s">
        <v>84</v>
      </c>
      <c r="J2938" s="76" cm="1">
        <f t="array" ref="J2938:J2961">z_2030_GS!$I$514:$I$537</f>
        <v>1.4658301341380521E-2</v>
      </c>
    </row>
    <row r="2939" spans="1:10" x14ac:dyDescent="0.35">
      <c r="A2939" t="s">
        <v>14</v>
      </c>
      <c r="B2939" t="s">
        <v>37</v>
      </c>
      <c r="C2939" s="77" t="s">
        <v>73</v>
      </c>
      <c r="D2939" t="s">
        <v>81</v>
      </c>
      <c r="E2939" s="77" t="s">
        <v>86</v>
      </c>
      <c r="F2939" s="77" t="s">
        <v>73</v>
      </c>
      <c r="G2939" s="77" t="s">
        <v>74</v>
      </c>
      <c r="H2939" s="77" t="s">
        <v>128</v>
      </c>
      <c r="I2939" s="77" t="s">
        <v>84</v>
      </c>
      <c r="J2939" s="76">
        <v>3.0740776778828832E-3</v>
      </c>
    </row>
    <row r="2940" spans="1:10" x14ac:dyDescent="0.35">
      <c r="A2940" t="s">
        <v>14</v>
      </c>
      <c r="B2940" t="s">
        <v>37</v>
      </c>
      <c r="C2940" s="77" t="s">
        <v>88</v>
      </c>
      <c r="D2940" t="s">
        <v>81</v>
      </c>
      <c r="E2940" s="77" t="s">
        <v>82</v>
      </c>
      <c r="F2940" s="77" t="s">
        <v>73</v>
      </c>
      <c r="G2940" s="77" t="s">
        <v>74</v>
      </c>
      <c r="H2940" s="77" t="s">
        <v>128</v>
      </c>
      <c r="I2940" s="77" t="s">
        <v>84</v>
      </c>
      <c r="J2940" s="76">
        <v>9.2276548594747033E-3</v>
      </c>
    </row>
    <row r="2941" spans="1:10" x14ac:dyDescent="0.35">
      <c r="A2941" t="s">
        <v>14</v>
      </c>
      <c r="B2941" t="s">
        <v>37</v>
      </c>
      <c r="C2941" s="77" t="s">
        <v>88</v>
      </c>
      <c r="D2941" t="s">
        <v>81</v>
      </c>
      <c r="E2941" s="77" t="s">
        <v>86</v>
      </c>
      <c r="F2941" s="77" t="s">
        <v>73</v>
      </c>
      <c r="G2941" s="77" t="s">
        <v>74</v>
      </c>
      <c r="H2941" s="77" t="s">
        <v>128</v>
      </c>
      <c r="I2941" s="77" t="s">
        <v>84</v>
      </c>
      <c r="J2941" s="76">
        <v>6.9627451701437512E-2</v>
      </c>
    </row>
    <row r="2942" spans="1:10" x14ac:dyDescent="0.35">
      <c r="A2942" t="s">
        <v>14</v>
      </c>
      <c r="B2942" t="s">
        <v>37</v>
      </c>
      <c r="C2942" s="77" t="s">
        <v>90</v>
      </c>
      <c r="D2942" t="s">
        <v>81</v>
      </c>
      <c r="E2942" s="77" t="s">
        <v>82</v>
      </c>
      <c r="F2942" s="77" t="s">
        <v>73</v>
      </c>
      <c r="G2942" s="77" t="s">
        <v>74</v>
      </c>
      <c r="H2942" s="77" t="s">
        <v>128</v>
      </c>
      <c r="I2942" s="77" t="s">
        <v>84</v>
      </c>
      <c r="J2942" s="76">
        <v>2.2200107734217647E-6</v>
      </c>
    </row>
    <row r="2943" spans="1:10" x14ac:dyDescent="0.35">
      <c r="A2943" t="s">
        <v>14</v>
      </c>
      <c r="B2943" t="s">
        <v>37</v>
      </c>
      <c r="C2943" s="77" t="s">
        <v>90</v>
      </c>
      <c r="D2943" t="s">
        <v>81</v>
      </c>
      <c r="E2943" s="77" t="s">
        <v>86</v>
      </c>
      <c r="F2943" s="77" t="s">
        <v>73</v>
      </c>
      <c r="G2943" s="77" t="s">
        <v>74</v>
      </c>
      <c r="H2943" s="77" t="s">
        <v>128</v>
      </c>
      <c r="I2943" s="77" t="s">
        <v>84</v>
      </c>
      <c r="J2943" s="76">
        <v>9.1135123377023061E-3</v>
      </c>
    </row>
    <row r="2944" spans="1:10" x14ac:dyDescent="0.35">
      <c r="A2944" t="s">
        <v>14</v>
      </c>
      <c r="B2944" t="s">
        <v>37</v>
      </c>
      <c r="C2944" s="77" t="s">
        <v>91</v>
      </c>
      <c r="D2944" t="s">
        <v>81</v>
      </c>
      <c r="E2944" s="77" t="s">
        <v>82</v>
      </c>
      <c r="F2944" s="77" t="s">
        <v>73</v>
      </c>
      <c r="G2944" s="77" t="s">
        <v>74</v>
      </c>
      <c r="H2944" s="77" t="s">
        <v>128</v>
      </c>
      <c r="I2944" s="77" t="s">
        <v>84</v>
      </c>
      <c r="J2944" s="76">
        <v>4.3195382907628159E-4</v>
      </c>
    </row>
    <row r="2945" spans="1:10" x14ac:dyDescent="0.35">
      <c r="A2945" t="s">
        <v>14</v>
      </c>
      <c r="B2945" t="s">
        <v>37</v>
      </c>
      <c r="C2945" s="77" t="s">
        <v>91</v>
      </c>
      <c r="D2945" t="s">
        <v>81</v>
      </c>
      <c r="E2945" s="77" t="s">
        <v>86</v>
      </c>
      <c r="F2945" s="77" t="s">
        <v>73</v>
      </c>
      <c r="G2945" s="77" t="s">
        <v>74</v>
      </c>
      <c r="H2945" s="77" t="s">
        <v>128</v>
      </c>
      <c r="I2945" s="77" t="s">
        <v>84</v>
      </c>
      <c r="J2945" s="76">
        <v>1.1339568587203704E-2</v>
      </c>
    </row>
    <row r="2946" spans="1:10" x14ac:dyDescent="0.35">
      <c r="A2946" t="s">
        <v>14</v>
      </c>
      <c r="B2946" t="s">
        <v>37</v>
      </c>
      <c r="C2946" s="77" t="s">
        <v>92</v>
      </c>
      <c r="D2946" t="s">
        <v>81</v>
      </c>
      <c r="E2946" s="77" t="s">
        <v>82</v>
      </c>
      <c r="F2946" s="77" t="s">
        <v>73</v>
      </c>
      <c r="G2946" s="77" t="s">
        <v>74</v>
      </c>
      <c r="H2946" s="77" t="s">
        <v>128</v>
      </c>
      <c r="I2946" s="77" t="s">
        <v>84</v>
      </c>
      <c r="J2946" s="76">
        <v>5.9963902402539811E-4</v>
      </c>
    </row>
    <row r="2947" spans="1:10" x14ac:dyDescent="0.35">
      <c r="A2947" t="s">
        <v>14</v>
      </c>
      <c r="B2947" t="s">
        <v>37</v>
      </c>
      <c r="C2947" s="77" t="s">
        <v>92</v>
      </c>
      <c r="D2947" t="s">
        <v>81</v>
      </c>
      <c r="E2947" s="77" t="s">
        <v>86</v>
      </c>
      <c r="F2947" s="77" t="s">
        <v>73</v>
      </c>
      <c r="G2947" s="77" t="s">
        <v>74</v>
      </c>
      <c r="H2947" s="77" t="s">
        <v>128</v>
      </c>
      <c r="I2947" s="77" t="s">
        <v>84</v>
      </c>
      <c r="J2947" s="76">
        <v>7.0614092017150581E-3</v>
      </c>
    </row>
    <row r="2948" spans="1:10" x14ac:dyDescent="0.35">
      <c r="A2948" t="s">
        <v>14</v>
      </c>
      <c r="B2948" t="s">
        <v>37</v>
      </c>
      <c r="C2948" s="77" t="s">
        <v>93</v>
      </c>
      <c r="D2948" t="s">
        <v>81</v>
      </c>
      <c r="E2948" s="77" t="s">
        <v>82</v>
      </c>
      <c r="F2948" s="77" t="s">
        <v>73</v>
      </c>
      <c r="G2948" s="77" t="s">
        <v>74</v>
      </c>
      <c r="H2948" s="77" t="s">
        <v>128</v>
      </c>
      <c r="I2948" s="77" t="s">
        <v>84</v>
      </c>
      <c r="J2948" s="76">
        <v>2.4854239602480213E-3</v>
      </c>
    </row>
    <row r="2949" spans="1:10" x14ac:dyDescent="0.35">
      <c r="A2949" t="s">
        <v>14</v>
      </c>
      <c r="B2949" t="s">
        <v>37</v>
      </c>
      <c r="C2949" s="77" t="s">
        <v>93</v>
      </c>
      <c r="D2949" t="s">
        <v>81</v>
      </c>
      <c r="E2949" s="77" t="s">
        <v>86</v>
      </c>
      <c r="F2949" s="77" t="s">
        <v>73</v>
      </c>
      <c r="G2949" s="77" t="s">
        <v>74</v>
      </c>
      <c r="H2949" s="77" t="s">
        <v>128</v>
      </c>
      <c r="I2949" s="77" t="s">
        <v>84</v>
      </c>
      <c r="J2949" s="76">
        <v>3.1580644155014347E-2</v>
      </c>
    </row>
    <row r="2950" spans="1:10" x14ac:dyDescent="0.35">
      <c r="A2950" t="s">
        <v>14</v>
      </c>
      <c r="B2950" t="s">
        <v>37</v>
      </c>
      <c r="C2950" s="77" t="s">
        <v>73</v>
      </c>
      <c r="D2950" t="s">
        <v>81</v>
      </c>
      <c r="E2950" s="77" t="s">
        <v>82</v>
      </c>
      <c r="F2950" s="77" t="s">
        <v>73</v>
      </c>
      <c r="G2950" s="77" t="s">
        <v>74</v>
      </c>
      <c r="H2950" s="77" t="s">
        <v>129</v>
      </c>
      <c r="I2950" s="77" t="s">
        <v>84</v>
      </c>
      <c r="J2950" s="76">
        <v>1.4658301341380521E-2</v>
      </c>
    </row>
    <row r="2951" spans="1:10" x14ac:dyDescent="0.35">
      <c r="A2951" t="s">
        <v>14</v>
      </c>
      <c r="B2951" t="s">
        <v>37</v>
      </c>
      <c r="C2951" s="77" t="s">
        <v>73</v>
      </c>
      <c r="D2951" t="s">
        <v>81</v>
      </c>
      <c r="E2951" s="77" t="s">
        <v>86</v>
      </c>
      <c r="F2951" s="77" t="s">
        <v>73</v>
      </c>
      <c r="G2951" s="77" t="s">
        <v>74</v>
      </c>
      <c r="H2951" s="77" t="s">
        <v>129</v>
      </c>
      <c r="I2951" s="77" t="s">
        <v>84</v>
      </c>
      <c r="J2951" s="76">
        <v>3.0740776778828832E-3</v>
      </c>
    </row>
    <row r="2952" spans="1:10" x14ac:dyDescent="0.35">
      <c r="A2952" t="s">
        <v>14</v>
      </c>
      <c r="B2952" t="s">
        <v>37</v>
      </c>
      <c r="C2952" s="77" t="s">
        <v>88</v>
      </c>
      <c r="D2952" t="s">
        <v>81</v>
      </c>
      <c r="E2952" s="77" t="s">
        <v>82</v>
      </c>
      <c r="F2952" s="77" t="s">
        <v>73</v>
      </c>
      <c r="G2952" s="77" t="s">
        <v>74</v>
      </c>
      <c r="H2952" s="77" t="s">
        <v>129</v>
      </c>
      <c r="I2952" s="77" t="s">
        <v>84</v>
      </c>
      <c r="J2952" s="76">
        <v>9.2276548594747033E-3</v>
      </c>
    </row>
    <row r="2953" spans="1:10" x14ac:dyDescent="0.35">
      <c r="A2953" t="s">
        <v>14</v>
      </c>
      <c r="B2953" t="s">
        <v>37</v>
      </c>
      <c r="C2953" s="77" t="s">
        <v>88</v>
      </c>
      <c r="D2953" t="s">
        <v>81</v>
      </c>
      <c r="E2953" s="77" t="s">
        <v>86</v>
      </c>
      <c r="F2953" s="77" t="s">
        <v>73</v>
      </c>
      <c r="G2953" s="77" t="s">
        <v>74</v>
      </c>
      <c r="H2953" s="77" t="s">
        <v>129</v>
      </c>
      <c r="I2953" s="77" t="s">
        <v>84</v>
      </c>
      <c r="J2953" s="76">
        <v>6.9627451701437512E-2</v>
      </c>
    </row>
    <row r="2954" spans="1:10" x14ac:dyDescent="0.35">
      <c r="A2954" t="s">
        <v>14</v>
      </c>
      <c r="B2954" t="s">
        <v>37</v>
      </c>
      <c r="C2954" s="77" t="s">
        <v>90</v>
      </c>
      <c r="D2954" t="s">
        <v>81</v>
      </c>
      <c r="E2954" s="77" t="s">
        <v>82</v>
      </c>
      <c r="F2954" s="77" t="s">
        <v>73</v>
      </c>
      <c r="G2954" s="77" t="s">
        <v>74</v>
      </c>
      <c r="H2954" s="77" t="s">
        <v>129</v>
      </c>
      <c r="I2954" s="77" t="s">
        <v>84</v>
      </c>
      <c r="J2954" s="76">
        <v>2.2200107734217647E-6</v>
      </c>
    </row>
    <row r="2955" spans="1:10" x14ac:dyDescent="0.35">
      <c r="A2955" t="s">
        <v>14</v>
      </c>
      <c r="B2955" t="s">
        <v>37</v>
      </c>
      <c r="C2955" s="77" t="s">
        <v>90</v>
      </c>
      <c r="D2955" t="s">
        <v>81</v>
      </c>
      <c r="E2955" s="77" t="s">
        <v>86</v>
      </c>
      <c r="F2955" s="77" t="s">
        <v>73</v>
      </c>
      <c r="G2955" s="77" t="s">
        <v>74</v>
      </c>
      <c r="H2955" s="77" t="s">
        <v>129</v>
      </c>
      <c r="I2955" s="77" t="s">
        <v>84</v>
      </c>
      <c r="J2955" s="76">
        <v>9.1135123377023061E-3</v>
      </c>
    </row>
    <row r="2956" spans="1:10" x14ac:dyDescent="0.35">
      <c r="A2956" t="s">
        <v>14</v>
      </c>
      <c r="B2956" t="s">
        <v>37</v>
      </c>
      <c r="C2956" s="77" t="s">
        <v>91</v>
      </c>
      <c r="D2956" t="s">
        <v>81</v>
      </c>
      <c r="E2956" s="77" t="s">
        <v>82</v>
      </c>
      <c r="F2956" s="77" t="s">
        <v>73</v>
      </c>
      <c r="G2956" s="77" t="s">
        <v>74</v>
      </c>
      <c r="H2956" s="77" t="s">
        <v>129</v>
      </c>
      <c r="I2956" s="77" t="s">
        <v>84</v>
      </c>
      <c r="J2956" s="76">
        <v>4.3195382907628159E-4</v>
      </c>
    </row>
    <row r="2957" spans="1:10" x14ac:dyDescent="0.35">
      <c r="A2957" t="s">
        <v>14</v>
      </c>
      <c r="B2957" t="s">
        <v>37</v>
      </c>
      <c r="C2957" s="77" t="s">
        <v>91</v>
      </c>
      <c r="D2957" t="s">
        <v>81</v>
      </c>
      <c r="E2957" s="77" t="s">
        <v>86</v>
      </c>
      <c r="F2957" s="77" t="s">
        <v>73</v>
      </c>
      <c r="G2957" s="77" t="s">
        <v>74</v>
      </c>
      <c r="H2957" s="77" t="s">
        <v>129</v>
      </c>
      <c r="I2957" s="77" t="s">
        <v>84</v>
      </c>
      <c r="J2957" s="76">
        <v>1.1339568587203704E-2</v>
      </c>
    </row>
    <row r="2958" spans="1:10" x14ac:dyDescent="0.35">
      <c r="A2958" t="s">
        <v>14</v>
      </c>
      <c r="B2958" t="s">
        <v>37</v>
      </c>
      <c r="C2958" s="77" t="s">
        <v>92</v>
      </c>
      <c r="D2958" t="s">
        <v>81</v>
      </c>
      <c r="E2958" s="77" t="s">
        <v>82</v>
      </c>
      <c r="F2958" s="77" t="s">
        <v>73</v>
      </c>
      <c r="G2958" s="77" t="s">
        <v>74</v>
      </c>
      <c r="H2958" s="77" t="s">
        <v>129</v>
      </c>
      <c r="I2958" s="77" t="s">
        <v>84</v>
      </c>
      <c r="J2958" s="76">
        <v>5.9963902402539811E-4</v>
      </c>
    </row>
    <row r="2959" spans="1:10" x14ac:dyDescent="0.35">
      <c r="A2959" t="s">
        <v>14</v>
      </c>
      <c r="B2959" t="s">
        <v>37</v>
      </c>
      <c r="C2959" s="77" t="s">
        <v>92</v>
      </c>
      <c r="D2959" t="s">
        <v>81</v>
      </c>
      <c r="E2959" s="77" t="s">
        <v>86</v>
      </c>
      <c r="F2959" s="77" t="s">
        <v>73</v>
      </c>
      <c r="G2959" s="77" t="s">
        <v>74</v>
      </c>
      <c r="H2959" s="77" t="s">
        <v>129</v>
      </c>
      <c r="I2959" s="77" t="s">
        <v>84</v>
      </c>
      <c r="J2959" s="76">
        <v>7.0614092017150581E-3</v>
      </c>
    </row>
    <row r="2960" spans="1:10" x14ac:dyDescent="0.35">
      <c r="A2960" t="s">
        <v>14</v>
      </c>
      <c r="B2960" t="s">
        <v>37</v>
      </c>
      <c r="C2960" s="77" t="s">
        <v>93</v>
      </c>
      <c r="D2960" t="s">
        <v>81</v>
      </c>
      <c r="E2960" s="77" t="s">
        <v>82</v>
      </c>
      <c r="F2960" s="77" t="s">
        <v>73</v>
      </c>
      <c r="G2960" s="77" t="s">
        <v>74</v>
      </c>
      <c r="H2960" s="77" t="s">
        <v>129</v>
      </c>
      <c r="I2960" s="77" t="s">
        <v>84</v>
      </c>
      <c r="J2960" s="76">
        <v>2.4854239602480213E-3</v>
      </c>
    </row>
    <row r="2961" spans="1:10" x14ac:dyDescent="0.35">
      <c r="A2961" t="s">
        <v>14</v>
      </c>
      <c r="B2961" t="s">
        <v>37</v>
      </c>
      <c r="C2961" s="77" t="s">
        <v>93</v>
      </c>
      <c r="D2961" t="s">
        <v>81</v>
      </c>
      <c r="E2961" s="77" t="s">
        <v>86</v>
      </c>
      <c r="F2961" s="77" t="s">
        <v>73</v>
      </c>
      <c r="G2961" s="77" t="s">
        <v>74</v>
      </c>
      <c r="H2961" s="77" t="s">
        <v>129</v>
      </c>
      <c r="I2961" s="77" t="s">
        <v>84</v>
      </c>
      <c r="J2961" s="76">
        <v>3.1580644155014347E-2</v>
      </c>
    </row>
    <row r="2962" spans="1:10" x14ac:dyDescent="0.35">
      <c r="A2962" t="s">
        <v>14</v>
      </c>
      <c r="B2962" t="s">
        <v>37</v>
      </c>
      <c r="C2962" s="77" t="s">
        <v>73</v>
      </c>
      <c r="D2962" t="s">
        <v>81</v>
      </c>
      <c r="E2962" s="77" t="s">
        <v>82</v>
      </c>
      <c r="F2962" s="77" t="s">
        <v>73</v>
      </c>
      <c r="G2962" s="77" t="s">
        <v>74</v>
      </c>
      <c r="H2962" s="77" t="s">
        <v>130</v>
      </c>
      <c r="I2962" s="77" t="s">
        <v>84</v>
      </c>
      <c r="J2962" s="76">
        <f>'SUT_EU27 total'!$Q$28</f>
        <v>7.0611384178638645E-2</v>
      </c>
    </row>
    <row r="2963" spans="1:10" x14ac:dyDescent="0.35">
      <c r="A2963" t="s">
        <v>14</v>
      </c>
      <c r="B2963" t="s">
        <v>37</v>
      </c>
      <c r="C2963" s="77" t="s">
        <v>88</v>
      </c>
      <c r="D2963" t="s">
        <v>81</v>
      </c>
      <c r="E2963" s="77" t="s">
        <v>82</v>
      </c>
      <c r="F2963" s="77" t="s">
        <v>73</v>
      </c>
      <c r="G2963" s="77" t="s">
        <v>74</v>
      </c>
      <c r="H2963" s="77" t="s">
        <v>130</v>
      </c>
      <c r="I2963" s="77" t="s">
        <v>84</v>
      </c>
      <c r="J2963" s="76">
        <f>'SUT_EU27 total'!$Q$45</f>
        <v>4.4451090694311274E-2</v>
      </c>
    </row>
    <row r="2964" spans="1:10" x14ac:dyDescent="0.35">
      <c r="A2964" t="s">
        <v>14</v>
      </c>
      <c r="B2964" t="s">
        <v>37</v>
      </c>
      <c r="C2964" s="77" t="s">
        <v>90</v>
      </c>
      <c r="D2964" t="s">
        <v>81</v>
      </c>
      <c r="E2964" s="77" t="s">
        <v>82</v>
      </c>
      <c r="F2964" s="77" t="s">
        <v>73</v>
      </c>
      <c r="G2964" s="77" t="s">
        <v>74</v>
      </c>
      <c r="H2964" s="77" t="s">
        <v>130</v>
      </c>
      <c r="I2964" s="77" t="s">
        <v>84</v>
      </c>
      <c r="J2964" s="76">
        <f>'SUT_EU27 total'!$Q$62</f>
        <v>1.0694147292515508E-5</v>
      </c>
    </row>
    <row r="2965" spans="1:10" x14ac:dyDescent="0.35">
      <c r="A2965" t="s">
        <v>14</v>
      </c>
      <c r="B2965" t="s">
        <v>37</v>
      </c>
      <c r="C2965" s="77" t="s">
        <v>91</v>
      </c>
      <c r="D2965" t="s">
        <v>81</v>
      </c>
      <c r="E2965" s="77" t="s">
        <v>82</v>
      </c>
      <c r="F2965" s="77" t="s">
        <v>73</v>
      </c>
      <c r="G2965" s="77" t="s">
        <v>74</v>
      </c>
      <c r="H2965" s="77" t="s">
        <v>130</v>
      </c>
      <c r="I2965" s="77" t="s">
        <v>84</v>
      </c>
      <c r="J2965" s="76">
        <f>'SUT_EU27 total'!$Q$79</f>
        <v>2.0807907452574416E-3</v>
      </c>
    </row>
    <row r="2966" spans="1:10" x14ac:dyDescent="0.35">
      <c r="A2966" t="s">
        <v>14</v>
      </c>
      <c r="B2966" t="s">
        <v>37</v>
      </c>
      <c r="C2966" s="77" t="s">
        <v>92</v>
      </c>
      <c r="D2966" t="s">
        <v>81</v>
      </c>
      <c r="E2966" s="77" t="s">
        <v>82</v>
      </c>
      <c r="F2966" s="77" t="s">
        <v>73</v>
      </c>
      <c r="G2966" s="77" t="s">
        <v>74</v>
      </c>
      <c r="H2966" s="77" t="s">
        <v>130</v>
      </c>
      <c r="I2966" s="77" t="s">
        <v>84</v>
      </c>
      <c r="J2966" s="76">
        <f>'SUT_EU27 total'!$Q$96</f>
        <v>2.8885571737041122E-3</v>
      </c>
    </row>
    <row r="2967" spans="1:10" x14ac:dyDescent="0.35">
      <c r="A2967" t="s">
        <v>14</v>
      </c>
      <c r="B2967" t="s">
        <v>37</v>
      </c>
      <c r="C2967" s="77" t="s">
        <v>93</v>
      </c>
      <c r="D2967" t="s">
        <v>81</v>
      </c>
      <c r="E2967" s="77" t="s">
        <v>82</v>
      </c>
      <c r="F2967" s="77" t="s">
        <v>73</v>
      </c>
      <c r="G2967" s="77" t="s">
        <v>74</v>
      </c>
      <c r="H2967" s="77" t="s">
        <v>130</v>
      </c>
      <c r="I2967" s="77" t="s">
        <v>84</v>
      </c>
      <c r="J2967" s="76">
        <f>'SUT_EU27 total'!$Q$113</f>
        <v>1.1972685102906883E-2</v>
      </c>
    </row>
    <row r="2968" spans="1:10" x14ac:dyDescent="0.35">
      <c r="A2968" t="s">
        <v>14</v>
      </c>
      <c r="B2968" t="s">
        <v>37</v>
      </c>
      <c r="C2968" s="77" t="s">
        <v>73</v>
      </c>
      <c r="D2968" s="77" t="s">
        <v>81</v>
      </c>
      <c r="E2968" s="77" t="s">
        <v>96</v>
      </c>
      <c r="F2968" s="77" t="s">
        <v>73</v>
      </c>
      <c r="G2968" s="77" t="s">
        <v>74</v>
      </c>
      <c r="H2968" s="77" t="s">
        <v>130</v>
      </c>
      <c r="I2968" s="77" t="s">
        <v>84</v>
      </c>
      <c r="J2968" s="74" cm="1">
        <f t="array" ref="J2968:J2969">Sensitivity!J82:J83</f>
        <v>9.0622182146077552</v>
      </c>
    </row>
    <row r="2969" spans="1:10" x14ac:dyDescent="0.35">
      <c r="A2969" t="s">
        <v>14</v>
      </c>
      <c r="B2969" t="s">
        <v>37</v>
      </c>
      <c r="C2969" s="77" t="s">
        <v>73</v>
      </c>
      <c r="D2969" s="77" t="s">
        <v>81</v>
      </c>
      <c r="E2969" s="77" t="s">
        <v>99</v>
      </c>
      <c r="F2969" s="77" t="s">
        <v>73</v>
      </c>
      <c r="G2969" s="77" t="s">
        <v>74</v>
      </c>
      <c r="H2969" s="77" t="s">
        <v>130</v>
      </c>
      <c r="I2969" s="77" t="s">
        <v>84</v>
      </c>
      <c r="J2969" s="74">
        <v>0</v>
      </c>
    </row>
    <row r="2970" spans="1:10" x14ac:dyDescent="0.35">
      <c r="A2970" t="s">
        <v>14</v>
      </c>
      <c r="B2970" t="s">
        <v>37</v>
      </c>
      <c r="C2970" s="77" t="s">
        <v>73</v>
      </c>
      <c r="D2970" t="s">
        <v>81</v>
      </c>
      <c r="E2970" s="77" t="s">
        <v>131</v>
      </c>
      <c r="F2970" s="77" t="s">
        <v>73</v>
      </c>
      <c r="G2970" s="77" t="s">
        <v>74</v>
      </c>
      <c r="H2970" s="77" t="s">
        <v>112</v>
      </c>
      <c r="I2970" s="77" t="s">
        <v>84</v>
      </c>
      <c r="J2970" s="76">
        <f>'SUT_EU27 total'!$R$24</f>
        <v>4.0146105919003111E-8</v>
      </c>
    </row>
    <row r="2971" spans="1:10" x14ac:dyDescent="0.35">
      <c r="A2971" t="s">
        <v>14</v>
      </c>
      <c r="B2971" t="s">
        <v>37</v>
      </c>
      <c r="C2971" s="77" t="s">
        <v>73</v>
      </c>
      <c r="D2971" t="s">
        <v>81</v>
      </c>
      <c r="E2971" s="77" t="s">
        <v>122</v>
      </c>
      <c r="F2971" s="77" t="s">
        <v>73</v>
      </c>
      <c r="G2971" s="77" t="s">
        <v>74</v>
      </c>
      <c r="H2971" s="77" t="s">
        <v>112</v>
      </c>
      <c r="I2971" s="77" t="s">
        <v>84</v>
      </c>
      <c r="J2971" s="76">
        <f>'SUT_EU27 total'!$R$30</f>
        <v>3.9708116569218732E-4</v>
      </c>
    </row>
    <row r="2972" spans="1:10" x14ac:dyDescent="0.35">
      <c r="A2972" t="s">
        <v>14</v>
      </c>
      <c r="B2972" t="s">
        <v>37</v>
      </c>
      <c r="C2972" s="77" t="s">
        <v>73</v>
      </c>
      <c r="D2972" t="s">
        <v>81</v>
      </c>
      <c r="E2972" s="77" t="s">
        <v>101</v>
      </c>
      <c r="F2972" s="77" t="s">
        <v>73</v>
      </c>
      <c r="G2972" s="77" t="s">
        <v>74</v>
      </c>
      <c r="H2972" s="77" t="s">
        <v>112</v>
      </c>
      <c r="I2972" s="77" t="s">
        <v>84</v>
      </c>
      <c r="J2972" s="76" cm="1">
        <f t="array" ref="J2972:J2974">'SUT_EU27 total'!$R$32:$R$34</f>
        <v>1.2183459827918709E-7</v>
      </c>
    </row>
    <row r="2973" spans="1:10" x14ac:dyDescent="0.35">
      <c r="A2973" t="s">
        <v>14</v>
      </c>
      <c r="B2973" t="s">
        <v>37</v>
      </c>
      <c r="C2973" s="77" t="s">
        <v>73</v>
      </c>
      <c r="D2973" t="s">
        <v>81</v>
      </c>
      <c r="E2973" s="77" t="s">
        <v>104</v>
      </c>
      <c r="F2973" s="77" t="s">
        <v>73</v>
      </c>
      <c r="G2973" s="77" t="s">
        <v>74</v>
      </c>
      <c r="H2973" s="77" t="s">
        <v>112</v>
      </c>
      <c r="I2973" s="77" t="s">
        <v>84</v>
      </c>
      <c r="J2973" s="76">
        <v>2.3068290654205609E-7</v>
      </c>
    </row>
    <row r="2974" spans="1:10" x14ac:dyDescent="0.35">
      <c r="A2974" t="s">
        <v>14</v>
      </c>
      <c r="B2974" t="s">
        <v>37</v>
      </c>
      <c r="C2974" s="77" t="s">
        <v>73</v>
      </c>
      <c r="D2974" t="s">
        <v>81</v>
      </c>
      <c r="E2974" s="77" t="s">
        <v>106</v>
      </c>
      <c r="F2974" s="77" t="s">
        <v>73</v>
      </c>
      <c r="G2974" s="77" t="s">
        <v>74</v>
      </c>
      <c r="H2974" s="77" t="s">
        <v>112</v>
      </c>
      <c r="I2974" s="77" t="s">
        <v>84</v>
      </c>
      <c r="J2974" s="76">
        <v>7.8463573653760568E-7</v>
      </c>
    </row>
    <row r="2975" spans="1:10" x14ac:dyDescent="0.35">
      <c r="A2975" t="s">
        <v>14</v>
      </c>
      <c r="B2975" t="s">
        <v>37</v>
      </c>
      <c r="C2975" s="77" t="s">
        <v>88</v>
      </c>
      <c r="D2975" t="s">
        <v>81</v>
      </c>
      <c r="E2975" s="77" t="s">
        <v>131</v>
      </c>
      <c r="F2975" s="77" t="s">
        <v>73</v>
      </c>
      <c r="G2975" s="77" t="s">
        <v>74</v>
      </c>
      <c r="H2975" s="77" t="s">
        <v>112</v>
      </c>
      <c r="I2975" s="77" t="s">
        <v>84</v>
      </c>
      <c r="J2975" s="76">
        <f>'SUT_EU27 total'!$R$41</f>
        <v>0</v>
      </c>
    </row>
    <row r="2976" spans="1:10" x14ac:dyDescent="0.35">
      <c r="A2976" t="s">
        <v>14</v>
      </c>
      <c r="B2976" t="s">
        <v>37</v>
      </c>
      <c r="C2976" s="77" t="s">
        <v>88</v>
      </c>
      <c r="D2976" t="s">
        <v>81</v>
      </c>
      <c r="E2976" s="77" t="s">
        <v>122</v>
      </c>
      <c r="F2976" s="77" t="s">
        <v>73</v>
      </c>
      <c r="G2976" s="77" t="s">
        <v>74</v>
      </c>
      <c r="H2976" s="77" t="s">
        <v>112</v>
      </c>
      <c r="I2976" s="77" t="s">
        <v>84</v>
      </c>
      <c r="J2976" s="76">
        <f>'SUT_EU27 total'!$R$47</f>
        <v>0</v>
      </c>
    </row>
    <row r="2977" spans="1:10" x14ac:dyDescent="0.35">
      <c r="A2977" t="s">
        <v>14</v>
      </c>
      <c r="B2977" t="s">
        <v>37</v>
      </c>
      <c r="C2977" s="77" t="s">
        <v>88</v>
      </c>
      <c r="D2977" t="s">
        <v>81</v>
      </c>
      <c r="E2977" s="77" t="s">
        <v>101</v>
      </c>
      <c r="F2977" s="77" t="s">
        <v>73</v>
      </c>
      <c r="G2977" s="77" t="s">
        <v>74</v>
      </c>
      <c r="H2977" s="77" t="s">
        <v>112</v>
      </c>
      <c r="I2977" s="77" t="s">
        <v>84</v>
      </c>
      <c r="J2977" s="76" cm="1">
        <f t="array" ref="J2977:J2979">'SUT_EU27 total'!$R$49:$R$51</f>
        <v>0</v>
      </c>
    </row>
    <row r="2978" spans="1:10" x14ac:dyDescent="0.35">
      <c r="A2978" t="s">
        <v>14</v>
      </c>
      <c r="B2978" t="s">
        <v>37</v>
      </c>
      <c r="C2978" s="77" t="s">
        <v>88</v>
      </c>
      <c r="D2978" t="s">
        <v>81</v>
      </c>
      <c r="E2978" s="77" t="s">
        <v>104</v>
      </c>
      <c r="F2978" s="77" t="s">
        <v>73</v>
      </c>
      <c r="G2978" s="77" t="s">
        <v>74</v>
      </c>
      <c r="H2978" s="77" t="s">
        <v>112</v>
      </c>
      <c r="I2978" s="77" t="s">
        <v>84</v>
      </c>
      <c r="J2978" s="76">
        <v>0</v>
      </c>
    </row>
    <row r="2979" spans="1:10" x14ac:dyDescent="0.35">
      <c r="A2979" t="s">
        <v>14</v>
      </c>
      <c r="B2979" t="s">
        <v>37</v>
      </c>
      <c r="C2979" s="77" t="s">
        <v>88</v>
      </c>
      <c r="D2979" t="s">
        <v>81</v>
      </c>
      <c r="E2979" s="77" t="s">
        <v>106</v>
      </c>
      <c r="F2979" s="77" t="s">
        <v>73</v>
      </c>
      <c r="G2979" s="77" t="s">
        <v>74</v>
      </c>
      <c r="H2979" s="77" t="s">
        <v>112</v>
      </c>
      <c r="I2979" s="77" t="s">
        <v>84</v>
      </c>
      <c r="J2979" s="76">
        <v>0</v>
      </c>
    </row>
    <row r="2980" spans="1:10" x14ac:dyDescent="0.35">
      <c r="A2980" t="s">
        <v>14</v>
      </c>
      <c r="B2980" t="s">
        <v>37</v>
      </c>
      <c r="C2980" s="77" t="s">
        <v>90</v>
      </c>
      <c r="D2980" t="s">
        <v>81</v>
      </c>
      <c r="E2980" s="77" t="s">
        <v>131</v>
      </c>
      <c r="F2980" s="77" t="s">
        <v>73</v>
      </c>
      <c r="G2980" s="77" t="s">
        <v>74</v>
      </c>
      <c r="H2980" s="77" t="s">
        <v>112</v>
      </c>
      <c r="I2980" s="77" t="s">
        <v>84</v>
      </c>
      <c r="J2980" s="76">
        <f>'SUT_EU27 total'!$R$58</f>
        <v>0</v>
      </c>
    </row>
    <row r="2981" spans="1:10" x14ac:dyDescent="0.35">
      <c r="A2981" t="s">
        <v>14</v>
      </c>
      <c r="B2981" t="s">
        <v>37</v>
      </c>
      <c r="C2981" s="77" t="s">
        <v>90</v>
      </c>
      <c r="D2981" t="s">
        <v>81</v>
      </c>
      <c r="E2981" s="77" t="s">
        <v>122</v>
      </c>
      <c r="F2981" s="77" t="s">
        <v>73</v>
      </c>
      <c r="G2981" s="77" t="s">
        <v>74</v>
      </c>
      <c r="H2981" s="77" t="s">
        <v>112</v>
      </c>
      <c r="I2981" s="77" t="s">
        <v>84</v>
      </c>
      <c r="J2981" s="76">
        <f>'SUT_EU27 total'!$R$64</f>
        <v>6.4108466461028498E-4</v>
      </c>
    </row>
    <row r="2982" spans="1:10" x14ac:dyDescent="0.35">
      <c r="A2982" t="s">
        <v>14</v>
      </c>
      <c r="B2982" t="s">
        <v>37</v>
      </c>
      <c r="C2982" s="77" t="s">
        <v>90</v>
      </c>
      <c r="D2982" t="s">
        <v>81</v>
      </c>
      <c r="E2982" s="77" t="s">
        <v>101</v>
      </c>
      <c r="F2982" s="77" t="s">
        <v>73</v>
      </c>
      <c r="G2982" s="77" t="s">
        <v>74</v>
      </c>
      <c r="H2982" s="77" t="s">
        <v>112</v>
      </c>
      <c r="I2982" s="77" t="s">
        <v>84</v>
      </c>
      <c r="J2982" s="76" cm="1">
        <f t="array" ref="J2982:J2984">'SUT_EU27 total'!$R$66:$R$68</f>
        <v>0</v>
      </c>
    </row>
    <row r="2983" spans="1:10" x14ac:dyDescent="0.35">
      <c r="A2983" t="s">
        <v>14</v>
      </c>
      <c r="B2983" t="s">
        <v>37</v>
      </c>
      <c r="C2983" s="77" t="s">
        <v>90</v>
      </c>
      <c r="D2983" t="s">
        <v>81</v>
      </c>
      <c r="E2983" s="77" t="s">
        <v>104</v>
      </c>
      <c r="F2983" s="77" t="s">
        <v>73</v>
      </c>
      <c r="G2983" s="77" t="s">
        <v>74</v>
      </c>
      <c r="H2983" s="77" t="s">
        <v>112</v>
      </c>
      <c r="I2983" s="77" t="s">
        <v>84</v>
      </c>
      <c r="J2983" s="76">
        <v>0</v>
      </c>
    </row>
    <row r="2984" spans="1:10" x14ac:dyDescent="0.35">
      <c r="A2984" t="s">
        <v>14</v>
      </c>
      <c r="B2984" t="s">
        <v>37</v>
      </c>
      <c r="C2984" s="77" t="s">
        <v>90</v>
      </c>
      <c r="D2984" t="s">
        <v>81</v>
      </c>
      <c r="E2984" s="77" t="s">
        <v>106</v>
      </c>
      <c r="F2984" s="77" t="s">
        <v>73</v>
      </c>
      <c r="G2984" s="77" t="s">
        <v>74</v>
      </c>
      <c r="H2984" s="77" t="s">
        <v>112</v>
      </c>
      <c r="I2984" s="77" t="s">
        <v>84</v>
      </c>
      <c r="J2984" s="76">
        <v>0</v>
      </c>
    </row>
    <row r="2985" spans="1:10" x14ac:dyDescent="0.35">
      <c r="A2985" t="s">
        <v>14</v>
      </c>
      <c r="B2985" t="s">
        <v>37</v>
      </c>
      <c r="C2985" s="77" t="s">
        <v>91</v>
      </c>
      <c r="D2985" t="s">
        <v>81</v>
      </c>
      <c r="E2985" s="77" t="s">
        <v>131</v>
      </c>
      <c r="F2985" s="77" t="s">
        <v>73</v>
      </c>
      <c r="G2985" s="77" t="s">
        <v>74</v>
      </c>
      <c r="H2985" s="77" t="s">
        <v>112</v>
      </c>
      <c r="I2985" s="77" t="s">
        <v>84</v>
      </c>
      <c r="J2985" s="76">
        <f>'SUT_EU27 total'!$R$75</f>
        <v>0</v>
      </c>
    </row>
    <row r="2986" spans="1:10" x14ac:dyDescent="0.35">
      <c r="A2986" t="s">
        <v>14</v>
      </c>
      <c r="B2986" t="s">
        <v>37</v>
      </c>
      <c r="C2986" s="77" t="s">
        <v>91</v>
      </c>
      <c r="D2986" t="s">
        <v>81</v>
      </c>
      <c r="E2986" s="77" t="s">
        <v>122</v>
      </c>
      <c r="F2986" s="77" t="s">
        <v>73</v>
      </c>
      <c r="G2986" s="77" t="s">
        <v>74</v>
      </c>
      <c r="H2986" s="77" t="s">
        <v>112</v>
      </c>
      <c r="I2986" s="77" t="s">
        <v>84</v>
      </c>
      <c r="J2986" s="76">
        <f>'SUT_EU27 total'!$R$81</f>
        <v>0</v>
      </c>
    </row>
    <row r="2987" spans="1:10" x14ac:dyDescent="0.35">
      <c r="A2987" t="s">
        <v>14</v>
      </c>
      <c r="B2987" t="s">
        <v>37</v>
      </c>
      <c r="C2987" s="77" t="s">
        <v>91</v>
      </c>
      <c r="D2987" t="s">
        <v>81</v>
      </c>
      <c r="E2987" s="77" t="s">
        <v>101</v>
      </c>
      <c r="F2987" s="77" t="s">
        <v>73</v>
      </c>
      <c r="G2987" s="77" t="s">
        <v>74</v>
      </c>
      <c r="H2987" s="77" t="s">
        <v>112</v>
      </c>
      <c r="I2987" s="77" t="s">
        <v>84</v>
      </c>
      <c r="J2987" s="76" cm="1">
        <f t="array" ref="J2987:J2989">'SUT_EU27 total'!$R$83:$R$85</f>
        <v>0</v>
      </c>
    </row>
    <row r="2988" spans="1:10" x14ac:dyDescent="0.35">
      <c r="A2988" t="s">
        <v>14</v>
      </c>
      <c r="B2988" t="s">
        <v>37</v>
      </c>
      <c r="C2988" s="77" t="s">
        <v>91</v>
      </c>
      <c r="D2988" t="s">
        <v>81</v>
      </c>
      <c r="E2988" s="77" t="s">
        <v>104</v>
      </c>
      <c r="F2988" s="77" t="s">
        <v>73</v>
      </c>
      <c r="G2988" s="77" t="s">
        <v>74</v>
      </c>
      <c r="H2988" s="77" t="s">
        <v>112</v>
      </c>
      <c r="I2988" s="77" t="s">
        <v>84</v>
      </c>
      <c r="J2988" s="76">
        <v>0</v>
      </c>
    </row>
    <row r="2989" spans="1:10" x14ac:dyDescent="0.35">
      <c r="A2989" t="s">
        <v>14</v>
      </c>
      <c r="B2989" t="s">
        <v>37</v>
      </c>
      <c r="C2989" s="77" t="s">
        <v>91</v>
      </c>
      <c r="D2989" t="s">
        <v>81</v>
      </c>
      <c r="E2989" s="77" t="s">
        <v>106</v>
      </c>
      <c r="F2989" s="77" t="s">
        <v>73</v>
      </c>
      <c r="G2989" s="77" t="s">
        <v>74</v>
      </c>
      <c r="H2989" s="77" t="s">
        <v>112</v>
      </c>
      <c r="I2989" s="77" t="s">
        <v>84</v>
      </c>
      <c r="J2989" s="76">
        <v>0</v>
      </c>
    </row>
    <row r="2990" spans="1:10" x14ac:dyDescent="0.35">
      <c r="A2990" t="s">
        <v>14</v>
      </c>
      <c r="B2990" t="s">
        <v>37</v>
      </c>
      <c r="C2990" s="77" t="s">
        <v>92</v>
      </c>
      <c r="D2990" t="s">
        <v>81</v>
      </c>
      <c r="E2990" s="77" t="s">
        <v>131</v>
      </c>
      <c r="F2990" s="77" t="s">
        <v>73</v>
      </c>
      <c r="G2990" s="77" t="s">
        <v>74</v>
      </c>
      <c r="H2990" s="77" t="s">
        <v>112</v>
      </c>
      <c r="I2990" s="77" t="s">
        <v>84</v>
      </c>
      <c r="J2990" s="76">
        <f>'SUT_EU27 total'!$R$92</f>
        <v>0</v>
      </c>
    </row>
    <row r="2991" spans="1:10" x14ac:dyDescent="0.35">
      <c r="A2991" t="s">
        <v>14</v>
      </c>
      <c r="B2991" t="s">
        <v>37</v>
      </c>
      <c r="C2991" s="77" t="s">
        <v>92</v>
      </c>
      <c r="D2991" t="s">
        <v>81</v>
      </c>
      <c r="E2991" s="77" t="s">
        <v>122</v>
      </c>
      <c r="F2991" s="77" t="s">
        <v>73</v>
      </c>
      <c r="G2991" s="77" t="s">
        <v>74</v>
      </c>
      <c r="H2991" s="77" t="s">
        <v>112</v>
      </c>
      <c r="I2991" s="77" t="s">
        <v>84</v>
      </c>
      <c r="J2991" s="76">
        <f>'SUT_EU27 total'!$R$98</f>
        <v>0</v>
      </c>
    </row>
    <row r="2992" spans="1:10" x14ac:dyDescent="0.35">
      <c r="A2992" t="s">
        <v>14</v>
      </c>
      <c r="B2992" t="s">
        <v>37</v>
      </c>
      <c r="C2992" s="77" t="s">
        <v>92</v>
      </c>
      <c r="D2992" t="s">
        <v>81</v>
      </c>
      <c r="E2992" s="77" t="s">
        <v>101</v>
      </c>
      <c r="F2992" s="77" t="s">
        <v>73</v>
      </c>
      <c r="G2992" s="77" t="s">
        <v>74</v>
      </c>
      <c r="H2992" s="77" t="s">
        <v>112</v>
      </c>
      <c r="I2992" s="77" t="s">
        <v>84</v>
      </c>
      <c r="J2992" s="76" cm="1">
        <f t="array" ref="J2992:J2994">'SUT_EU27 total'!$R$100:$R$102</f>
        <v>0</v>
      </c>
    </row>
    <row r="2993" spans="1:10" x14ac:dyDescent="0.35">
      <c r="A2993" t="s">
        <v>14</v>
      </c>
      <c r="B2993" t="s">
        <v>37</v>
      </c>
      <c r="C2993" s="77" t="s">
        <v>92</v>
      </c>
      <c r="D2993" t="s">
        <v>81</v>
      </c>
      <c r="E2993" s="77" t="s">
        <v>104</v>
      </c>
      <c r="F2993" s="77" t="s">
        <v>73</v>
      </c>
      <c r="G2993" s="77" t="s">
        <v>74</v>
      </c>
      <c r="H2993" s="77" t="s">
        <v>112</v>
      </c>
      <c r="I2993" s="77" t="s">
        <v>84</v>
      </c>
      <c r="J2993" s="76">
        <v>0</v>
      </c>
    </row>
    <row r="2994" spans="1:10" x14ac:dyDescent="0.35">
      <c r="A2994" t="s">
        <v>14</v>
      </c>
      <c r="B2994" t="s">
        <v>37</v>
      </c>
      <c r="C2994" s="77" t="s">
        <v>92</v>
      </c>
      <c r="D2994" t="s">
        <v>81</v>
      </c>
      <c r="E2994" s="77" t="s">
        <v>106</v>
      </c>
      <c r="F2994" s="77" t="s">
        <v>73</v>
      </c>
      <c r="G2994" s="77" t="s">
        <v>74</v>
      </c>
      <c r="H2994" s="77" t="s">
        <v>112</v>
      </c>
      <c r="I2994" s="77" t="s">
        <v>84</v>
      </c>
      <c r="J2994" s="76">
        <v>0</v>
      </c>
    </row>
    <row r="2995" spans="1:10" x14ac:dyDescent="0.35">
      <c r="A2995" t="s">
        <v>14</v>
      </c>
      <c r="B2995" t="s">
        <v>37</v>
      </c>
      <c r="C2995" s="77" t="s">
        <v>93</v>
      </c>
      <c r="D2995" t="s">
        <v>81</v>
      </c>
      <c r="E2995" s="77" t="s">
        <v>131</v>
      </c>
      <c r="F2995" s="77" t="s">
        <v>73</v>
      </c>
      <c r="G2995" s="77" t="s">
        <v>74</v>
      </c>
      <c r="H2995" s="77" t="s">
        <v>112</v>
      </c>
      <c r="I2995" s="77" t="s">
        <v>84</v>
      </c>
      <c r="J2995" s="76">
        <f>'SUT_EU27 total'!$R$109</f>
        <v>0</v>
      </c>
    </row>
    <row r="2996" spans="1:10" x14ac:dyDescent="0.35">
      <c r="A2996" t="s">
        <v>14</v>
      </c>
      <c r="B2996" t="s">
        <v>37</v>
      </c>
      <c r="C2996" s="77" t="s">
        <v>93</v>
      </c>
      <c r="D2996" t="s">
        <v>81</v>
      </c>
      <c r="E2996" s="77" t="s">
        <v>122</v>
      </c>
      <c r="F2996" s="77" t="s">
        <v>73</v>
      </c>
      <c r="G2996" s="77" t="s">
        <v>74</v>
      </c>
      <c r="H2996" s="77" t="s">
        <v>112</v>
      </c>
      <c r="I2996" s="77" t="s">
        <v>84</v>
      </c>
      <c r="J2996" s="76">
        <f>'SUT_EU27 total'!$R$115</f>
        <v>2.188358424259166E-3</v>
      </c>
    </row>
    <row r="2997" spans="1:10" x14ac:dyDescent="0.35">
      <c r="A2997" t="s">
        <v>14</v>
      </c>
      <c r="B2997" t="s">
        <v>37</v>
      </c>
      <c r="C2997" s="77" t="s">
        <v>93</v>
      </c>
      <c r="D2997" t="s">
        <v>81</v>
      </c>
      <c r="E2997" s="77" t="s">
        <v>101</v>
      </c>
      <c r="F2997" s="77" t="s">
        <v>73</v>
      </c>
      <c r="G2997" s="77" t="s">
        <v>74</v>
      </c>
      <c r="H2997" s="77" t="s">
        <v>112</v>
      </c>
      <c r="I2997" s="77" t="s">
        <v>84</v>
      </c>
      <c r="J2997" s="76" cm="1">
        <f t="array" ref="J2997:J2999">'SUT_EU27 total'!$R$117:$R$119</f>
        <v>0</v>
      </c>
    </row>
    <row r="2998" spans="1:10" x14ac:dyDescent="0.35">
      <c r="A2998" t="s">
        <v>14</v>
      </c>
      <c r="B2998" t="s">
        <v>37</v>
      </c>
      <c r="C2998" s="77" t="s">
        <v>93</v>
      </c>
      <c r="D2998" t="s">
        <v>81</v>
      </c>
      <c r="E2998" s="77" t="s">
        <v>104</v>
      </c>
      <c r="F2998" s="77" t="s">
        <v>73</v>
      </c>
      <c r="G2998" s="77" t="s">
        <v>74</v>
      </c>
      <c r="H2998" s="77" t="s">
        <v>112</v>
      </c>
      <c r="I2998" s="77" t="s">
        <v>84</v>
      </c>
      <c r="J2998" s="76">
        <v>0</v>
      </c>
    </row>
    <row r="2999" spans="1:10" x14ac:dyDescent="0.35">
      <c r="A2999" t="s">
        <v>14</v>
      </c>
      <c r="B2999" t="s">
        <v>37</v>
      </c>
      <c r="C2999" s="77" t="s">
        <v>93</v>
      </c>
      <c r="D2999" t="s">
        <v>81</v>
      </c>
      <c r="E2999" s="77" t="s">
        <v>106</v>
      </c>
      <c r="F2999" s="77" t="s">
        <v>73</v>
      </c>
      <c r="G2999" s="77" t="s">
        <v>74</v>
      </c>
      <c r="H2999" s="77" t="s">
        <v>112</v>
      </c>
      <c r="I2999" s="77" t="s">
        <v>84</v>
      </c>
      <c r="J2999" s="76">
        <v>0</v>
      </c>
    </row>
    <row r="3000" spans="1:10" x14ac:dyDescent="0.35">
      <c r="A3000" t="s">
        <v>14</v>
      </c>
      <c r="B3000" t="s">
        <v>37</v>
      </c>
      <c r="C3000" s="77" t="s">
        <v>73</v>
      </c>
      <c r="D3000" t="s">
        <v>81</v>
      </c>
      <c r="E3000" s="77" t="s">
        <v>131</v>
      </c>
      <c r="F3000" s="77" t="s">
        <v>73</v>
      </c>
      <c r="G3000" s="77" t="s">
        <v>74</v>
      </c>
      <c r="H3000" s="77" t="s">
        <v>113</v>
      </c>
      <c r="I3000" s="77" t="s">
        <v>84</v>
      </c>
      <c r="J3000" s="76">
        <f>'SUT_EU27 total'!$S$24</f>
        <v>5.0294789999999994E-8</v>
      </c>
    </row>
    <row r="3001" spans="1:10" x14ac:dyDescent="0.35">
      <c r="A3001" t="s">
        <v>14</v>
      </c>
      <c r="B3001" t="s">
        <v>37</v>
      </c>
      <c r="C3001" s="77" t="s">
        <v>73</v>
      </c>
      <c r="D3001" t="s">
        <v>81</v>
      </c>
      <c r="E3001" s="77" t="s">
        <v>101</v>
      </c>
      <c r="F3001" s="77" t="s">
        <v>73</v>
      </c>
      <c r="G3001" s="77" t="s">
        <v>74</v>
      </c>
      <c r="H3001" s="77" t="s">
        <v>113</v>
      </c>
      <c r="I3001" s="77" t="s">
        <v>84</v>
      </c>
      <c r="J3001" s="76" cm="1">
        <f t="array" ref="J3001:J3003">'SUT_EU27 total'!$S$32:$S$34</f>
        <v>1.7883556705882356E-5</v>
      </c>
    </row>
    <row r="3002" spans="1:10" x14ac:dyDescent="0.35">
      <c r="A3002" t="s">
        <v>14</v>
      </c>
      <c r="B3002" t="s">
        <v>37</v>
      </c>
      <c r="C3002" s="77" t="s">
        <v>73</v>
      </c>
      <c r="D3002" t="s">
        <v>81</v>
      </c>
      <c r="E3002" s="77" t="s">
        <v>104</v>
      </c>
      <c r="F3002" s="77" t="s">
        <v>73</v>
      </c>
      <c r="G3002" s="77" t="s">
        <v>74</v>
      </c>
      <c r="H3002" s="77" t="s">
        <v>113</v>
      </c>
      <c r="I3002" s="77" t="s">
        <v>84</v>
      </c>
      <c r="J3002" s="76">
        <v>3.3860913882352942E-5</v>
      </c>
    </row>
    <row r="3003" spans="1:10" x14ac:dyDescent="0.35">
      <c r="A3003" t="s">
        <v>14</v>
      </c>
      <c r="B3003" t="s">
        <v>37</v>
      </c>
      <c r="C3003" s="77" t="s">
        <v>73</v>
      </c>
      <c r="D3003" t="s">
        <v>81</v>
      </c>
      <c r="E3003" s="77" t="s">
        <v>106</v>
      </c>
      <c r="F3003" s="77" t="s">
        <v>73</v>
      </c>
      <c r="G3003" s="77" t="s">
        <v>74</v>
      </c>
      <c r="H3003" s="77" t="s">
        <v>113</v>
      </c>
      <c r="I3003" s="77" t="s">
        <v>84</v>
      </c>
      <c r="J3003" s="76">
        <v>1.1517317647058823E-4</v>
      </c>
    </row>
    <row r="3004" spans="1:10" x14ac:dyDescent="0.35">
      <c r="A3004" t="s">
        <v>14</v>
      </c>
      <c r="B3004" t="s">
        <v>37</v>
      </c>
      <c r="C3004" s="77" t="s">
        <v>88</v>
      </c>
      <c r="D3004" t="s">
        <v>81</v>
      </c>
      <c r="E3004" s="77" t="s">
        <v>131</v>
      </c>
      <c r="F3004" s="77" t="s">
        <v>73</v>
      </c>
      <c r="G3004" s="77" t="s">
        <v>74</v>
      </c>
      <c r="H3004" s="77" t="s">
        <v>113</v>
      </c>
      <c r="I3004" s="77" t="s">
        <v>84</v>
      </c>
      <c r="J3004" s="76">
        <f>'SUT_EU27 total'!$S$41</f>
        <v>0</v>
      </c>
    </row>
    <row r="3005" spans="1:10" x14ac:dyDescent="0.35">
      <c r="A3005" t="s">
        <v>14</v>
      </c>
      <c r="B3005" t="s">
        <v>37</v>
      </c>
      <c r="C3005" s="77" t="s">
        <v>88</v>
      </c>
      <c r="D3005" t="s">
        <v>81</v>
      </c>
      <c r="E3005" s="77" t="s">
        <v>101</v>
      </c>
      <c r="F3005" s="77" t="s">
        <v>73</v>
      </c>
      <c r="G3005" s="77" t="s">
        <v>74</v>
      </c>
      <c r="H3005" s="77" t="s">
        <v>113</v>
      </c>
      <c r="I3005" s="77" t="s">
        <v>84</v>
      </c>
      <c r="J3005" s="76" cm="1">
        <f t="array" ref="J3005:J3007">'SUT_EU27 total'!$S$49:$S$51</f>
        <v>0</v>
      </c>
    </row>
    <row r="3006" spans="1:10" x14ac:dyDescent="0.35">
      <c r="A3006" t="s">
        <v>14</v>
      </c>
      <c r="B3006" t="s">
        <v>37</v>
      </c>
      <c r="C3006" s="77" t="s">
        <v>88</v>
      </c>
      <c r="D3006" t="s">
        <v>81</v>
      </c>
      <c r="E3006" s="77" t="s">
        <v>104</v>
      </c>
      <c r="F3006" s="77" t="s">
        <v>73</v>
      </c>
      <c r="G3006" s="77" t="s">
        <v>74</v>
      </c>
      <c r="H3006" s="77" t="s">
        <v>113</v>
      </c>
      <c r="I3006" s="77" t="s">
        <v>84</v>
      </c>
      <c r="J3006" s="76">
        <v>0</v>
      </c>
    </row>
    <row r="3007" spans="1:10" x14ac:dyDescent="0.35">
      <c r="A3007" t="s">
        <v>14</v>
      </c>
      <c r="B3007" t="s">
        <v>37</v>
      </c>
      <c r="C3007" s="77" t="s">
        <v>88</v>
      </c>
      <c r="D3007" t="s">
        <v>81</v>
      </c>
      <c r="E3007" s="77" t="s">
        <v>106</v>
      </c>
      <c r="F3007" s="77" t="s">
        <v>73</v>
      </c>
      <c r="G3007" s="77" t="s">
        <v>74</v>
      </c>
      <c r="H3007" s="77" t="s">
        <v>113</v>
      </c>
      <c r="I3007" s="77" t="s">
        <v>84</v>
      </c>
      <c r="J3007" s="76">
        <v>0</v>
      </c>
    </row>
    <row r="3008" spans="1:10" x14ac:dyDescent="0.35">
      <c r="A3008" t="s">
        <v>14</v>
      </c>
      <c r="B3008" t="s">
        <v>37</v>
      </c>
      <c r="C3008" s="77" t="s">
        <v>90</v>
      </c>
      <c r="D3008" t="s">
        <v>81</v>
      </c>
      <c r="E3008" s="77" t="s">
        <v>131</v>
      </c>
      <c r="F3008" s="77" t="s">
        <v>73</v>
      </c>
      <c r="G3008" s="77" t="s">
        <v>74</v>
      </c>
      <c r="H3008" s="77" t="s">
        <v>113</v>
      </c>
      <c r="I3008" s="77" t="s">
        <v>84</v>
      </c>
      <c r="J3008" s="76">
        <f>'SUT_EU27 total'!$S$58</f>
        <v>0</v>
      </c>
    </row>
    <row r="3009" spans="1:10" x14ac:dyDescent="0.35">
      <c r="A3009" t="s">
        <v>14</v>
      </c>
      <c r="B3009" t="s">
        <v>37</v>
      </c>
      <c r="C3009" s="77" t="s">
        <v>90</v>
      </c>
      <c r="D3009" t="s">
        <v>81</v>
      </c>
      <c r="E3009" s="77" t="s">
        <v>101</v>
      </c>
      <c r="F3009" s="77" t="s">
        <v>73</v>
      </c>
      <c r="G3009" s="77" t="s">
        <v>74</v>
      </c>
      <c r="H3009" s="77" t="s">
        <v>113</v>
      </c>
      <c r="I3009" s="77" t="s">
        <v>84</v>
      </c>
      <c r="J3009" s="76" cm="1">
        <f t="array" ref="J3009:J3011">'SUT_EU27 total'!$S$66:$S$68</f>
        <v>0</v>
      </c>
    </row>
    <row r="3010" spans="1:10" x14ac:dyDescent="0.35">
      <c r="A3010" t="s">
        <v>14</v>
      </c>
      <c r="B3010" t="s">
        <v>37</v>
      </c>
      <c r="C3010" s="77" t="s">
        <v>90</v>
      </c>
      <c r="D3010" t="s">
        <v>81</v>
      </c>
      <c r="E3010" s="77" t="s">
        <v>104</v>
      </c>
      <c r="F3010" s="77" t="s">
        <v>73</v>
      </c>
      <c r="G3010" s="77" t="s">
        <v>74</v>
      </c>
      <c r="H3010" s="77" t="s">
        <v>113</v>
      </c>
      <c r="I3010" s="77" t="s">
        <v>84</v>
      </c>
      <c r="J3010" s="76">
        <v>0</v>
      </c>
    </row>
    <row r="3011" spans="1:10" x14ac:dyDescent="0.35">
      <c r="A3011" t="s">
        <v>14</v>
      </c>
      <c r="B3011" t="s">
        <v>37</v>
      </c>
      <c r="C3011" s="77" t="s">
        <v>90</v>
      </c>
      <c r="D3011" t="s">
        <v>81</v>
      </c>
      <c r="E3011" s="77" t="s">
        <v>106</v>
      </c>
      <c r="F3011" s="77" t="s">
        <v>73</v>
      </c>
      <c r="G3011" s="77" t="s">
        <v>74</v>
      </c>
      <c r="H3011" s="77" t="s">
        <v>113</v>
      </c>
      <c r="I3011" s="77" t="s">
        <v>84</v>
      </c>
      <c r="J3011" s="76">
        <v>0</v>
      </c>
    </row>
    <row r="3012" spans="1:10" x14ac:dyDescent="0.35">
      <c r="A3012" t="s">
        <v>14</v>
      </c>
      <c r="B3012" t="s">
        <v>37</v>
      </c>
      <c r="C3012" s="77" t="s">
        <v>91</v>
      </c>
      <c r="D3012" t="s">
        <v>81</v>
      </c>
      <c r="E3012" s="77" t="s">
        <v>131</v>
      </c>
      <c r="F3012" s="77" t="s">
        <v>73</v>
      </c>
      <c r="G3012" s="77" t="s">
        <v>74</v>
      </c>
      <c r="H3012" s="77" t="s">
        <v>113</v>
      </c>
      <c r="I3012" s="77" t="s">
        <v>84</v>
      </c>
      <c r="J3012" s="76">
        <f>'SUT_EU27 total'!$S$75</f>
        <v>0</v>
      </c>
    </row>
    <row r="3013" spans="1:10" x14ac:dyDescent="0.35">
      <c r="A3013" t="s">
        <v>14</v>
      </c>
      <c r="B3013" t="s">
        <v>37</v>
      </c>
      <c r="C3013" s="77" t="s">
        <v>91</v>
      </c>
      <c r="D3013" t="s">
        <v>81</v>
      </c>
      <c r="E3013" s="77" t="s">
        <v>101</v>
      </c>
      <c r="F3013" s="77" t="s">
        <v>73</v>
      </c>
      <c r="G3013" s="77" t="s">
        <v>74</v>
      </c>
      <c r="H3013" s="77" t="s">
        <v>113</v>
      </c>
      <c r="I3013" s="77" t="s">
        <v>84</v>
      </c>
      <c r="J3013" s="76" cm="1">
        <f t="array" ref="J3013:J3015">'SUT_EU27 total'!$S$83:$S$85</f>
        <v>0</v>
      </c>
    </row>
    <row r="3014" spans="1:10" x14ac:dyDescent="0.35">
      <c r="A3014" t="s">
        <v>14</v>
      </c>
      <c r="B3014" t="s">
        <v>37</v>
      </c>
      <c r="C3014" s="77" t="s">
        <v>91</v>
      </c>
      <c r="D3014" t="s">
        <v>81</v>
      </c>
      <c r="E3014" s="77" t="s">
        <v>104</v>
      </c>
      <c r="F3014" s="77" t="s">
        <v>73</v>
      </c>
      <c r="G3014" s="77" t="s">
        <v>74</v>
      </c>
      <c r="H3014" s="77" t="s">
        <v>113</v>
      </c>
      <c r="I3014" s="77" t="s">
        <v>84</v>
      </c>
      <c r="J3014" s="76">
        <v>0</v>
      </c>
    </row>
    <row r="3015" spans="1:10" x14ac:dyDescent="0.35">
      <c r="A3015" t="s">
        <v>14</v>
      </c>
      <c r="B3015" t="s">
        <v>37</v>
      </c>
      <c r="C3015" s="77" t="s">
        <v>91</v>
      </c>
      <c r="D3015" t="s">
        <v>81</v>
      </c>
      <c r="E3015" s="77" t="s">
        <v>106</v>
      </c>
      <c r="F3015" s="77" t="s">
        <v>73</v>
      </c>
      <c r="G3015" s="77" t="s">
        <v>74</v>
      </c>
      <c r="H3015" s="77" t="s">
        <v>113</v>
      </c>
      <c r="I3015" s="77" t="s">
        <v>84</v>
      </c>
      <c r="J3015" s="76">
        <v>0</v>
      </c>
    </row>
    <row r="3016" spans="1:10" x14ac:dyDescent="0.35">
      <c r="A3016" t="s">
        <v>14</v>
      </c>
      <c r="B3016" t="s">
        <v>37</v>
      </c>
      <c r="C3016" s="77" t="s">
        <v>92</v>
      </c>
      <c r="D3016" t="s">
        <v>81</v>
      </c>
      <c r="E3016" s="77" t="s">
        <v>131</v>
      </c>
      <c r="F3016" s="77" t="s">
        <v>73</v>
      </c>
      <c r="G3016" s="77" t="s">
        <v>74</v>
      </c>
      <c r="H3016" s="77" t="s">
        <v>113</v>
      </c>
      <c r="I3016" s="77" t="s">
        <v>84</v>
      </c>
      <c r="J3016" s="76">
        <f>'SUT_EU27 total'!$S$92</f>
        <v>0</v>
      </c>
    </row>
    <row r="3017" spans="1:10" x14ac:dyDescent="0.35">
      <c r="A3017" t="s">
        <v>14</v>
      </c>
      <c r="B3017" t="s">
        <v>37</v>
      </c>
      <c r="C3017" s="77" t="s">
        <v>92</v>
      </c>
      <c r="D3017" t="s">
        <v>81</v>
      </c>
      <c r="E3017" s="77" t="s">
        <v>101</v>
      </c>
      <c r="F3017" s="77" t="s">
        <v>73</v>
      </c>
      <c r="G3017" s="77" t="s">
        <v>74</v>
      </c>
      <c r="H3017" s="77" t="s">
        <v>113</v>
      </c>
      <c r="I3017" s="77" t="s">
        <v>84</v>
      </c>
      <c r="J3017" s="76" cm="1">
        <f t="array" ref="J3017:J3019">'SUT_EU27 total'!$S$100:$S$102</f>
        <v>0</v>
      </c>
    </row>
    <row r="3018" spans="1:10" x14ac:dyDescent="0.35">
      <c r="A3018" t="s">
        <v>14</v>
      </c>
      <c r="B3018" t="s">
        <v>37</v>
      </c>
      <c r="C3018" s="77" t="s">
        <v>92</v>
      </c>
      <c r="D3018" t="s">
        <v>81</v>
      </c>
      <c r="E3018" s="77" t="s">
        <v>104</v>
      </c>
      <c r="F3018" s="77" t="s">
        <v>73</v>
      </c>
      <c r="G3018" s="77" t="s">
        <v>74</v>
      </c>
      <c r="H3018" s="77" t="s">
        <v>113</v>
      </c>
      <c r="I3018" s="77" t="s">
        <v>84</v>
      </c>
      <c r="J3018" s="76">
        <v>0</v>
      </c>
    </row>
    <row r="3019" spans="1:10" x14ac:dyDescent="0.35">
      <c r="A3019" t="s">
        <v>14</v>
      </c>
      <c r="B3019" t="s">
        <v>37</v>
      </c>
      <c r="C3019" s="77" t="s">
        <v>92</v>
      </c>
      <c r="D3019" t="s">
        <v>81</v>
      </c>
      <c r="E3019" s="77" t="s">
        <v>106</v>
      </c>
      <c r="F3019" s="77" t="s">
        <v>73</v>
      </c>
      <c r="G3019" s="77" t="s">
        <v>74</v>
      </c>
      <c r="H3019" s="77" t="s">
        <v>113</v>
      </c>
      <c r="I3019" s="77" t="s">
        <v>84</v>
      </c>
      <c r="J3019" s="76">
        <v>0</v>
      </c>
    </row>
    <row r="3020" spans="1:10" x14ac:dyDescent="0.35">
      <c r="A3020" t="s">
        <v>14</v>
      </c>
      <c r="B3020" t="s">
        <v>37</v>
      </c>
      <c r="C3020" s="77" t="s">
        <v>93</v>
      </c>
      <c r="D3020" t="s">
        <v>81</v>
      </c>
      <c r="E3020" s="77" t="s">
        <v>131</v>
      </c>
      <c r="F3020" s="77" t="s">
        <v>73</v>
      </c>
      <c r="G3020" s="77" t="s">
        <v>74</v>
      </c>
      <c r="H3020" s="77" t="s">
        <v>113</v>
      </c>
      <c r="I3020" s="77" t="s">
        <v>84</v>
      </c>
      <c r="J3020" s="76">
        <f>'SUT_EU27 total'!$S$109</f>
        <v>0</v>
      </c>
    </row>
    <row r="3021" spans="1:10" x14ac:dyDescent="0.35">
      <c r="A3021" t="s">
        <v>14</v>
      </c>
      <c r="B3021" t="s">
        <v>37</v>
      </c>
      <c r="C3021" s="77" t="s">
        <v>93</v>
      </c>
      <c r="D3021" t="s">
        <v>81</v>
      </c>
      <c r="E3021" s="77" t="s">
        <v>101</v>
      </c>
      <c r="F3021" s="77" t="s">
        <v>73</v>
      </c>
      <c r="G3021" s="77" t="s">
        <v>74</v>
      </c>
      <c r="H3021" s="77" t="s">
        <v>113</v>
      </c>
      <c r="I3021" s="77" t="s">
        <v>84</v>
      </c>
      <c r="J3021" s="76" cm="1">
        <f t="array" ref="J3021:J3023">'SUT_EU27 total'!$S$117:$S$119</f>
        <v>0</v>
      </c>
    </row>
    <row r="3022" spans="1:10" x14ac:dyDescent="0.35">
      <c r="A3022" t="s">
        <v>14</v>
      </c>
      <c r="B3022" t="s">
        <v>37</v>
      </c>
      <c r="C3022" s="77" t="s">
        <v>93</v>
      </c>
      <c r="D3022" t="s">
        <v>81</v>
      </c>
      <c r="E3022" s="77" t="s">
        <v>104</v>
      </c>
      <c r="F3022" s="77" t="s">
        <v>73</v>
      </c>
      <c r="G3022" s="77" t="s">
        <v>74</v>
      </c>
      <c r="H3022" s="77" t="s">
        <v>113</v>
      </c>
      <c r="I3022" s="77" t="s">
        <v>84</v>
      </c>
      <c r="J3022" s="76">
        <v>0</v>
      </c>
    </row>
    <row r="3023" spans="1:10" x14ac:dyDescent="0.35">
      <c r="A3023" t="s">
        <v>14</v>
      </c>
      <c r="B3023" t="s">
        <v>37</v>
      </c>
      <c r="C3023" s="77" t="s">
        <v>93</v>
      </c>
      <c r="D3023" t="s">
        <v>81</v>
      </c>
      <c r="E3023" s="77" t="s">
        <v>106</v>
      </c>
      <c r="F3023" s="77" t="s">
        <v>73</v>
      </c>
      <c r="G3023" s="77" t="s">
        <v>74</v>
      </c>
      <c r="H3023" s="77" t="s">
        <v>113</v>
      </c>
      <c r="I3023" s="77" t="s">
        <v>84</v>
      </c>
      <c r="J3023" s="76">
        <v>0</v>
      </c>
    </row>
    <row r="3024" spans="1:10" x14ac:dyDescent="0.35">
      <c r="A3024" t="s">
        <v>14</v>
      </c>
      <c r="B3024" t="s">
        <v>37</v>
      </c>
      <c r="C3024" s="77" t="s">
        <v>73</v>
      </c>
      <c r="D3024" t="s">
        <v>74</v>
      </c>
      <c r="E3024" s="77" t="s">
        <v>123</v>
      </c>
      <c r="F3024" s="77" t="s">
        <v>73</v>
      </c>
      <c r="G3024" s="77" t="s">
        <v>81</v>
      </c>
      <c r="H3024" s="77" t="s">
        <v>115</v>
      </c>
      <c r="I3024" s="77" t="s">
        <v>84</v>
      </c>
      <c r="J3024" s="76" cm="1">
        <f t="array" ref="J3024:J3030">TRANSPOSE('2030 pathways'!$C$9:$I$9)</f>
        <v>5.8999999999999997E-2</v>
      </c>
    </row>
    <row r="3025" spans="1:10" x14ac:dyDescent="0.35">
      <c r="A3025" t="s">
        <v>14</v>
      </c>
      <c r="B3025" t="s">
        <v>37</v>
      </c>
      <c r="C3025" s="77" t="s">
        <v>73</v>
      </c>
      <c r="D3025" t="s">
        <v>74</v>
      </c>
      <c r="E3025" s="77" t="s">
        <v>127</v>
      </c>
      <c r="F3025" s="77" t="s">
        <v>73</v>
      </c>
      <c r="G3025" s="77" t="s">
        <v>81</v>
      </c>
      <c r="H3025" s="77" t="s">
        <v>115</v>
      </c>
      <c r="I3025" s="77" t="s">
        <v>84</v>
      </c>
      <c r="J3025" s="76">
        <v>5.8999999999999999E-3</v>
      </c>
    </row>
    <row r="3026" spans="1:10" x14ac:dyDescent="0.35">
      <c r="A3026" t="s">
        <v>14</v>
      </c>
      <c r="B3026" t="s">
        <v>37</v>
      </c>
      <c r="C3026" s="77" t="s">
        <v>73</v>
      </c>
      <c r="D3026" t="s">
        <v>74</v>
      </c>
      <c r="E3026" s="77" t="s">
        <v>128</v>
      </c>
      <c r="F3026" s="77" t="s">
        <v>73</v>
      </c>
      <c r="G3026" s="77" t="s">
        <v>81</v>
      </c>
      <c r="H3026" s="77" t="s">
        <v>115</v>
      </c>
      <c r="I3026" s="77" t="s">
        <v>84</v>
      </c>
      <c r="J3026" s="76">
        <v>1.18E-2</v>
      </c>
    </row>
    <row r="3027" spans="1:10" x14ac:dyDescent="0.35">
      <c r="A3027" t="s">
        <v>14</v>
      </c>
      <c r="B3027" t="s">
        <v>37</v>
      </c>
      <c r="C3027" s="77" t="s">
        <v>73</v>
      </c>
      <c r="D3027" t="s">
        <v>74</v>
      </c>
      <c r="E3027" s="77" t="s">
        <v>129</v>
      </c>
      <c r="F3027" s="77" t="s">
        <v>73</v>
      </c>
      <c r="G3027" s="77" t="s">
        <v>81</v>
      </c>
      <c r="H3027" s="77" t="s">
        <v>115</v>
      </c>
      <c r="I3027" s="77" t="s">
        <v>84</v>
      </c>
      <c r="J3027" s="76">
        <v>3.5399999999999994E-2</v>
      </c>
    </row>
    <row r="3028" spans="1:10" x14ac:dyDescent="0.35">
      <c r="A3028" t="s">
        <v>14</v>
      </c>
      <c r="B3028" t="s">
        <v>37</v>
      </c>
      <c r="C3028" s="77" t="s">
        <v>73</v>
      </c>
      <c r="D3028" t="s">
        <v>74</v>
      </c>
      <c r="E3028" s="77" t="s">
        <v>77</v>
      </c>
      <c r="F3028" s="77" t="s">
        <v>73</v>
      </c>
      <c r="G3028" s="77" t="s">
        <v>81</v>
      </c>
      <c r="H3028" s="77" t="s">
        <v>115</v>
      </c>
      <c r="I3028" s="77" t="s">
        <v>84</v>
      </c>
      <c r="J3028" s="76">
        <v>1.7699999999999997E-2</v>
      </c>
    </row>
    <row r="3029" spans="1:10" x14ac:dyDescent="0.35">
      <c r="A3029" t="s">
        <v>14</v>
      </c>
      <c r="B3029" t="s">
        <v>37</v>
      </c>
      <c r="C3029" s="77" t="s">
        <v>73</v>
      </c>
      <c r="D3029" t="s">
        <v>74</v>
      </c>
      <c r="E3029" s="77" t="s">
        <v>130</v>
      </c>
      <c r="F3029" s="77" t="s">
        <v>73</v>
      </c>
      <c r="G3029" s="77" t="s">
        <v>81</v>
      </c>
      <c r="H3029" s="77" t="s">
        <v>115</v>
      </c>
      <c r="I3029" s="77" t="s">
        <v>84</v>
      </c>
      <c r="J3029" s="76">
        <v>0.4602</v>
      </c>
    </row>
    <row r="3030" spans="1:10" x14ac:dyDescent="0.35">
      <c r="A3030" t="s">
        <v>14</v>
      </c>
      <c r="B3030" t="s">
        <v>37</v>
      </c>
      <c r="C3030" s="77" t="s">
        <v>73</v>
      </c>
      <c r="D3030" t="s">
        <v>74</v>
      </c>
      <c r="E3030" s="77" t="s">
        <v>132</v>
      </c>
      <c r="F3030" s="77" t="s">
        <v>73</v>
      </c>
      <c r="G3030" s="77" t="s">
        <v>81</v>
      </c>
      <c r="H3030" s="77" t="s">
        <v>115</v>
      </c>
      <c r="I3030" s="77" t="s">
        <v>84</v>
      </c>
      <c r="J3030" s="76">
        <v>0.41</v>
      </c>
    </row>
    <row r="3031" spans="1:10" x14ac:dyDescent="0.35">
      <c r="A3031" t="s">
        <v>14</v>
      </c>
      <c r="B3031" t="s">
        <v>37</v>
      </c>
      <c r="C3031" s="77" t="s">
        <v>73</v>
      </c>
      <c r="D3031" t="s">
        <v>74</v>
      </c>
      <c r="E3031" s="77" t="s">
        <v>133</v>
      </c>
      <c r="F3031" s="77" t="s">
        <v>73</v>
      </c>
      <c r="G3031" s="77" t="s">
        <v>81</v>
      </c>
      <c r="H3031" s="77" t="s">
        <v>115</v>
      </c>
      <c r="I3031" s="77" t="s">
        <v>84</v>
      </c>
      <c r="J3031" s="76">
        <v>0</v>
      </c>
    </row>
    <row r="3032" spans="1:10" x14ac:dyDescent="0.35">
      <c r="A3032" s="470" t="s">
        <v>14</v>
      </c>
      <c r="B3032" s="470" t="s">
        <v>38</v>
      </c>
      <c r="C3032" s="482" t="s">
        <v>73</v>
      </c>
      <c r="D3032" s="470" t="s">
        <v>81</v>
      </c>
      <c r="E3032" s="482" t="s">
        <v>115</v>
      </c>
      <c r="F3032" s="482" t="s">
        <v>73</v>
      </c>
      <c r="G3032" s="482" t="s">
        <v>74</v>
      </c>
      <c r="H3032" s="482" t="s">
        <v>102</v>
      </c>
      <c r="I3032" s="482" t="s">
        <v>84</v>
      </c>
      <c r="J3032" s="483" cm="1">
        <f t="array" ref="J3032:J3033">'SUT_EU27 total'!$J$19:$J$20</f>
        <v>11.828571428571427</v>
      </c>
    </row>
    <row r="3033" spans="1:10" x14ac:dyDescent="0.35">
      <c r="A3033" t="s">
        <v>14</v>
      </c>
      <c r="B3033" t="s">
        <v>38</v>
      </c>
      <c r="C3033" s="77" t="s">
        <v>73</v>
      </c>
      <c r="D3033" t="s">
        <v>81</v>
      </c>
      <c r="E3033" s="77" t="s">
        <v>116</v>
      </c>
      <c r="F3033" s="77" t="s">
        <v>73</v>
      </c>
      <c r="G3033" s="77" t="s">
        <v>74</v>
      </c>
      <c r="H3033" s="77" t="s">
        <v>102</v>
      </c>
      <c r="I3033" s="77" t="s">
        <v>84</v>
      </c>
      <c r="J3033" s="76">
        <v>3.3421988920214002E-2</v>
      </c>
    </row>
    <row r="3034" spans="1:10" x14ac:dyDescent="0.35">
      <c r="A3034" t="s">
        <v>14</v>
      </c>
      <c r="B3034" t="s">
        <v>38</v>
      </c>
      <c r="C3034" s="77" t="s">
        <v>73</v>
      </c>
      <c r="D3034" t="s">
        <v>81</v>
      </c>
      <c r="E3034" s="77" t="s">
        <v>117</v>
      </c>
      <c r="F3034" s="77" t="s">
        <v>73</v>
      </c>
      <c r="G3034" s="77" t="s">
        <v>74</v>
      </c>
      <c r="H3034" s="77" t="s">
        <v>102</v>
      </c>
      <c r="I3034" s="77" t="s">
        <v>84</v>
      </c>
      <c r="J3034" s="76">
        <f>'SUT_EU27 total'!$J$27</f>
        <v>20.996100000000002</v>
      </c>
    </row>
    <row r="3035" spans="1:10" x14ac:dyDescent="0.35">
      <c r="A3035" t="s">
        <v>14</v>
      </c>
      <c r="B3035" t="s">
        <v>38</v>
      </c>
      <c r="C3035" s="77" t="s">
        <v>73</v>
      </c>
      <c r="D3035" t="s">
        <v>81</v>
      </c>
      <c r="E3035" s="77" t="s">
        <v>101</v>
      </c>
      <c r="F3035" s="77" t="s">
        <v>73</v>
      </c>
      <c r="G3035" s="77" t="s">
        <v>74</v>
      </c>
      <c r="H3035" s="77" t="s">
        <v>102</v>
      </c>
      <c r="I3035" s="77" t="s">
        <v>84</v>
      </c>
      <c r="J3035" s="76" cm="1">
        <f t="array" ref="J3035:J3037">'SUT_EU27 total'!$J$32:$J$34</f>
        <v>0.13437998483817604</v>
      </c>
    </row>
    <row r="3036" spans="1:10" x14ac:dyDescent="0.35">
      <c r="A3036" t="s">
        <v>14</v>
      </c>
      <c r="B3036" t="s">
        <v>38</v>
      </c>
      <c r="C3036" s="77" t="s">
        <v>73</v>
      </c>
      <c r="D3036" t="s">
        <v>81</v>
      </c>
      <c r="E3036" s="77" t="s">
        <v>104</v>
      </c>
      <c r="F3036" s="77" t="s">
        <v>73</v>
      </c>
      <c r="G3036" s="77" t="s">
        <v>74</v>
      </c>
      <c r="H3036" s="77" t="s">
        <v>102</v>
      </c>
      <c r="I3036" s="77" t="s">
        <v>84</v>
      </c>
      <c r="J3036" s="76">
        <v>0.25443647306582401</v>
      </c>
    </row>
    <row r="3037" spans="1:10" x14ac:dyDescent="0.35">
      <c r="A3037" t="s">
        <v>14</v>
      </c>
      <c r="B3037" t="s">
        <v>38</v>
      </c>
      <c r="C3037" s="77" t="s">
        <v>73</v>
      </c>
      <c r="D3037" t="s">
        <v>81</v>
      </c>
      <c r="E3037" s="77" t="s">
        <v>106</v>
      </c>
      <c r="F3037" s="77" t="s">
        <v>73</v>
      </c>
      <c r="G3037" s="77" t="s">
        <v>74</v>
      </c>
      <c r="H3037" s="77" t="s">
        <v>102</v>
      </c>
      <c r="I3037" s="77" t="s">
        <v>84</v>
      </c>
      <c r="J3037" s="76">
        <v>0.86543018049599985</v>
      </c>
    </row>
    <row r="3038" spans="1:10" x14ac:dyDescent="0.35">
      <c r="A3038" t="s">
        <v>14</v>
      </c>
      <c r="B3038" t="s">
        <v>38</v>
      </c>
      <c r="C3038" s="77" t="s">
        <v>88</v>
      </c>
      <c r="D3038" t="s">
        <v>81</v>
      </c>
      <c r="E3038" s="77" t="s">
        <v>115</v>
      </c>
      <c r="F3038" s="77" t="s">
        <v>73</v>
      </c>
      <c r="G3038" s="77" t="s">
        <v>74</v>
      </c>
      <c r="H3038" s="77" t="s">
        <v>102</v>
      </c>
      <c r="I3038" s="77" t="s">
        <v>84</v>
      </c>
      <c r="J3038" s="76" cm="1">
        <f t="array" ref="J3038:J3039">'SUT_EU27 total'!$J$36:$J$37</f>
        <v>78.857142857142847</v>
      </c>
    </row>
    <row r="3039" spans="1:10" x14ac:dyDescent="0.35">
      <c r="A3039" t="s">
        <v>14</v>
      </c>
      <c r="B3039" t="s">
        <v>38</v>
      </c>
      <c r="C3039" s="77" t="s">
        <v>88</v>
      </c>
      <c r="D3039" t="s">
        <v>81</v>
      </c>
      <c r="E3039" s="77" t="s">
        <v>116</v>
      </c>
      <c r="F3039" s="77" t="s">
        <v>73</v>
      </c>
      <c r="G3039" s="77" t="s">
        <v>74</v>
      </c>
      <c r="H3039" s="77" t="s">
        <v>102</v>
      </c>
      <c r="I3039" s="77" t="s">
        <v>84</v>
      </c>
      <c r="J3039" s="76">
        <v>0.7862213561563367</v>
      </c>
    </row>
    <row r="3040" spans="1:10" x14ac:dyDescent="0.35">
      <c r="A3040" t="s">
        <v>14</v>
      </c>
      <c r="B3040" t="s">
        <v>38</v>
      </c>
      <c r="C3040" s="77" t="s">
        <v>88</v>
      </c>
      <c r="D3040" t="s">
        <v>81</v>
      </c>
      <c r="E3040" s="77" t="s">
        <v>117</v>
      </c>
      <c r="F3040" s="77" t="s">
        <v>73</v>
      </c>
      <c r="G3040" s="77" t="s">
        <v>74</v>
      </c>
      <c r="H3040" s="77" t="s">
        <v>102</v>
      </c>
      <c r="I3040" s="77" t="s">
        <v>84</v>
      </c>
      <c r="J3040" s="76">
        <f>'SUT_EU27 total'!$J$44</f>
        <v>286.26390000000004</v>
      </c>
    </row>
    <row r="3041" spans="1:10" x14ac:dyDescent="0.35">
      <c r="A3041" t="s">
        <v>14</v>
      </c>
      <c r="B3041" t="s">
        <v>38</v>
      </c>
      <c r="C3041" s="77" t="s">
        <v>88</v>
      </c>
      <c r="D3041" t="s">
        <v>81</v>
      </c>
      <c r="E3041" s="77" t="s">
        <v>101</v>
      </c>
      <c r="F3041" s="77" t="s">
        <v>73</v>
      </c>
      <c r="G3041" s="77" t="s">
        <v>74</v>
      </c>
      <c r="H3041" s="77" t="s">
        <v>102</v>
      </c>
      <c r="I3041" s="77" t="s">
        <v>84</v>
      </c>
      <c r="J3041" s="76" cm="1">
        <f t="array" ref="J3041:J3043">'SUT_EU27 total'!$J$49:$J$51</f>
        <v>0</v>
      </c>
    </row>
    <row r="3042" spans="1:10" x14ac:dyDescent="0.35">
      <c r="A3042" t="s">
        <v>14</v>
      </c>
      <c r="B3042" t="s">
        <v>38</v>
      </c>
      <c r="C3042" s="77" t="s">
        <v>88</v>
      </c>
      <c r="D3042" t="s">
        <v>81</v>
      </c>
      <c r="E3042" s="77" t="s">
        <v>104</v>
      </c>
      <c r="F3042" s="77" t="s">
        <v>73</v>
      </c>
      <c r="G3042" s="77" t="s">
        <v>74</v>
      </c>
      <c r="H3042" s="77" t="s">
        <v>102</v>
      </c>
      <c r="I3042" s="77" t="s">
        <v>84</v>
      </c>
      <c r="J3042" s="76">
        <v>0</v>
      </c>
    </row>
    <row r="3043" spans="1:10" x14ac:dyDescent="0.35">
      <c r="A3043" t="s">
        <v>14</v>
      </c>
      <c r="B3043" t="s">
        <v>38</v>
      </c>
      <c r="C3043" s="77" t="s">
        <v>88</v>
      </c>
      <c r="D3043" t="s">
        <v>81</v>
      </c>
      <c r="E3043" s="77" t="s">
        <v>106</v>
      </c>
      <c r="F3043" s="77" t="s">
        <v>73</v>
      </c>
      <c r="G3043" s="77" t="s">
        <v>74</v>
      </c>
      <c r="H3043" s="77" t="s">
        <v>102</v>
      </c>
      <c r="I3043" s="77" t="s">
        <v>84</v>
      </c>
      <c r="J3043" s="76">
        <v>0</v>
      </c>
    </row>
    <row r="3044" spans="1:10" x14ac:dyDescent="0.35">
      <c r="A3044" t="s">
        <v>14</v>
      </c>
      <c r="B3044" t="s">
        <v>38</v>
      </c>
      <c r="C3044" s="77" t="s">
        <v>90</v>
      </c>
      <c r="D3044" t="s">
        <v>81</v>
      </c>
      <c r="E3044" s="77" t="s">
        <v>115</v>
      </c>
      <c r="F3044" s="77" t="s">
        <v>73</v>
      </c>
      <c r="G3044" s="77" t="s">
        <v>74</v>
      </c>
      <c r="H3044" s="77" t="s">
        <v>102</v>
      </c>
      <c r="I3044" s="77" t="s">
        <v>84</v>
      </c>
      <c r="J3044" s="76" cm="1">
        <f t="array" ref="J3044:J3045">'SUT_EU27 total'!$J$53:$J$54</f>
        <v>7.7904761904761894</v>
      </c>
    </row>
    <row r="3045" spans="1:10" x14ac:dyDescent="0.35">
      <c r="A3045" t="s">
        <v>14</v>
      </c>
      <c r="B3045" t="s">
        <v>38</v>
      </c>
      <c r="C3045" s="77" t="s">
        <v>90</v>
      </c>
      <c r="D3045" t="s">
        <v>81</v>
      </c>
      <c r="E3045" s="77" t="s">
        <v>116</v>
      </c>
      <c r="F3045" s="77" t="s">
        <v>73</v>
      </c>
      <c r="G3045" s="77" t="s">
        <v>74</v>
      </c>
      <c r="H3045" s="77" t="s">
        <v>102</v>
      </c>
      <c r="I3045" s="77" t="s">
        <v>84</v>
      </c>
      <c r="J3045" s="76">
        <v>1.5473889063756709E-2</v>
      </c>
    </row>
    <row r="3046" spans="1:10" x14ac:dyDescent="0.35">
      <c r="A3046" t="s">
        <v>14</v>
      </c>
      <c r="B3046" t="s">
        <v>38</v>
      </c>
      <c r="C3046" s="77" t="s">
        <v>90</v>
      </c>
      <c r="D3046" t="s">
        <v>81</v>
      </c>
      <c r="E3046" s="77" t="s">
        <v>117</v>
      </c>
      <c r="F3046" s="77" t="s">
        <v>73</v>
      </c>
      <c r="G3046" s="77" t="s">
        <v>74</v>
      </c>
      <c r="H3046" s="77" t="s">
        <v>102</v>
      </c>
      <c r="I3046" s="77" t="s">
        <v>84</v>
      </c>
      <c r="J3046" s="76">
        <f>'SUT_EU27 total'!$J$61</f>
        <v>11.2662</v>
      </c>
    </row>
    <row r="3047" spans="1:10" x14ac:dyDescent="0.35">
      <c r="A3047" t="s">
        <v>14</v>
      </c>
      <c r="B3047" t="s">
        <v>38</v>
      </c>
      <c r="C3047" s="77" t="s">
        <v>90</v>
      </c>
      <c r="D3047" t="s">
        <v>81</v>
      </c>
      <c r="E3047" s="77" t="s">
        <v>101</v>
      </c>
      <c r="F3047" s="77" t="s">
        <v>73</v>
      </c>
      <c r="G3047" s="77" t="s">
        <v>74</v>
      </c>
      <c r="H3047" s="77" t="s">
        <v>102</v>
      </c>
      <c r="I3047" s="77" t="s">
        <v>84</v>
      </c>
      <c r="J3047" s="76" cm="1">
        <f t="array" ref="J3047:J3049">'SUT_EU27 total'!$J$66:$J$68</f>
        <v>0</v>
      </c>
    </row>
    <row r="3048" spans="1:10" x14ac:dyDescent="0.35">
      <c r="A3048" t="s">
        <v>14</v>
      </c>
      <c r="B3048" t="s">
        <v>38</v>
      </c>
      <c r="C3048" s="77" t="s">
        <v>90</v>
      </c>
      <c r="D3048" t="s">
        <v>81</v>
      </c>
      <c r="E3048" s="77" t="s">
        <v>104</v>
      </c>
      <c r="F3048" s="77" t="s">
        <v>73</v>
      </c>
      <c r="G3048" s="77" t="s">
        <v>74</v>
      </c>
      <c r="H3048" s="77" t="s">
        <v>102</v>
      </c>
      <c r="I3048" s="77" t="s">
        <v>84</v>
      </c>
      <c r="J3048" s="76">
        <v>0</v>
      </c>
    </row>
    <row r="3049" spans="1:10" x14ac:dyDescent="0.35">
      <c r="A3049" t="s">
        <v>14</v>
      </c>
      <c r="B3049" t="s">
        <v>38</v>
      </c>
      <c r="C3049" s="77" t="s">
        <v>90</v>
      </c>
      <c r="D3049" t="s">
        <v>81</v>
      </c>
      <c r="E3049" s="77" t="s">
        <v>106</v>
      </c>
      <c r="F3049" s="77" t="s">
        <v>73</v>
      </c>
      <c r="G3049" s="77" t="s">
        <v>74</v>
      </c>
      <c r="H3049" s="77" t="s">
        <v>102</v>
      </c>
      <c r="I3049" s="77" t="s">
        <v>84</v>
      </c>
      <c r="J3049" s="76">
        <v>0</v>
      </c>
    </row>
    <row r="3050" spans="1:10" x14ac:dyDescent="0.35">
      <c r="A3050" t="s">
        <v>14</v>
      </c>
      <c r="B3050" t="s">
        <v>38</v>
      </c>
      <c r="C3050" s="77" t="s">
        <v>91</v>
      </c>
      <c r="D3050" t="s">
        <v>81</v>
      </c>
      <c r="E3050" s="77" t="s">
        <v>115</v>
      </c>
      <c r="F3050" s="77" t="s">
        <v>73</v>
      </c>
      <c r="G3050" s="77" t="s">
        <v>74</v>
      </c>
      <c r="H3050" s="77" t="s">
        <v>102</v>
      </c>
      <c r="I3050" s="77" t="s">
        <v>84</v>
      </c>
      <c r="J3050" s="76" cm="1">
        <f t="array" ref="J3050:J3051">'SUT_EU27 total'!$J$70:$J$71</f>
        <v>15.771428571428569</v>
      </c>
    </row>
    <row r="3051" spans="1:10" x14ac:dyDescent="0.35">
      <c r="A3051" t="s">
        <v>14</v>
      </c>
      <c r="B3051" t="s">
        <v>38</v>
      </c>
      <c r="C3051" s="77" t="s">
        <v>91</v>
      </c>
      <c r="D3051" t="s">
        <v>81</v>
      </c>
      <c r="E3051" s="77" t="s">
        <v>116</v>
      </c>
      <c r="F3051" s="77" t="s">
        <v>73</v>
      </c>
      <c r="G3051" s="77" t="s">
        <v>74</v>
      </c>
      <c r="H3051" s="77" t="s">
        <v>102</v>
      </c>
      <c r="I3051" s="77" t="s">
        <v>84</v>
      </c>
      <c r="J3051" s="76">
        <v>8.7507175559917313E-2</v>
      </c>
    </row>
    <row r="3052" spans="1:10" x14ac:dyDescent="0.35">
      <c r="A3052" t="s">
        <v>14</v>
      </c>
      <c r="B3052" t="s">
        <v>38</v>
      </c>
      <c r="C3052" s="77" t="s">
        <v>91</v>
      </c>
      <c r="D3052" t="s">
        <v>81</v>
      </c>
      <c r="E3052" s="77" t="s">
        <v>117</v>
      </c>
      <c r="F3052" s="77" t="s">
        <v>73</v>
      </c>
      <c r="G3052" s="77" t="s">
        <v>74</v>
      </c>
      <c r="H3052" s="77" t="s">
        <v>102</v>
      </c>
      <c r="I3052" s="77" t="s">
        <v>84</v>
      </c>
      <c r="J3052" s="76">
        <f>'SUT_EU27 total'!$J$78</f>
        <v>41.4801</v>
      </c>
    </row>
    <row r="3053" spans="1:10" x14ac:dyDescent="0.35">
      <c r="A3053" t="s">
        <v>14</v>
      </c>
      <c r="B3053" t="s">
        <v>38</v>
      </c>
      <c r="C3053" s="77" t="s">
        <v>91</v>
      </c>
      <c r="D3053" t="s">
        <v>81</v>
      </c>
      <c r="E3053" s="77" t="s">
        <v>101</v>
      </c>
      <c r="F3053" s="77" t="s">
        <v>73</v>
      </c>
      <c r="G3053" s="77" t="s">
        <v>74</v>
      </c>
      <c r="H3053" s="77" t="s">
        <v>102</v>
      </c>
      <c r="I3053" s="77" t="s">
        <v>84</v>
      </c>
      <c r="J3053" s="76" cm="1">
        <f t="array" ref="J3053:J3055">'SUT_EU27 total'!$J$83:$J$85</f>
        <v>0</v>
      </c>
    </row>
    <row r="3054" spans="1:10" x14ac:dyDescent="0.35">
      <c r="A3054" t="s">
        <v>14</v>
      </c>
      <c r="B3054" t="s">
        <v>38</v>
      </c>
      <c r="C3054" s="77" t="s">
        <v>91</v>
      </c>
      <c r="D3054" t="s">
        <v>81</v>
      </c>
      <c r="E3054" s="77" t="s">
        <v>104</v>
      </c>
      <c r="F3054" s="77" t="s">
        <v>73</v>
      </c>
      <c r="G3054" s="77" t="s">
        <v>74</v>
      </c>
      <c r="H3054" s="77" t="s">
        <v>102</v>
      </c>
      <c r="I3054" s="77" t="s">
        <v>84</v>
      </c>
      <c r="J3054" s="76">
        <v>0</v>
      </c>
    </row>
    <row r="3055" spans="1:10" x14ac:dyDescent="0.35">
      <c r="A3055" t="s">
        <v>14</v>
      </c>
      <c r="B3055" t="s">
        <v>38</v>
      </c>
      <c r="C3055" s="77" t="s">
        <v>91</v>
      </c>
      <c r="D3055" t="s">
        <v>81</v>
      </c>
      <c r="E3055" s="77" t="s">
        <v>106</v>
      </c>
      <c r="F3055" s="77" t="s">
        <v>73</v>
      </c>
      <c r="G3055" s="77" t="s">
        <v>74</v>
      </c>
      <c r="H3055" s="77" t="s">
        <v>102</v>
      </c>
      <c r="I3055" s="77" t="s">
        <v>84</v>
      </c>
      <c r="J3055" s="76">
        <v>0</v>
      </c>
    </row>
    <row r="3056" spans="1:10" x14ac:dyDescent="0.35">
      <c r="A3056" t="s">
        <v>14</v>
      </c>
      <c r="B3056" t="s">
        <v>38</v>
      </c>
      <c r="C3056" s="77" t="s">
        <v>92</v>
      </c>
      <c r="D3056" t="s">
        <v>81</v>
      </c>
      <c r="E3056" s="77" t="s">
        <v>115</v>
      </c>
      <c r="F3056" s="77" t="s">
        <v>73</v>
      </c>
      <c r="G3056" s="77" t="s">
        <v>74</v>
      </c>
      <c r="H3056" s="77" t="s">
        <v>102</v>
      </c>
      <c r="I3056" s="77" t="s">
        <v>84</v>
      </c>
      <c r="J3056" s="76" cm="1">
        <f t="array" ref="J3056:J3057">'SUT_EU27 total'!$J$87:$J$88</f>
        <v>6.6239999999999997</v>
      </c>
    </row>
    <row r="3057" spans="1:10" x14ac:dyDescent="0.35">
      <c r="A3057" t="s">
        <v>14</v>
      </c>
      <c r="B3057" t="s">
        <v>38</v>
      </c>
      <c r="C3057" s="77" t="s">
        <v>92</v>
      </c>
      <c r="D3057" t="s">
        <v>81</v>
      </c>
      <c r="E3057" s="77" t="s">
        <v>116</v>
      </c>
      <c r="F3057" s="77" t="s">
        <v>73</v>
      </c>
      <c r="G3057" s="77" t="s">
        <v>74</v>
      </c>
      <c r="H3057" s="77" t="s">
        <v>102</v>
      </c>
      <c r="I3057" s="77" t="s">
        <v>84</v>
      </c>
      <c r="J3057" s="76">
        <v>6.0040746268656714E-2</v>
      </c>
    </row>
    <row r="3058" spans="1:10" x14ac:dyDescent="0.35">
      <c r="A3058" t="s">
        <v>14</v>
      </c>
      <c r="B3058" t="s">
        <v>38</v>
      </c>
      <c r="C3058" s="77" t="s">
        <v>92</v>
      </c>
      <c r="D3058" t="s">
        <v>81</v>
      </c>
      <c r="E3058" s="77" t="s">
        <v>117</v>
      </c>
      <c r="F3058" s="77" t="s">
        <v>73</v>
      </c>
      <c r="G3058" s="77" t="s">
        <v>74</v>
      </c>
      <c r="H3058" s="77" t="s">
        <v>102</v>
      </c>
      <c r="I3058" s="77" t="s">
        <v>84</v>
      </c>
      <c r="J3058" s="76">
        <f>'SUT_EU27 total'!$J$95</f>
        <v>13.3146</v>
      </c>
    </row>
    <row r="3059" spans="1:10" x14ac:dyDescent="0.35">
      <c r="A3059" t="s">
        <v>14</v>
      </c>
      <c r="B3059" t="s">
        <v>38</v>
      </c>
      <c r="C3059" s="77" t="s">
        <v>92</v>
      </c>
      <c r="D3059" t="s">
        <v>81</v>
      </c>
      <c r="E3059" s="77" t="s">
        <v>101</v>
      </c>
      <c r="F3059" s="77" t="s">
        <v>73</v>
      </c>
      <c r="G3059" s="77" t="s">
        <v>74</v>
      </c>
      <c r="H3059" s="77" t="s">
        <v>102</v>
      </c>
      <c r="I3059" s="77" t="s">
        <v>84</v>
      </c>
      <c r="J3059" s="76" cm="1">
        <f t="array" ref="J3059:J3061">'SUT_EU27 total'!$J$100:$J$102</f>
        <v>0</v>
      </c>
    </row>
    <row r="3060" spans="1:10" x14ac:dyDescent="0.35">
      <c r="A3060" t="s">
        <v>14</v>
      </c>
      <c r="B3060" t="s">
        <v>38</v>
      </c>
      <c r="C3060" s="77" t="s">
        <v>92</v>
      </c>
      <c r="D3060" t="s">
        <v>81</v>
      </c>
      <c r="E3060" s="77" t="s">
        <v>104</v>
      </c>
      <c r="F3060" s="77" t="s">
        <v>73</v>
      </c>
      <c r="G3060" s="77" t="s">
        <v>74</v>
      </c>
      <c r="H3060" s="77" t="s">
        <v>102</v>
      </c>
      <c r="I3060" s="77" t="s">
        <v>84</v>
      </c>
      <c r="J3060" s="76">
        <v>0</v>
      </c>
    </row>
    <row r="3061" spans="1:10" x14ac:dyDescent="0.35">
      <c r="A3061" t="s">
        <v>14</v>
      </c>
      <c r="B3061" t="s">
        <v>38</v>
      </c>
      <c r="C3061" s="77" t="s">
        <v>92</v>
      </c>
      <c r="D3061" t="s">
        <v>81</v>
      </c>
      <c r="E3061" s="77" t="s">
        <v>106</v>
      </c>
      <c r="F3061" s="77" t="s">
        <v>73</v>
      </c>
      <c r="G3061" s="77" t="s">
        <v>74</v>
      </c>
      <c r="H3061" s="77" t="s">
        <v>102</v>
      </c>
      <c r="I3061" s="77" t="s">
        <v>84</v>
      </c>
      <c r="J3061" s="76">
        <v>0</v>
      </c>
    </row>
    <row r="3062" spans="1:10" x14ac:dyDescent="0.35">
      <c r="A3062" t="s">
        <v>14</v>
      </c>
      <c r="B3062" t="s">
        <v>38</v>
      </c>
      <c r="C3062" s="77" t="s">
        <v>93</v>
      </c>
      <c r="D3062" t="s">
        <v>81</v>
      </c>
      <c r="E3062" s="77" t="s">
        <v>115</v>
      </c>
      <c r="F3062" s="77" t="s">
        <v>73</v>
      </c>
      <c r="G3062" s="77" t="s">
        <v>74</v>
      </c>
      <c r="H3062" s="77" t="s">
        <v>102</v>
      </c>
      <c r="I3062" s="77" t="s">
        <v>84</v>
      </c>
      <c r="J3062" s="76" cm="1">
        <f t="array" ref="J3062:J3063">'SUT_EU27 total'!$J$104:$J$105</f>
        <v>44.633142857142865</v>
      </c>
    </row>
    <row r="3063" spans="1:10" x14ac:dyDescent="0.35">
      <c r="A3063" t="s">
        <v>14</v>
      </c>
      <c r="B3063" t="s">
        <v>38</v>
      </c>
      <c r="C3063" s="77" t="s">
        <v>93</v>
      </c>
      <c r="D3063" t="s">
        <v>81</v>
      </c>
      <c r="E3063" s="77" t="s">
        <v>116</v>
      </c>
      <c r="F3063" s="77" t="s">
        <v>73</v>
      </c>
      <c r="G3063" s="77" t="s">
        <v>74</v>
      </c>
      <c r="H3063" s="77" t="s">
        <v>102</v>
      </c>
      <c r="I3063" s="77" t="s">
        <v>84</v>
      </c>
      <c r="J3063" s="76">
        <v>0.3673348440311186</v>
      </c>
    </row>
    <row r="3064" spans="1:10" x14ac:dyDescent="0.35">
      <c r="A3064" t="s">
        <v>14</v>
      </c>
      <c r="B3064" t="s">
        <v>38</v>
      </c>
      <c r="C3064" s="77" t="s">
        <v>93</v>
      </c>
      <c r="D3064" t="s">
        <v>81</v>
      </c>
      <c r="E3064" s="77" t="s">
        <v>117</v>
      </c>
      <c r="F3064" s="77" t="s">
        <v>73</v>
      </c>
      <c r="G3064" s="77" t="s">
        <v>74</v>
      </c>
      <c r="H3064" s="77" t="s">
        <v>102</v>
      </c>
      <c r="I3064" s="77" t="s">
        <v>84</v>
      </c>
      <c r="J3064" s="76">
        <f>'SUT_EU27 total'!$J$112</f>
        <v>138.77909999999997</v>
      </c>
    </row>
    <row r="3065" spans="1:10" x14ac:dyDescent="0.35">
      <c r="A3065" t="s">
        <v>14</v>
      </c>
      <c r="B3065" t="s">
        <v>38</v>
      </c>
      <c r="C3065" s="77" t="s">
        <v>93</v>
      </c>
      <c r="D3065" t="s">
        <v>81</v>
      </c>
      <c r="E3065" s="77" t="s">
        <v>101</v>
      </c>
      <c r="F3065" s="77" t="s">
        <v>73</v>
      </c>
      <c r="G3065" s="77" t="s">
        <v>74</v>
      </c>
      <c r="H3065" s="77" t="s">
        <v>102</v>
      </c>
      <c r="I3065" s="77" t="s">
        <v>84</v>
      </c>
      <c r="J3065" s="76" cm="1">
        <f t="array" ref="J3065:J3067">'SUT_EU27 total'!$J$117:$J$119</f>
        <v>0</v>
      </c>
    </row>
    <row r="3066" spans="1:10" x14ac:dyDescent="0.35">
      <c r="A3066" t="s">
        <v>14</v>
      </c>
      <c r="B3066" t="s">
        <v>38</v>
      </c>
      <c r="C3066" s="77" t="s">
        <v>93</v>
      </c>
      <c r="D3066" t="s">
        <v>81</v>
      </c>
      <c r="E3066" s="77" t="s">
        <v>104</v>
      </c>
      <c r="F3066" s="77" t="s">
        <v>73</v>
      </c>
      <c r="G3066" s="77" t="s">
        <v>74</v>
      </c>
      <c r="H3066" s="77" t="s">
        <v>102</v>
      </c>
      <c r="I3066" s="77" t="s">
        <v>84</v>
      </c>
      <c r="J3066" s="76">
        <v>0</v>
      </c>
    </row>
    <row r="3067" spans="1:10" x14ac:dyDescent="0.35">
      <c r="A3067" t="s">
        <v>14</v>
      </c>
      <c r="B3067" t="s">
        <v>38</v>
      </c>
      <c r="C3067" s="77" t="s">
        <v>93</v>
      </c>
      <c r="D3067" t="s">
        <v>81</v>
      </c>
      <c r="E3067" s="77" t="s">
        <v>106</v>
      </c>
      <c r="F3067" s="77" t="s">
        <v>73</v>
      </c>
      <c r="G3067" s="77" t="s">
        <v>74</v>
      </c>
      <c r="H3067" s="77" t="s">
        <v>102</v>
      </c>
      <c r="I3067" s="77" t="s">
        <v>84</v>
      </c>
      <c r="J3067" s="76">
        <v>0</v>
      </c>
    </row>
    <row r="3068" spans="1:10" x14ac:dyDescent="0.35">
      <c r="A3068" t="s">
        <v>14</v>
      </c>
      <c r="B3068" t="s">
        <v>38</v>
      </c>
      <c r="C3068" s="77" t="s">
        <v>73</v>
      </c>
      <c r="D3068" t="s">
        <v>81</v>
      </c>
      <c r="E3068" s="77" t="s">
        <v>118</v>
      </c>
      <c r="F3068" s="77" t="s">
        <v>73</v>
      </c>
      <c r="G3068" s="77" t="s">
        <v>74</v>
      </c>
      <c r="H3068" s="77" t="s">
        <v>108</v>
      </c>
      <c r="I3068" s="77" t="s">
        <v>84</v>
      </c>
      <c r="J3068" s="76" cm="1">
        <f t="array" ref="J3068:J3070">'SUT_EU27 total'!$K$21:$K$23</f>
        <v>1.4582562144772118E-3</v>
      </c>
    </row>
    <row r="3069" spans="1:10" x14ac:dyDescent="0.35">
      <c r="A3069" t="s">
        <v>14</v>
      </c>
      <c r="B3069" t="s">
        <v>38</v>
      </c>
      <c r="C3069" s="77" t="s">
        <v>73</v>
      </c>
      <c r="D3069" t="s">
        <v>81</v>
      </c>
      <c r="E3069" s="77" t="s">
        <v>119</v>
      </c>
      <c r="F3069" s="77" t="s">
        <v>73</v>
      </c>
      <c r="G3069" s="77" t="s">
        <v>74</v>
      </c>
      <c r="H3069" s="77" t="s">
        <v>108</v>
      </c>
      <c r="I3069" s="77" t="s">
        <v>84</v>
      </c>
      <c r="J3069" s="76">
        <v>8.4634636521458274E-4</v>
      </c>
    </row>
    <row r="3070" spans="1:10" x14ac:dyDescent="0.35">
      <c r="A3070" t="s">
        <v>14</v>
      </c>
      <c r="B3070" t="s">
        <v>38</v>
      </c>
      <c r="C3070" s="77" t="s">
        <v>73</v>
      </c>
      <c r="D3070" t="s">
        <v>81</v>
      </c>
      <c r="E3070" s="77" t="s">
        <v>120</v>
      </c>
      <c r="F3070" s="77" t="s">
        <v>73</v>
      </c>
      <c r="G3070" s="77" t="s">
        <v>74</v>
      </c>
      <c r="H3070" s="77" t="s">
        <v>108</v>
      </c>
      <c r="I3070" s="77" t="s">
        <v>84</v>
      </c>
      <c r="J3070" s="76">
        <v>1.2517329093179335E-4</v>
      </c>
    </row>
    <row r="3071" spans="1:10" x14ac:dyDescent="0.35">
      <c r="A3071" t="s">
        <v>14</v>
      </c>
      <c r="B3071" t="s">
        <v>38</v>
      </c>
      <c r="C3071" s="77" t="s">
        <v>73</v>
      </c>
      <c r="D3071" t="s">
        <v>81</v>
      </c>
      <c r="E3071" s="77" t="s">
        <v>121</v>
      </c>
      <c r="F3071" s="77" t="s">
        <v>73</v>
      </c>
      <c r="G3071" s="77" t="s">
        <v>74</v>
      </c>
      <c r="H3071" s="77" t="s">
        <v>108</v>
      </c>
      <c r="I3071" s="77" t="s">
        <v>84</v>
      </c>
      <c r="J3071" s="76">
        <f>'SUT_EU27 total'!$K$25</f>
        <v>6.9749679999999994E-2</v>
      </c>
    </row>
    <row r="3072" spans="1:10" x14ac:dyDescent="0.35">
      <c r="A3072" t="s">
        <v>14</v>
      </c>
      <c r="B3072" t="s">
        <v>38</v>
      </c>
      <c r="C3072" s="77" t="s">
        <v>73</v>
      </c>
      <c r="D3072" t="s">
        <v>81</v>
      </c>
      <c r="E3072" s="77" t="s">
        <v>117</v>
      </c>
      <c r="F3072" s="77" t="s">
        <v>73</v>
      </c>
      <c r="G3072" s="77" t="s">
        <v>74</v>
      </c>
      <c r="H3072" s="77" t="s">
        <v>108</v>
      </c>
      <c r="I3072" s="77" t="s">
        <v>84</v>
      </c>
      <c r="J3072" s="76">
        <f>'SUT_EU27 total'!$K$27</f>
        <v>1.1932942595726979E-3</v>
      </c>
    </row>
    <row r="3073" spans="1:10" x14ac:dyDescent="0.35">
      <c r="A3073" t="s">
        <v>14</v>
      </c>
      <c r="B3073" t="s">
        <v>38</v>
      </c>
      <c r="C3073" s="77" t="s">
        <v>73</v>
      </c>
      <c r="D3073" t="s">
        <v>81</v>
      </c>
      <c r="E3073" s="77" t="s">
        <v>122</v>
      </c>
      <c r="F3073" s="77" t="s">
        <v>73</v>
      </c>
      <c r="G3073" s="77" t="s">
        <v>74</v>
      </c>
      <c r="H3073" s="77" t="s">
        <v>108</v>
      </c>
      <c r="I3073" s="77" t="s">
        <v>84</v>
      </c>
      <c r="J3073" s="76">
        <f>'SUT_EU27 total'!$K$30</f>
        <v>1.5965533412604042E-3</v>
      </c>
    </row>
    <row r="3074" spans="1:10" x14ac:dyDescent="0.35">
      <c r="A3074" t="s">
        <v>14</v>
      </c>
      <c r="B3074" t="s">
        <v>38</v>
      </c>
      <c r="C3074" s="77" t="s">
        <v>73</v>
      </c>
      <c r="D3074" t="s">
        <v>81</v>
      </c>
      <c r="E3074" s="77" t="s">
        <v>101</v>
      </c>
      <c r="F3074" s="77" t="s">
        <v>73</v>
      </c>
      <c r="G3074" s="77" t="s">
        <v>74</v>
      </c>
      <c r="H3074" s="77" t="s">
        <v>108</v>
      </c>
      <c r="I3074" s="77" t="s">
        <v>84</v>
      </c>
      <c r="J3074" s="76" cm="1">
        <f t="array" ref="J3074:J3076">'SUT_EU27 total'!$K$32:$K$34</f>
        <v>2.4335351040000001E-4</v>
      </c>
    </row>
    <row r="3075" spans="1:10" x14ac:dyDescent="0.35">
      <c r="A3075" t="s">
        <v>14</v>
      </c>
      <c r="B3075" t="s">
        <v>38</v>
      </c>
      <c r="C3075" s="77" t="s">
        <v>73</v>
      </c>
      <c r="D3075" t="s">
        <v>81</v>
      </c>
      <c r="E3075" s="77" t="s">
        <v>104</v>
      </c>
      <c r="F3075" s="77" t="s">
        <v>73</v>
      </c>
      <c r="G3075" s="77" t="s">
        <v>74</v>
      </c>
      <c r="H3075" s="77" t="s">
        <v>108</v>
      </c>
      <c r="I3075" s="77" t="s">
        <v>84</v>
      </c>
      <c r="J3075" s="76">
        <v>4.6076808959999996E-4</v>
      </c>
    </row>
    <row r="3076" spans="1:10" x14ac:dyDescent="0.35">
      <c r="A3076" t="s">
        <v>14</v>
      </c>
      <c r="B3076" t="s">
        <v>38</v>
      </c>
      <c r="C3076" s="77" t="s">
        <v>73</v>
      </c>
      <c r="D3076" t="s">
        <v>81</v>
      </c>
      <c r="E3076" s="77" t="s">
        <v>106</v>
      </c>
      <c r="F3076" s="77" t="s">
        <v>73</v>
      </c>
      <c r="G3076" s="77" t="s">
        <v>74</v>
      </c>
      <c r="H3076" s="77" t="s">
        <v>108</v>
      </c>
      <c r="I3076" s="77" t="s">
        <v>84</v>
      </c>
      <c r="J3076" s="76">
        <v>1.5672383999999996E-3</v>
      </c>
    </row>
    <row r="3077" spans="1:10" x14ac:dyDescent="0.35">
      <c r="A3077" t="s">
        <v>14</v>
      </c>
      <c r="B3077" t="s">
        <v>38</v>
      </c>
      <c r="C3077" s="77" t="s">
        <v>88</v>
      </c>
      <c r="D3077" t="s">
        <v>81</v>
      </c>
      <c r="E3077" s="77" t="s">
        <v>118</v>
      </c>
      <c r="F3077" s="77" t="s">
        <v>73</v>
      </c>
      <c r="G3077" s="77" t="s">
        <v>74</v>
      </c>
      <c r="H3077" s="77" t="s">
        <v>108</v>
      </c>
      <c r="I3077" s="77" t="s">
        <v>84</v>
      </c>
      <c r="J3077" s="76" cm="1">
        <f t="array" ref="J3077:J3079">'SUT_EU27 total'!$K$38:$K$40</f>
        <v>3.3029309855227888E-2</v>
      </c>
    </row>
    <row r="3078" spans="1:10" x14ac:dyDescent="0.35">
      <c r="A3078" t="s">
        <v>14</v>
      </c>
      <c r="B3078" t="s">
        <v>38</v>
      </c>
      <c r="C3078" s="77" t="s">
        <v>88</v>
      </c>
      <c r="D3078" t="s">
        <v>81</v>
      </c>
      <c r="E3078" s="77" t="s">
        <v>119</v>
      </c>
      <c r="F3078" s="77" t="s">
        <v>73</v>
      </c>
      <c r="G3078" s="77" t="s">
        <v>74</v>
      </c>
      <c r="H3078" s="77" t="s">
        <v>108</v>
      </c>
      <c r="I3078" s="77" t="s">
        <v>84</v>
      </c>
      <c r="J3078" s="76">
        <v>6.9915569300335089E-3</v>
      </c>
    </row>
    <row r="3079" spans="1:10" x14ac:dyDescent="0.35">
      <c r="A3079" t="s">
        <v>14</v>
      </c>
      <c r="B3079" t="s">
        <v>38</v>
      </c>
      <c r="C3079" s="77" t="s">
        <v>88</v>
      </c>
      <c r="D3079" t="s">
        <v>81</v>
      </c>
      <c r="E3079" s="77" t="s">
        <v>120</v>
      </c>
      <c r="F3079" s="77" t="s">
        <v>73</v>
      </c>
      <c r="G3079" s="77" t="s">
        <v>74</v>
      </c>
      <c r="H3079" s="77" t="s">
        <v>108</v>
      </c>
      <c r="I3079" s="77" t="s">
        <v>84</v>
      </c>
      <c r="J3079" s="76">
        <v>1.5283979779928203E-3</v>
      </c>
    </row>
    <row r="3080" spans="1:10" x14ac:dyDescent="0.35">
      <c r="A3080" t="s">
        <v>14</v>
      </c>
      <c r="B3080" t="s">
        <v>38</v>
      </c>
      <c r="C3080" s="77" t="s">
        <v>88</v>
      </c>
      <c r="D3080" t="s">
        <v>81</v>
      </c>
      <c r="E3080" s="77" t="s">
        <v>121</v>
      </c>
      <c r="F3080" s="77" t="s">
        <v>73</v>
      </c>
      <c r="G3080" s="77" t="s">
        <v>74</v>
      </c>
      <c r="H3080" s="77" t="s">
        <v>108</v>
      </c>
      <c r="I3080" s="77" t="s">
        <v>84</v>
      </c>
      <c r="J3080" s="76">
        <f>'SUT_EU27 total'!$K$42</f>
        <v>0</v>
      </c>
    </row>
    <row r="3081" spans="1:10" x14ac:dyDescent="0.35">
      <c r="A3081" t="s">
        <v>14</v>
      </c>
      <c r="B3081" t="s">
        <v>38</v>
      </c>
      <c r="C3081" s="77" t="s">
        <v>88</v>
      </c>
      <c r="D3081" t="s">
        <v>81</v>
      </c>
      <c r="E3081" s="77" t="s">
        <v>117</v>
      </c>
      <c r="F3081" s="77" t="s">
        <v>73</v>
      </c>
      <c r="G3081" s="77" t="s">
        <v>74</v>
      </c>
      <c r="H3081" s="77" t="s">
        <v>108</v>
      </c>
      <c r="I3081" s="77" t="s">
        <v>84</v>
      </c>
      <c r="J3081" s="76">
        <f>'SUT_EU27 total'!$K$44</f>
        <v>9.9090099874062521E-4</v>
      </c>
    </row>
    <row r="3082" spans="1:10" x14ac:dyDescent="0.35">
      <c r="A3082" t="s">
        <v>14</v>
      </c>
      <c r="B3082" t="s">
        <v>38</v>
      </c>
      <c r="C3082" s="77" t="s">
        <v>88</v>
      </c>
      <c r="D3082" t="s">
        <v>81</v>
      </c>
      <c r="E3082" s="77" t="s">
        <v>122</v>
      </c>
      <c r="F3082" s="77" t="s">
        <v>73</v>
      </c>
      <c r="G3082" s="77" t="s">
        <v>74</v>
      </c>
      <c r="H3082" s="77" t="s">
        <v>108</v>
      </c>
      <c r="I3082" s="77" t="s">
        <v>84</v>
      </c>
      <c r="J3082" s="76">
        <f>'SUT_EU27 total'!$K$47</f>
        <v>0</v>
      </c>
    </row>
    <row r="3083" spans="1:10" x14ac:dyDescent="0.35">
      <c r="A3083" t="s">
        <v>14</v>
      </c>
      <c r="B3083" t="s">
        <v>38</v>
      </c>
      <c r="C3083" s="77" t="s">
        <v>88</v>
      </c>
      <c r="D3083" t="s">
        <v>81</v>
      </c>
      <c r="E3083" s="77" t="s">
        <v>101</v>
      </c>
      <c r="F3083" s="77" t="s">
        <v>73</v>
      </c>
      <c r="G3083" s="77" t="s">
        <v>74</v>
      </c>
      <c r="H3083" s="77" t="s">
        <v>108</v>
      </c>
      <c r="I3083" s="77" t="s">
        <v>84</v>
      </c>
      <c r="J3083" s="76" cm="1">
        <f t="array" ref="J3083:J3085">'SUT_EU27 total'!$K$49:$K$51</f>
        <v>0</v>
      </c>
    </row>
    <row r="3084" spans="1:10" x14ac:dyDescent="0.35">
      <c r="A3084" t="s">
        <v>14</v>
      </c>
      <c r="B3084" t="s">
        <v>38</v>
      </c>
      <c r="C3084" s="77" t="s">
        <v>88</v>
      </c>
      <c r="D3084" t="s">
        <v>81</v>
      </c>
      <c r="E3084" s="77" t="s">
        <v>104</v>
      </c>
      <c r="F3084" s="77" t="s">
        <v>73</v>
      </c>
      <c r="G3084" s="77" t="s">
        <v>74</v>
      </c>
      <c r="H3084" s="77" t="s">
        <v>108</v>
      </c>
      <c r="I3084" s="77" t="s">
        <v>84</v>
      </c>
      <c r="J3084" s="76">
        <v>0</v>
      </c>
    </row>
    <row r="3085" spans="1:10" x14ac:dyDescent="0.35">
      <c r="A3085" t="s">
        <v>14</v>
      </c>
      <c r="B3085" t="s">
        <v>38</v>
      </c>
      <c r="C3085" s="77" t="s">
        <v>88</v>
      </c>
      <c r="D3085" t="s">
        <v>81</v>
      </c>
      <c r="E3085" s="77" t="s">
        <v>106</v>
      </c>
      <c r="F3085" s="77" t="s">
        <v>73</v>
      </c>
      <c r="G3085" s="77" t="s">
        <v>74</v>
      </c>
      <c r="H3085" s="77" t="s">
        <v>108</v>
      </c>
      <c r="I3085" s="77" t="s">
        <v>84</v>
      </c>
      <c r="J3085" s="76">
        <v>0</v>
      </c>
    </row>
    <row r="3086" spans="1:10" x14ac:dyDescent="0.35">
      <c r="A3086" t="s">
        <v>14</v>
      </c>
      <c r="B3086" t="s">
        <v>38</v>
      </c>
      <c r="C3086" s="77" t="s">
        <v>90</v>
      </c>
      <c r="D3086" t="s">
        <v>81</v>
      </c>
      <c r="E3086" s="77" t="s">
        <v>118</v>
      </c>
      <c r="F3086" s="77" t="s">
        <v>73</v>
      </c>
      <c r="G3086" s="77" t="s">
        <v>74</v>
      </c>
      <c r="H3086" s="77" t="s">
        <v>108</v>
      </c>
      <c r="I3086" s="77" t="s">
        <v>84</v>
      </c>
      <c r="J3086" s="76" cm="1">
        <f t="array" ref="J3086:J3088">'SUT_EU27 total'!$K$55:$K$57</f>
        <v>4.323194595174263E-3</v>
      </c>
    </row>
    <row r="3087" spans="1:10" x14ac:dyDescent="0.35">
      <c r="A3087" t="s">
        <v>14</v>
      </c>
      <c r="B3087" t="s">
        <v>38</v>
      </c>
      <c r="C3087" s="77" t="s">
        <v>90</v>
      </c>
      <c r="D3087" t="s">
        <v>81</v>
      </c>
      <c r="E3087" s="77" t="s">
        <v>119</v>
      </c>
      <c r="F3087" s="77" t="s">
        <v>73</v>
      </c>
      <c r="G3087" s="77" t="s">
        <v>74</v>
      </c>
      <c r="H3087" s="77" t="s">
        <v>108</v>
      </c>
      <c r="I3087" s="77" t="s">
        <v>84</v>
      </c>
      <c r="J3087" s="76">
        <v>1.2800331672655335E-3</v>
      </c>
    </row>
    <row r="3088" spans="1:10" x14ac:dyDescent="0.35">
      <c r="A3088" t="s">
        <v>14</v>
      </c>
      <c r="B3088" t="s">
        <v>38</v>
      </c>
      <c r="C3088" s="77" t="s">
        <v>90</v>
      </c>
      <c r="D3088" t="s">
        <v>81</v>
      </c>
      <c r="E3088" s="77" t="s">
        <v>120</v>
      </c>
      <c r="F3088" s="77" t="s">
        <v>73</v>
      </c>
      <c r="G3088" s="77" t="s">
        <v>74</v>
      </c>
      <c r="H3088" s="77" t="s">
        <v>108</v>
      </c>
      <c r="I3088" s="77" t="s">
        <v>84</v>
      </c>
      <c r="J3088" s="76">
        <v>5.6700291220540041E-3</v>
      </c>
    </row>
    <row r="3089" spans="1:10" x14ac:dyDescent="0.35">
      <c r="A3089" t="s">
        <v>14</v>
      </c>
      <c r="B3089" t="s">
        <v>38</v>
      </c>
      <c r="C3089" s="77" t="s">
        <v>90</v>
      </c>
      <c r="D3089" t="s">
        <v>81</v>
      </c>
      <c r="E3089" s="77" t="s">
        <v>121</v>
      </c>
      <c r="F3089" s="77" t="s">
        <v>73</v>
      </c>
      <c r="G3089" s="77" t="s">
        <v>74</v>
      </c>
      <c r="H3089" s="77" t="s">
        <v>108</v>
      </c>
      <c r="I3089" s="77" t="s">
        <v>84</v>
      </c>
      <c r="J3089" s="76">
        <f>'SUT_EU27 total'!$K$59</f>
        <v>0</v>
      </c>
    </row>
    <row r="3090" spans="1:10" x14ac:dyDescent="0.35">
      <c r="A3090" t="s">
        <v>14</v>
      </c>
      <c r="B3090" t="s">
        <v>38</v>
      </c>
      <c r="C3090" s="77" t="s">
        <v>90</v>
      </c>
      <c r="D3090" t="s">
        <v>81</v>
      </c>
      <c r="E3090" s="77" t="s">
        <v>117</v>
      </c>
      <c r="F3090" s="77" t="s">
        <v>73</v>
      </c>
      <c r="G3090" s="77" t="s">
        <v>74</v>
      </c>
      <c r="H3090" s="77" t="s">
        <v>108</v>
      </c>
      <c r="I3090" s="77" t="s">
        <v>84</v>
      </c>
      <c r="J3090" s="76">
        <f>'SUT_EU27 total'!$K$61</f>
        <v>1.1930979242119881E-3</v>
      </c>
    </row>
    <row r="3091" spans="1:10" x14ac:dyDescent="0.35">
      <c r="A3091" t="s">
        <v>14</v>
      </c>
      <c r="B3091" t="s">
        <v>38</v>
      </c>
      <c r="C3091" s="77" t="s">
        <v>90</v>
      </c>
      <c r="D3091" t="s">
        <v>81</v>
      </c>
      <c r="E3091" s="77" t="s">
        <v>122</v>
      </c>
      <c r="F3091" s="77" t="s">
        <v>73</v>
      </c>
      <c r="G3091" s="77" t="s">
        <v>74</v>
      </c>
      <c r="H3091" s="77" t="s">
        <v>108</v>
      </c>
      <c r="I3091" s="77" t="s">
        <v>84</v>
      </c>
      <c r="J3091" s="76">
        <f>'SUT_EU27 total'!$K$64</f>
        <v>2.5776238002378116E-3</v>
      </c>
    </row>
    <row r="3092" spans="1:10" x14ac:dyDescent="0.35">
      <c r="A3092" t="s">
        <v>14</v>
      </c>
      <c r="B3092" t="s">
        <v>38</v>
      </c>
      <c r="C3092" s="77" t="s">
        <v>90</v>
      </c>
      <c r="D3092" t="s">
        <v>81</v>
      </c>
      <c r="E3092" s="77" t="s">
        <v>101</v>
      </c>
      <c r="F3092" s="77" t="s">
        <v>73</v>
      </c>
      <c r="G3092" s="77" t="s">
        <v>74</v>
      </c>
      <c r="H3092" s="77" t="s">
        <v>108</v>
      </c>
      <c r="I3092" s="77" t="s">
        <v>84</v>
      </c>
      <c r="J3092" s="76" cm="1">
        <f t="array" ref="J3092:J3094">'SUT_EU27 total'!$K$66:$K$68</f>
        <v>0</v>
      </c>
    </row>
    <row r="3093" spans="1:10" x14ac:dyDescent="0.35">
      <c r="A3093" t="s">
        <v>14</v>
      </c>
      <c r="B3093" t="s">
        <v>38</v>
      </c>
      <c r="C3093" s="77" t="s">
        <v>90</v>
      </c>
      <c r="D3093" t="s">
        <v>81</v>
      </c>
      <c r="E3093" s="77" t="s">
        <v>104</v>
      </c>
      <c r="F3093" s="77" t="s">
        <v>73</v>
      </c>
      <c r="G3093" s="77" t="s">
        <v>74</v>
      </c>
      <c r="H3093" s="77" t="s">
        <v>108</v>
      </c>
      <c r="I3093" s="77" t="s">
        <v>84</v>
      </c>
      <c r="J3093" s="76">
        <v>0</v>
      </c>
    </row>
    <row r="3094" spans="1:10" x14ac:dyDescent="0.35">
      <c r="A3094" t="s">
        <v>14</v>
      </c>
      <c r="B3094" t="s">
        <v>38</v>
      </c>
      <c r="C3094" s="77" t="s">
        <v>90</v>
      </c>
      <c r="D3094" t="s">
        <v>81</v>
      </c>
      <c r="E3094" s="77" t="s">
        <v>106</v>
      </c>
      <c r="F3094" s="77" t="s">
        <v>73</v>
      </c>
      <c r="G3094" s="77" t="s">
        <v>74</v>
      </c>
      <c r="H3094" s="77" t="s">
        <v>108</v>
      </c>
      <c r="I3094" s="77" t="s">
        <v>84</v>
      </c>
      <c r="J3094" s="76">
        <v>0</v>
      </c>
    </row>
    <row r="3095" spans="1:10" x14ac:dyDescent="0.35">
      <c r="A3095" t="s">
        <v>14</v>
      </c>
      <c r="B3095" t="s">
        <v>38</v>
      </c>
      <c r="C3095" s="77" t="s">
        <v>91</v>
      </c>
      <c r="D3095" t="s">
        <v>81</v>
      </c>
      <c r="E3095" s="77" t="s">
        <v>118</v>
      </c>
      <c r="F3095" s="77" t="s">
        <v>73</v>
      </c>
      <c r="G3095" s="77" t="s">
        <v>74</v>
      </c>
      <c r="H3095" s="77" t="s">
        <v>108</v>
      </c>
      <c r="I3095" s="77" t="s">
        <v>84</v>
      </c>
      <c r="J3095" s="76" cm="1">
        <f t="array" ref="J3095:J3097">'SUT_EU27 total'!$K$72:$K$74</f>
        <v>5.3791732332439677E-3</v>
      </c>
    </row>
    <row r="3096" spans="1:10" x14ac:dyDescent="0.35">
      <c r="A3096" t="s">
        <v>14</v>
      </c>
      <c r="B3096" t="s">
        <v>38</v>
      </c>
      <c r="C3096" s="77" t="s">
        <v>91</v>
      </c>
      <c r="D3096" t="s">
        <v>81</v>
      </c>
      <c r="E3096" s="77" t="s">
        <v>119</v>
      </c>
      <c r="F3096" s="77" t="s">
        <v>73</v>
      </c>
      <c r="G3096" s="77" t="s">
        <v>74</v>
      </c>
      <c r="H3096" s="77" t="s">
        <v>108</v>
      </c>
      <c r="I3096" s="77" t="s">
        <v>84</v>
      </c>
      <c r="J3096" s="76">
        <v>6.5526133182607291E-3</v>
      </c>
    </row>
    <row r="3097" spans="1:10" x14ac:dyDescent="0.35">
      <c r="A3097" t="s">
        <v>14</v>
      </c>
      <c r="B3097" t="s">
        <v>38</v>
      </c>
      <c r="C3097" s="77" t="s">
        <v>91</v>
      </c>
      <c r="D3097" t="s">
        <v>81</v>
      </c>
      <c r="E3097" s="77" t="s">
        <v>120</v>
      </c>
      <c r="F3097" s="77" t="s">
        <v>73</v>
      </c>
      <c r="G3097" s="77" t="s">
        <v>74</v>
      </c>
      <c r="H3097" s="77" t="s">
        <v>108</v>
      </c>
      <c r="I3097" s="77" t="s">
        <v>84</v>
      </c>
      <c r="J3097" s="76">
        <v>2.464950959887623E-4</v>
      </c>
    </row>
    <row r="3098" spans="1:10" x14ac:dyDescent="0.35">
      <c r="A3098" t="s">
        <v>14</v>
      </c>
      <c r="B3098" t="s">
        <v>38</v>
      </c>
      <c r="C3098" s="77" t="s">
        <v>91</v>
      </c>
      <c r="D3098" t="s">
        <v>81</v>
      </c>
      <c r="E3098" s="77" t="s">
        <v>121</v>
      </c>
      <c r="F3098" s="77" t="s">
        <v>73</v>
      </c>
      <c r="G3098" s="77" t="s">
        <v>74</v>
      </c>
      <c r="H3098" s="77" t="s">
        <v>108</v>
      </c>
      <c r="I3098" s="77" t="s">
        <v>84</v>
      </c>
      <c r="J3098" s="76">
        <f>'SUT_EU27 total'!$K$76</f>
        <v>0</v>
      </c>
    </row>
    <row r="3099" spans="1:10" x14ac:dyDescent="0.35">
      <c r="A3099" t="s">
        <v>14</v>
      </c>
      <c r="B3099" t="s">
        <v>38</v>
      </c>
      <c r="C3099" s="77" t="s">
        <v>91</v>
      </c>
      <c r="D3099" t="s">
        <v>81</v>
      </c>
      <c r="E3099" s="77" t="s">
        <v>117</v>
      </c>
      <c r="F3099" s="77" t="s">
        <v>73</v>
      </c>
      <c r="G3099" s="77" t="s">
        <v>74</v>
      </c>
      <c r="H3099" s="77" t="s">
        <v>108</v>
      </c>
      <c r="I3099" s="77" t="s">
        <v>84</v>
      </c>
      <c r="J3099" s="76">
        <f>'SUT_EU27 total'!$K$78</f>
        <v>1.1485683451306521E-3</v>
      </c>
    </row>
    <row r="3100" spans="1:10" x14ac:dyDescent="0.35">
      <c r="A3100" t="s">
        <v>14</v>
      </c>
      <c r="B3100" t="s">
        <v>38</v>
      </c>
      <c r="C3100" s="77" t="s">
        <v>91</v>
      </c>
      <c r="D3100" t="s">
        <v>81</v>
      </c>
      <c r="E3100" s="77" t="s">
        <v>122</v>
      </c>
      <c r="F3100" s="77" t="s">
        <v>73</v>
      </c>
      <c r="G3100" s="77" t="s">
        <v>74</v>
      </c>
      <c r="H3100" s="77" t="s">
        <v>108</v>
      </c>
      <c r="I3100" s="77" t="s">
        <v>84</v>
      </c>
      <c r="J3100" s="76">
        <f>'SUT_EU27 total'!$K$81</f>
        <v>0</v>
      </c>
    </row>
    <row r="3101" spans="1:10" x14ac:dyDescent="0.35">
      <c r="A3101" t="s">
        <v>14</v>
      </c>
      <c r="B3101" t="s">
        <v>38</v>
      </c>
      <c r="C3101" s="77" t="s">
        <v>91</v>
      </c>
      <c r="D3101" t="s">
        <v>81</v>
      </c>
      <c r="E3101" s="77" t="s">
        <v>101</v>
      </c>
      <c r="F3101" s="77" t="s">
        <v>73</v>
      </c>
      <c r="G3101" s="77" t="s">
        <v>74</v>
      </c>
      <c r="H3101" s="77" t="s">
        <v>108</v>
      </c>
      <c r="I3101" s="77" t="s">
        <v>84</v>
      </c>
      <c r="J3101" s="76" cm="1">
        <f t="array" ref="J3101:J3103">'SUT_EU27 total'!$K$83:$K$85</f>
        <v>0</v>
      </c>
    </row>
    <row r="3102" spans="1:10" x14ac:dyDescent="0.35">
      <c r="A3102" t="s">
        <v>14</v>
      </c>
      <c r="B3102" t="s">
        <v>38</v>
      </c>
      <c r="C3102" s="77" t="s">
        <v>91</v>
      </c>
      <c r="D3102" t="s">
        <v>81</v>
      </c>
      <c r="E3102" s="77" t="s">
        <v>104</v>
      </c>
      <c r="F3102" s="77" t="s">
        <v>73</v>
      </c>
      <c r="G3102" s="77" t="s">
        <v>74</v>
      </c>
      <c r="H3102" s="77" t="s">
        <v>108</v>
      </c>
      <c r="I3102" s="77" t="s">
        <v>84</v>
      </c>
      <c r="J3102" s="76">
        <v>0</v>
      </c>
    </row>
    <row r="3103" spans="1:10" x14ac:dyDescent="0.35">
      <c r="A3103" t="s">
        <v>14</v>
      </c>
      <c r="B3103" t="s">
        <v>38</v>
      </c>
      <c r="C3103" s="77" t="s">
        <v>91</v>
      </c>
      <c r="D3103" t="s">
        <v>81</v>
      </c>
      <c r="E3103" s="77" t="s">
        <v>106</v>
      </c>
      <c r="F3103" s="77" t="s">
        <v>73</v>
      </c>
      <c r="G3103" s="77" t="s">
        <v>74</v>
      </c>
      <c r="H3103" s="77" t="s">
        <v>108</v>
      </c>
      <c r="I3103" s="77" t="s">
        <v>84</v>
      </c>
      <c r="J3103" s="76">
        <v>0</v>
      </c>
    </row>
    <row r="3104" spans="1:10" x14ac:dyDescent="0.35">
      <c r="A3104" t="s">
        <v>14</v>
      </c>
      <c r="B3104" t="s">
        <v>38</v>
      </c>
      <c r="C3104" s="77" t="s">
        <v>92</v>
      </c>
      <c r="D3104" t="s">
        <v>81</v>
      </c>
      <c r="E3104" s="77" t="s">
        <v>118</v>
      </c>
      <c r="F3104" s="77" t="s">
        <v>73</v>
      </c>
      <c r="G3104" s="77" t="s">
        <v>74</v>
      </c>
      <c r="H3104" s="77" t="s">
        <v>108</v>
      </c>
      <c r="I3104" s="77" t="s">
        <v>84</v>
      </c>
      <c r="J3104" s="76" cm="1">
        <f t="array" ref="J3104:J3106">'SUT_EU27 total'!$K$89:$K$91</f>
        <v>3.3497344343163542E-3</v>
      </c>
    </row>
    <row r="3105" spans="1:10" x14ac:dyDescent="0.35">
      <c r="A3105" t="s">
        <v>14</v>
      </c>
      <c r="B3105" t="s">
        <v>38</v>
      </c>
      <c r="C3105" s="77" t="s">
        <v>92</v>
      </c>
      <c r="D3105" t="s">
        <v>81</v>
      </c>
      <c r="E3105" s="77" t="s">
        <v>119</v>
      </c>
      <c r="F3105" s="77" t="s">
        <v>73</v>
      </c>
      <c r="G3105" s="77" t="s">
        <v>74</v>
      </c>
      <c r="H3105" s="77" t="s">
        <v>108</v>
      </c>
      <c r="I3105" s="77" t="s">
        <v>84</v>
      </c>
      <c r="J3105" s="76">
        <v>6.0269323460777589E-3</v>
      </c>
    </row>
    <row r="3106" spans="1:10" x14ac:dyDescent="0.35">
      <c r="A3106" t="s">
        <v>14</v>
      </c>
      <c r="B3106" t="s">
        <v>38</v>
      </c>
      <c r="C3106" s="77" t="s">
        <v>92</v>
      </c>
      <c r="D3106" t="s">
        <v>81</v>
      </c>
      <c r="E3106" s="77" t="s">
        <v>120</v>
      </c>
      <c r="F3106" s="77" t="s">
        <v>73</v>
      </c>
      <c r="G3106" s="77" t="s">
        <v>74</v>
      </c>
      <c r="H3106" s="77" t="s">
        <v>108</v>
      </c>
      <c r="I3106" s="77" t="s">
        <v>84</v>
      </c>
      <c r="J3106" s="76">
        <v>4.0947713992508196E-3</v>
      </c>
    </row>
    <row r="3107" spans="1:10" x14ac:dyDescent="0.35">
      <c r="A3107" t="s">
        <v>14</v>
      </c>
      <c r="B3107" t="s">
        <v>38</v>
      </c>
      <c r="C3107" s="77" t="s">
        <v>92</v>
      </c>
      <c r="D3107" t="s">
        <v>81</v>
      </c>
      <c r="E3107" s="77" t="s">
        <v>121</v>
      </c>
      <c r="F3107" s="77" t="s">
        <v>73</v>
      </c>
      <c r="G3107" s="77" t="s">
        <v>74</v>
      </c>
      <c r="H3107" s="77" t="s">
        <v>108</v>
      </c>
      <c r="I3107" s="77" t="s">
        <v>84</v>
      </c>
      <c r="J3107" s="76">
        <f>'SUT_EU27 total'!$K$93</f>
        <v>0</v>
      </c>
    </row>
    <row r="3108" spans="1:10" x14ac:dyDescent="0.35">
      <c r="A3108" t="s">
        <v>14</v>
      </c>
      <c r="B3108" t="s">
        <v>38</v>
      </c>
      <c r="C3108" s="77" t="s">
        <v>92</v>
      </c>
      <c r="D3108" t="s">
        <v>81</v>
      </c>
      <c r="E3108" s="77" t="s">
        <v>117</v>
      </c>
      <c r="F3108" s="77" t="s">
        <v>73</v>
      </c>
      <c r="G3108" s="77" t="s">
        <v>74</v>
      </c>
      <c r="H3108" s="77" t="s">
        <v>108</v>
      </c>
      <c r="I3108" s="77" t="s">
        <v>84</v>
      </c>
      <c r="J3108" s="76">
        <f>'SUT_EU27 total'!$K$95</f>
        <v>0</v>
      </c>
    </row>
    <row r="3109" spans="1:10" x14ac:dyDescent="0.35">
      <c r="A3109" t="s">
        <v>14</v>
      </c>
      <c r="B3109" t="s">
        <v>38</v>
      </c>
      <c r="C3109" s="77" t="s">
        <v>92</v>
      </c>
      <c r="D3109" t="s">
        <v>81</v>
      </c>
      <c r="E3109" s="77" t="s">
        <v>122</v>
      </c>
      <c r="F3109" s="77" t="s">
        <v>73</v>
      </c>
      <c r="G3109" s="77" t="s">
        <v>74</v>
      </c>
      <c r="H3109" s="77" t="s">
        <v>108</v>
      </c>
      <c r="I3109" s="77" t="s">
        <v>84</v>
      </c>
      <c r="J3109" s="76">
        <f>'SUT_EU27 total'!$K$98</f>
        <v>0</v>
      </c>
    </row>
    <row r="3110" spans="1:10" x14ac:dyDescent="0.35">
      <c r="A3110" t="s">
        <v>14</v>
      </c>
      <c r="B3110" t="s">
        <v>38</v>
      </c>
      <c r="C3110" s="77" t="s">
        <v>92</v>
      </c>
      <c r="D3110" t="s">
        <v>81</v>
      </c>
      <c r="E3110" s="77" t="s">
        <v>101</v>
      </c>
      <c r="F3110" s="77" t="s">
        <v>73</v>
      </c>
      <c r="G3110" s="77" t="s">
        <v>74</v>
      </c>
      <c r="H3110" s="77" t="s">
        <v>108</v>
      </c>
      <c r="I3110" s="77" t="s">
        <v>84</v>
      </c>
      <c r="J3110" s="76" cm="1">
        <f t="array" ref="J3110:J3112">'SUT_EU27 total'!$K$100:$K$102</f>
        <v>0</v>
      </c>
    </row>
    <row r="3111" spans="1:10" x14ac:dyDescent="0.35">
      <c r="A3111" t="s">
        <v>14</v>
      </c>
      <c r="B3111" t="s">
        <v>38</v>
      </c>
      <c r="C3111" s="77" t="s">
        <v>92</v>
      </c>
      <c r="D3111" t="s">
        <v>81</v>
      </c>
      <c r="E3111" s="77" t="s">
        <v>104</v>
      </c>
      <c r="F3111" s="77" t="s">
        <v>73</v>
      </c>
      <c r="G3111" s="77" t="s">
        <v>74</v>
      </c>
      <c r="H3111" s="77" t="s">
        <v>108</v>
      </c>
      <c r="I3111" s="77" t="s">
        <v>84</v>
      </c>
      <c r="J3111" s="76">
        <v>0</v>
      </c>
    </row>
    <row r="3112" spans="1:10" x14ac:dyDescent="0.35">
      <c r="A3112" t="s">
        <v>14</v>
      </c>
      <c r="B3112" t="s">
        <v>38</v>
      </c>
      <c r="C3112" s="77" t="s">
        <v>92</v>
      </c>
      <c r="D3112" t="s">
        <v>81</v>
      </c>
      <c r="E3112" s="77" t="s">
        <v>106</v>
      </c>
      <c r="F3112" s="77" t="s">
        <v>73</v>
      </c>
      <c r="G3112" s="77" t="s">
        <v>74</v>
      </c>
      <c r="H3112" s="77" t="s">
        <v>108</v>
      </c>
      <c r="I3112" s="77" t="s">
        <v>84</v>
      </c>
      <c r="J3112" s="76">
        <v>0</v>
      </c>
    </row>
    <row r="3113" spans="1:10" x14ac:dyDescent="0.35">
      <c r="A3113" t="s">
        <v>14</v>
      </c>
      <c r="B3113" t="s">
        <v>38</v>
      </c>
      <c r="C3113" s="77" t="s">
        <v>93</v>
      </c>
      <c r="D3113" t="s">
        <v>81</v>
      </c>
      <c r="E3113" s="77" t="s">
        <v>118</v>
      </c>
      <c r="F3113" s="77" t="s">
        <v>73</v>
      </c>
      <c r="G3113" s="77" t="s">
        <v>74</v>
      </c>
      <c r="H3113" s="77" t="s">
        <v>108</v>
      </c>
      <c r="I3113" s="77" t="s">
        <v>84</v>
      </c>
      <c r="J3113" s="76" cm="1">
        <f t="array" ref="J3113:J3115">'SUT_EU27 total'!$K$106:$K$108</f>
        <v>1.4980971667560324E-2</v>
      </c>
    </row>
    <row r="3114" spans="1:10" x14ac:dyDescent="0.35">
      <c r="A3114" t="s">
        <v>14</v>
      </c>
      <c r="B3114" t="s">
        <v>38</v>
      </c>
      <c r="C3114" s="77" t="s">
        <v>93</v>
      </c>
      <c r="D3114" t="s">
        <v>81</v>
      </c>
      <c r="E3114" s="77" t="s">
        <v>119</v>
      </c>
      <c r="F3114" s="77" t="s">
        <v>73</v>
      </c>
      <c r="G3114" s="77" t="s">
        <v>74</v>
      </c>
      <c r="H3114" s="77" t="s">
        <v>108</v>
      </c>
      <c r="I3114" s="77" t="s">
        <v>84</v>
      </c>
      <c r="J3114" s="76">
        <v>4.3405477873147885E-2</v>
      </c>
    </row>
    <row r="3115" spans="1:10" x14ac:dyDescent="0.35">
      <c r="A3115" t="s">
        <v>14</v>
      </c>
      <c r="B3115" t="s">
        <v>38</v>
      </c>
      <c r="C3115" s="77" t="s">
        <v>93</v>
      </c>
      <c r="D3115" t="s">
        <v>81</v>
      </c>
      <c r="E3115" s="77" t="s">
        <v>120</v>
      </c>
      <c r="F3115" s="77" t="s">
        <v>73</v>
      </c>
      <c r="G3115" s="77" t="s">
        <v>74</v>
      </c>
      <c r="H3115" s="77" t="s">
        <v>108</v>
      </c>
      <c r="I3115" s="77" t="s">
        <v>84</v>
      </c>
      <c r="J3115" s="76">
        <v>2.1237093113781802E-2</v>
      </c>
    </row>
    <row r="3116" spans="1:10" x14ac:dyDescent="0.35">
      <c r="A3116" t="s">
        <v>14</v>
      </c>
      <c r="B3116" t="s">
        <v>38</v>
      </c>
      <c r="C3116" s="77" t="s">
        <v>93</v>
      </c>
      <c r="D3116" t="s">
        <v>81</v>
      </c>
      <c r="E3116" s="77" t="s">
        <v>121</v>
      </c>
      <c r="F3116" s="77" t="s">
        <v>73</v>
      </c>
      <c r="G3116" s="77" t="s">
        <v>74</v>
      </c>
      <c r="H3116" s="77" t="s">
        <v>108</v>
      </c>
      <c r="I3116" s="77" t="s">
        <v>84</v>
      </c>
      <c r="J3116" s="76">
        <f>'SUT_EU27 total'!$K$110</f>
        <v>0</v>
      </c>
    </row>
    <row r="3117" spans="1:10" x14ac:dyDescent="0.35">
      <c r="A3117" t="s">
        <v>14</v>
      </c>
      <c r="B3117" t="s">
        <v>38</v>
      </c>
      <c r="C3117" s="77" t="s">
        <v>93</v>
      </c>
      <c r="D3117" t="s">
        <v>81</v>
      </c>
      <c r="E3117" s="77" t="s">
        <v>117</v>
      </c>
      <c r="F3117" s="77" t="s">
        <v>73</v>
      </c>
      <c r="G3117" s="77" t="s">
        <v>74</v>
      </c>
      <c r="H3117" s="77" t="s">
        <v>108</v>
      </c>
      <c r="I3117" s="77" t="s">
        <v>84</v>
      </c>
      <c r="J3117" s="76">
        <f>'SUT_EU27 total'!$K$112</f>
        <v>1.1930984723440377E-3</v>
      </c>
    </row>
    <row r="3118" spans="1:10" x14ac:dyDescent="0.35">
      <c r="A3118" t="s">
        <v>14</v>
      </c>
      <c r="B3118" t="s">
        <v>38</v>
      </c>
      <c r="C3118" s="77" t="s">
        <v>93</v>
      </c>
      <c r="D3118" t="s">
        <v>81</v>
      </c>
      <c r="E3118" s="77" t="s">
        <v>122</v>
      </c>
      <c r="F3118" s="77" t="s">
        <v>73</v>
      </c>
      <c r="G3118" s="77" t="s">
        <v>74</v>
      </c>
      <c r="H3118" s="77" t="s">
        <v>108</v>
      </c>
      <c r="I3118" s="77" t="s">
        <v>84</v>
      </c>
      <c r="J3118" s="76">
        <f>'SUT_EU27 total'!$K$115</f>
        <v>8.7987828585017833E-3</v>
      </c>
    </row>
    <row r="3119" spans="1:10" x14ac:dyDescent="0.35">
      <c r="A3119" t="s">
        <v>14</v>
      </c>
      <c r="B3119" t="s">
        <v>38</v>
      </c>
      <c r="C3119" s="77" t="s">
        <v>93</v>
      </c>
      <c r="D3119" t="s">
        <v>81</v>
      </c>
      <c r="E3119" s="77" t="s">
        <v>101</v>
      </c>
      <c r="F3119" s="77" t="s">
        <v>73</v>
      </c>
      <c r="G3119" s="77" t="s">
        <v>74</v>
      </c>
      <c r="H3119" s="77" t="s">
        <v>108</v>
      </c>
      <c r="I3119" s="77" t="s">
        <v>84</v>
      </c>
      <c r="J3119" s="76" cm="1">
        <f t="array" ref="J3119:J3121">'SUT_EU27 total'!$K$117:$K$119</f>
        <v>0</v>
      </c>
    </row>
    <row r="3120" spans="1:10" x14ac:dyDescent="0.35">
      <c r="A3120" t="s">
        <v>14</v>
      </c>
      <c r="B3120" t="s">
        <v>38</v>
      </c>
      <c r="C3120" s="77" t="s">
        <v>93</v>
      </c>
      <c r="D3120" t="s">
        <v>81</v>
      </c>
      <c r="E3120" s="77" t="s">
        <v>104</v>
      </c>
      <c r="F3120" s="77" t="s">
        <v>73</v>
      </c>
      <c r="G3120" s="77" t="s">
        <v>74</v>
      </c>
      <c r="H3120" s="77" t="s">
        <v>108</v>
      </c>
      <c r="I3120" s="77" t="s">
        <v>84</v>
      </c>
      <c r="J3120" s="76">
        <v>0</v>
      </c>
    </row>
    <row r="3121" spans="1:10" x14ac:dyDescent="0.35">
      <c r="A3121" t="s">
        <v>14</v>
      </c>
      <c r="B3121" t="s">
        <v>38</v>
      </c>
      <c r="C3121" s="77" t="s">
        <v>93</v>
      </c>
      <c r="D3121" t="s">
        <v>81</v>
      </c>
      <c r="E3121" s="77" t="s">
        <v>106</v>
      </c>
      <c r="F3121" s="77" t="s">
        <v>73</v>
      </c>
      <c r="G3121" s="77" t="s">
        <v>74</v>
      </c>
      <c r="H3121" s="77" t="s">
        <v>108</v>
      </c>
      <c r="I3121" s="77" t="s">
        <v>84</v>
      </c>
      <c r="J3121" s="76">
        <v>0</v>
      </c>
    </row>
    <row r="3122" spans="1:10" x14ac:dyDescent="0.35">
      <c r="A3122" t="s">
        <v>14</v>
      </c>
      <c r="B3122" t="s">
        <v>38</v>
      </c>
      <c r="C3122" s="77" t="s">
        <v>73</v>
      </c>
      <c r="D3122" t="s">
        <v>81</v>
      </c>
      <c r="E3122" s="77" t="s">
        <v>119</v>
      </c>
      <c r="F3122" s="77" t="s">
        <v>73</v>
      </c>
      <c r="G3122" s="77" t="s">
        <v>74</v>
      </c>
      <c r="H3122" s="77" t="s">
        <v>123</v>
      </c>
      <c r="I3122" s="77" t="s">
        <v>84</v>
      </c>
      <c r="J3122" s="76">
        <f>'SUT_EU27 total'!$L$22</f>
        <v>1.9500181678711294E-2</v>
      </c>
    </row>
    <row r="3123" spans="1:10" x14ac:dyDescent="0.35">
      <c r="A3123" t="s">
        <v>14</v>
      </c>
      <c r="B3123" t="s">
        <v>38</v>
      </c>
      <c r="C3123" s="77" t="s">
        <v>73</v>
      </c>
      <c r="D3123" t="s">
        <v>81</v>
      </c>
      <c r="E3123" s="77" t="s">
        <v>124</v>
      </c>
      <c r="F3123" s="77" t="s">
        <v>73</v>
      </c>
      <c r="G3123" s="77" t="s">
        <v>74</v>
      </c>
      <c r="H3123" s="77" t="s">
        <v>123</v>
      </c>
      <c r="I3123" s="77" t="s">
        <v>84</v>
      </c>
      <c r="J3123" s="76" cm="1">
        <f t="array" ref="J3123:J3131">'SUT_EU27 total'!$L$26:$L$34</f>
        <v>1.9404661061278542E-3</v>
      </c>
    </row>
    <row r="3124" spans="1:10" x14ac:dyDescent="0.35">
      <c r="A3124" t="s">
        <v>14</v>
      </c>
      <c r="B3124" t="s">
        <v>38</v>
      </c>
      <c r="C3124" s="77" t="s">
        <v>73</v>
      </c>
      <c r="D3124" t="s">
        <v>81</v>
      </c>
      <c r="E3124" s="77" t="s">
        <v>117</v>
      </c>
      <c r="F3124" s="77" t="s">
        <v>73</v>
      </c>
      <c r="G3124" s="77" t="s">
        <v>74</v>
      </c>
      <c r="H3124" s="77" t="s">
        <v>123</v>
      </c>
      <c r="I3124" s="77" t="s">
        <v>84</v>
      </c>
      <c r="J3124" s="76">
        <v>5.8423628191201782E-3</v>
      </c>
    </row>
    <row r="3125" spans="1:10" x14ac:dyDescent="0.35">
      <c r="A3125" t="s">
        <v>14</v>
      </c>
      <c r="B3125" t="s">
        <v>38</v>
      </c>
      <c r="C3125" s="77" t="s">
        <v>73</v>
      </c>
      <c r="D3125" t="s">
        <v>81</v>
      </c>
      <c r="E3125" s="77" t="s">
        <v>82</v>
      </c>
      <c r="F3125" s="77" t="s">
        <v>73</v>
      </c>
      <c r="G3125" s="77" t="s">
        <v>74</v>
      </c>
      <c r="H3125" s="77" t="s">
        <v>123</v>
      </c>
      <c r="I3125" s="77" t="s">
        <v>84</v>
      </c>
      <c r="J3125" s="76">
        <v>4.8981233243967828E-4</v>
      </c>
    </row>
    <row r="3126" spans="1:10" x14ac:dyDescent="0.35">
      <c r="A3126" t="s">
        <v>14</v>
      </c>
      <c r="B3126" t="s">
        <v>38</v>
      </c>
      <c r="C3126" s="77" t="s">
        <v>73</v>
      </c>
      <c r="D3126" t="s">
        <v>81</v>
      </c>
      <c r="E3126" s="77" t="s">
        <v>125</v>
      </c>
      <c r="F3126" s="77" t="s">
        <v>73</v>
      </c>
      <c r="G3126" s="77" t="s">
        <v>74</v>
      </c>
      <c r="H3126" s="77" t="s">
        <v>123</v>
      </c>
      <c r="I3126" s="77" t="s">
        <v>84</v>
      </c>
      <c r="J3126" s="76">
        <v>2.4658201215687387E-3</v>
      </c>
    </row>
    <row r="3127" spans="1:10" x14ac:dyDescent="0.35">
      <c r="A3127" t="s">
        <v>14</v>
      </c>
      <c r="B3127" t="s">
        <v>38</v>
      </c>
      <c r="C3127" s="77" t="s">
        <v>73</v>
      </c>
      <c r="D3127" t="s">
        <v>81</v>
      </c>
      <c r="E3127" s="77" t="s">
        <v>122</v>
      </c>
      <c r="F3127" s="77" t="s">
        <v>73</v>
      </c>
      <c r="G3127" s="77" t="s">
        <v>74</v>
      </c>
      <c r="H3127" s="77" t="s">
        <v>123</v>
      </c>
      <c r="I3127" s="77" t="s">
        <v>84</v>
      </c>
      <c r="J3127" s="76">
        <v>4.922711058263972E-4</v>
      </c>
    </row>
    <row r="3128" spans="1:10" x14ac:dyDescent="0.35">
      <c r="A3128" t="s">
        <v>14</v>
      </c>
      <c r="B3128" t="s">
        <v>38</v>
      </c>
      <c r="C3128" s="77" t="s">
        <v>73</v>
      </c>
      <c r="D3128" t="s">
        <v>81</v>
      </c>
      <c r="E3128" s="77" t="s">
        <v>126</v>
      </c>
      <c r="F3128" s="77" t="s">
        <v>73</v>
      </c>
      <c r="G3128" s="77" t="s">
        <v>74</v>
      </c>
      <c r="H3128" s="77" t="s">
        <v>123</v>
      </c>
      <c r="I3128" s="77" t="s">
        <v>84</v>
      </c>
      <c r="J3128" s="76">
        <v>0</v>
      </c>
    </row>
    <row r="3129" spans="1:10" x14ac:dyDescent="0.35">
      <c r="A3129" t="s">
        <v>14</v>
      </c>
      <c r="B3129" t="s">
        <v>38</v>
      </c>
      <c r="C3129" s="77" t="s">
        <v>73</v>
      </c>
      <c r="D3129" t="s">
        <v>81</v>
      </c>
      <c r="E3129" s="77" t="s">
        <v>101</v>
      </c>
      <c r="F3129" s="77" t="s">
        <v>73</v>
      </c>
      <c r="G3129" s="77" t="s">
        <v>74</v>
      </c>
      <c r="H3129" s="77" t="s">
        <v>123</v>
      </c>
      <c r="I3129" s="77" t="s">
        <v>84</v>
      </c>
      <c r="J3129" s="76">
        <v>3.7860913795851507E-4</v>
      </c>
    </row>
    <row r="3130" spans="1:10" x14ac:dyDescent="0.35">
      <c r="A3130" t="s">
        <v>14</v>
      </c>
      <c r="B3130" t="s">
        <v>38</v>
      </c>
      <c r="C3130" s="77" t="s">
        <v>73</v>
      </c>
      <c r="D3130" t="s">
        <v>81</v>
      </c>
      <c r="E3130" s="77" t="s">
        <v>104</v>
      </c>
      <c r="F3130" s="77" t="s">
        <v>73</v>
      </c>
      <c r="G3130" s="77" t="s">
        <v>74</v>
      </c>
      <c r="H3130" s="77" t="s">
        <v>123</v>
      </c>
      <c r="I3130" s="77" t="s">
        <v>84</v>
      </c>
      <c r="J3130" s="76">
        <v>7.1686251377883477E-4</v>
      </c>
    </row>
    <row r="3131" spans="1:10" x14ac:dyDescent="0.35">
      <c r="A3131" t="s">
        <v>14</v>
      </c>
      <c r="B3131" t="s">
        <v>38</v>
      </c>
      <c r="C3131" s="77" t="s">
        <v>73</v>
      </c>
      <c r="D3131" t="s">
        <v>81</v>
      </c>
      <c r="E3131" s="77" t="s">
        <v>106</v>
      </c>
      <c r="F3131" s="77" t="s">
        <v>73</v>
      </c>
      <c r="G3131" s="77" t="s">
        <v>74</v>
      </c>
      <c r="H3131" s="77" t="s">
        <v>123</v>
      </c>
      <c r="I3131" s="77" t="s">
        <v>84</v>
      </c>
      <c r="J3131" s="76">
        <v>2.438307869996036E-3</v>
      </c>
    </row>
    <row r="3132" spans="1:10" x14ac:dyDescent="0.35">
      <c r="A3132" t="s">
        <v>14</v>
      </c>
      <c r="B3132" t="s">
        <v>38</v>
      </c>
      <c r="C3132" s="77" t="s">
        <v>88</v>
      </c>
      <c r="D3132" t="s">
        <v>81</v>
      </c>
      <c r="E3132" s="77" t="s">
        <v>119</v>
      </c>
      <c r="F3132" s="77" t="s">
        <v>73</v>
      </c>
      <c r="G3132" s="77" t="s">
        <v>74</v>
      </c>
      <c r="H3132" s="77" t="s">
        <v>123</v>
      </c>
      <c r="I3132" s="77" t="s">
        <v>84</v>
      </c>
      <c r="J3132" s="76">
        <f>'SUT_EU27 total'!$L$39</f>
        <v>0.16108845734587587</v>
      </c>
    </row>
    <row r="3133" spans="1:10" x14ac:dyDescent="0.35">
      <c r="A3133" t="s">
        <v>14</v>
      </c>
      <c r="B3133" t="s">
        <v>38</v>
      </c>
      <c r="C3133" s="77" t="s">
        <v>88</v>
      </c>
      <c r="D3133" t="s">
        <v>81</v>
      </c>
      <c r="E3133" s="77" t="s">
        <v>124</v>
      </c>
      <c r="F3133" s="77" t="s">
        <v>73</v>
      </c>
      <c r="G3133" s="77" t="s">
        <v>74</v>
      </c>
      <c r="H3133" s="77" t="s">
        <v>123</v>
      </c>
      <c r="I3133" s="77" t="s">
        <v>84</v>
      </c>
      <c r="J3133" s="76" cm="1">
        <f t="array" ref="J3133:J3141">'SUT_EU27 total'!$M$43:$M$51</f>
        <v>5.0558836222750793E-4</v>
      </c>
    </row>
    <row r="3134" spans="1:10" x14ac:dyDescent="0.35">
      <c r="A3134" t="s">
        <v>14</v>
      </c>
      <c r="B3134" t="s">
        <v>38</v>
      </c>
      <c r="C3134" s="77" t="s">
        <v>88</v>
      </c>
      <c r="D3134" t="s">
        <v>81</v>
      </c>
      <c r="E3134" s="77" t="s">
        <v>117</v>
      </c>
      <c r="F3134" s="77" t="s">
        <v>73</v>
      </c>
      <c r="G3134" s="77" t="s">
        <v>74</v>
      </c>
      <c r="H3134" s="77" t="s">
        <v>123</v>
      </c>
      <c r="I3134" s="77" t="s">
        <v>84</v>
      </c>
      <c r="J3134" s="76">
        <v>4.8514464106651379E-3</v>
      </c>
    </row>
    <row r="3135" spans="1:10" x14ac:dyDescent="0.35">
      <c r="A3135" t="s">
        <v>14</v>
      </c>
      <c r="B3135" t="s">
        <v>38</v>
      </c>
      <c r="C3135" s="77" t="s">
        <v>88</v>
      </c>
      <c r="D3135" t="s">
        <v>81</v>
      </c>
      <c r="E3135" s="77" t="s">
        <v>82</v>
      </c>
      <c r="F3135" s="77" t="s">
        <v>73</v>
      </c>
      <c r="G3135" s="77" t="s">
        <v>74</v>
      </c>
      <c r="H3135" s="77" t="s">
        <v>123</v>
      </c>
      <c r="I3135" s="77" t="s">
        <v>84</v>
      </c>
      <c r="J3135" s="76">
        <v>1.109418436791091E-2</v>
      </c>
    </row>
    <row r="3136" spans="1:10" x14ac:dyDescent="0.35">
      <c r="A3136" t="s">
        <v>14</v>
      </c>
      <c r="B3136" t="s">
        <v>38</v>
      </c>
      <c r="C3136" s="77" t="s">
        <v>88</v>
      </c>
      <c r="D3136" t="s">
        <v>81</v>
      </c>
      <c r="E3136" s="77" t="s">
        <v>125</v>
      </c>
      <c r="F3136" s="77" t="s">
        <v>73</v>
      </c>
      <c r="G3136" s="77" t="s">
        <v>74</v>
      </c>
      <c r="H3136" s="77" t="s">
        <v>123</v>
      </c>
      <c r="I3136" s="77" t="s">
        <v>84</v>
      </c>
      <c r="J3136" s="76">
        <v>2.890870278990243E-5</v>
      </c>
    </row>
    <row r="3137" spans="1:10" x14ac:dyDescent="0.35">
      <c r="A3137" t="s">
        <v>14</v>
      </c>
      <c r="B3137" t="s">
        <v>38</v>
      </c>
      <c r="C3137" s="77" t="s">
        <v>88</v>
      </c>
      <c r="D3137" t="s">
        <v>81</v>
      </c>
      <c r="E3137" s="77" t="s">
        <v>122</v>
      </c>
      <c r="F3137" s="77" t="s">
        <v>73</v>
      </c>
      <c r="G3137" s="77" t="s">
        <v>74</v>
      </c>
      <c r="H3137" s="77" t="s">
        <v>123</v>
      </c>
      <c r="I3137" s="77" t="s">
        <v>84</v>
      </c>
      <c r="J3137" s="76">
        <v>0</v>
      </c>
    </row>
    <row r="3138" spans="1:10" x14ac:dyDescent="0.35">
      <c r="A3138" t="s">
        <v>14</v>
      </c>
      <c r="B3138" t="s">
        <v>38</v>
      </c>
      <c r="C3138" s="77" t="s">
        <v>88</v>
      </c>
      <c r="D3138" t="s">
        <v>81</v>
      </c>
      <c r="E3138" s="77" t="s">
        <v>126</v>
      </c>
      <c r="F3138" s="77" t="s">
        <v>73</v>
      </c>
      <c r="G3138" s="77" t="s">
        <v>74</v>
      </c>
      <c r="H3138" s="77" t="s">
        <v>123</v>
      </c>
      <c r="I3138" s="77" t="s">
        <v>84</v>
      </c>
      <c r="J3138" s="76">
        <v>2.8514320987501449E-3</v>
      </c>
    </row>
    <row r="3139" spans="1:10" x14ac:dyDescent="0.35">
      <c r="A3139" t="s">
        <v>14</v>
      </c>
      <c r="B3139" t="s">
        <v>38</v>
      </c>
      <c r="C3139" s="77" t="s">
        <v>88</v>
      </c>
      <c r="D3139" t="s">
        <v>81</v>
      </c>
      <c r="E3139" s="77" t="s">
        <v>101</v>
      </c>
      <c r="F3139" s="77" t="s">
        <v>73</v>
      </c>
      <c r="G3139" s="77" t="s">
        <v>74</v>
      </c>
      <c r="H3139" s="77" t="s">
        <v>123</v>
      </c>
      <c r="I3139" s="77" t="s">
        <v>84</v>
      </c>
      <c r="J3139" s="76">
        <v>0</v>
      </c>
    </row>
    <row r="3140" spans="1:10" x14ac:dyDescent="0.35">
      <c r="A3140" t="s">
        <v>14</v>
      </c>
      <c r="B3140" t="s">
        <v>38</v>
      </c>
      <c r="C3140" s="77" t="s">
        <v>88</v>
      </c>
      <c r="D3140" t="s">
        <v>81</v>
      </c>
      <c r="E3140" s="77" t="s">
        <v>104</v>
      </c>
      <c r="F3140" s="77" t="s">
        <v>73</v>
      </c>
      <c r="G3140" s="77" t="s">
        <v>74</v>
      </c>
      <c r="H3140" s="77" t="s">
        <v>123</v>
      </c>
      <c r="I3140" s="77" t="s">
        <v>84</v>
      </c>
      <c r="J3140" s="76">
        <v>0</v>
      </c>
    </row>
    <row r="3141" spans="1:10" x14ac:dyDescent="0.35">
      <c r="A3141" t="s">
        <v>14</v>
      </c>
      <c r="B3141" t="s">
        <v>38</v>
      </c>
      <c r="C3141" s="77" t="s">
        <v>88</v>
      </c>
      <c r="D3141" t="s">
        <v>81</v>
      </c>
      <c r="E3141" s="77" t="s">
        <v>106</v>
      </c>
      <c r="F3141" s="77" t="s">
        <v>73</v>
      </c>
      <c r="G3141" s="77" t="s">
        <v>74</v>
      </c>
      <c r="H3141" s="77" t="s">
        <v>123</v>
      </c>
      <c r="I3141" s="77" t="s">
        <v>84</v>
      </c>
      <c r="J3141" s="76">
        <v>0</v>
      </c>
    </row>
    <row r="3142" spans="1:10" x14ac:dyDescent="0.35">
      <c r="A3142" t="s">
        <v>14</v>
      </c>
      <c r="B3142" t="s">
        <v>38</v>
      </c>
      <c r="C3142" s="77" t="s">
        <v>90</v>
      </c>
      <c r="D3142" t="s">
        <v>81</v>
      </c>
      <c r="E3142" s="77" t="s">
        <v>119</v>
      </c>
      <c r="F3142" s="77" t="s">
        <v>73</v>
      </c>
      <c r="G3142" s="77" t="s">
        <v>74</v>
      </c>
      <c r="H3142" s="77" t="s">
        <v>123</v>
      </c>
      <c r="I3142" s="77" t="s">
        <v>84</v>
      </c>
      <c r="J3142" s="76">
        <f>'SUT_EU27 total'!$M$56</f>
        <v>2.949251079979006E-2</v>
      </c>
    </row>
    <row r="3143" spans="1:10" x14ac:dyDescent="0.35">
      <c r="A3143" t="s">
        <v>14</v>
      </c>
      <c r="B3143" t="s">
        <v>38</v>
      </c>
      <c r="C3143" s="77" t="s">
        <v>90</v>
      </c>
      <c r="D3143" t="s">
        <v>81</v>
      </c>
      <c r="E3143" s="77" t="s">
        <v>124</v>
      </c>
      <c r="F3143" s="77" t="s">
        <v>73</v>
      </c>
      <c r="G3143" s="77" t="s">
        <v>74</v>
      </c>
      <c r="H3143" s="77" t="s">
        <v>123</v>
      </c>
      <c r="I3143" s="77" t="s">
        <v>84</v>
      </c>
      <c r="J3143" s="76" cm="1">
        <f t="array" ref="J3143:J3151">'SUT_EU27 total'!$L$60:$L$68</f>
        <v>2.1047443073980527E-5</v>
      </c>
    </row>
    <row r="3144" spans="1:10" x14ac:dyDescent="0.35">
      <c r="A3144" t="s">
        <v>14</v>
      </c>
      <c r="B3144" t="s">
        <v>38</v>
      </c>
      <c r="C3144" s="77" t="s">
        <v>90</v>
      </c>
      <c r="D3144" t="s">
        <v>81</v>
      </c>
      <c r="E3144" s="77" t="s">
        <v>117</v>
      </c>
      <c r="F3144" s="77" t="s">
        <v>73</v>
      </c>
      <c r="G3144" s="77" t="s">
        <v>74</v>
      </c>
      <c r="H3144" s="77" t="s">
        <v>123</v>
      </c>
      <c r="I3144" s="77" t="s">
        <v>84</v>
      </c>
      <c r="J3144" s="76">
        <v>5.8414015621608938E-3</v>
      </c>
    </row>
    <row r="3145" spans="1:10" x14ac:dyDescent="0.35">
      <c r="A3145" t="s">
        <v>14</v>
      </c>
      <c r="B3145" t="s">
        <v>38</v>
      </c>
      <c r="C3145" s="77" t="s">
        <v>90</v>
      </c>
      <c r="D3145" t="s">
        <v>81</v>
      </c>
      <c r="E3145" s="77" t="s">
        <v>82</v>
      </c>
      <c r="F3145" s="77" t="s">
        <v>73</v>
      </c>
      <c r="G3145" s="77" t="s">
        <v>74</v>
      </c>
      <c r="H3145" s="77" t="s">
        <v>123</v>
      </c>
      <c r="I3145" s="77" t="s">
        <v>84</v>
      </c>
      <c r="J3145" s="76">
        <v>1.4521138379047227E-3</v>
      </c>
    </row>
    <row r="3146" spans="1:10" x14ac:dyDescent="0.35">
      <c r="A3146" t="s">
        <v>14</v>
      </c>
      <c r="B3146" t="s">
        <v>38</v>
      </c>
      <c r="C3146" s="77" t="s">
        <v>90</v>
      </c>
      <c r="D3146" t="s">
        <v>81</v>
      </c>
      <c r="E3146" s="77" t="s">
        <v>125</v>
      </c>
      <c r="F3146" s="77" t="s">
        <v>73</v>
      </c>
      <c r="G3146" s="77" t="s">
        <v>74</v>
      </c>
      <c r="H3146" s="77" t="s">
        <v>123</v>
      </c>
      <c r="I3146" s="77" t="s">
        <v>84</v>
      </c>
      <c r="J3146" s="76">
        <v>6.5130870114372285E-5</v>
      </c>
    </row>
    <row r="3147" spans="1:10" x14ac:dyDescent="0.35">
      <c r="A3147" t="s">
        <v>14</v>
      </c>
      <c r="B3147" t="s">
        <v>38</v>
      </c>
      <c r="C3147" s="77" t="s">
        <v>90</v>
      </c>
      <c r="D3147" t="s">
        <v>81</v>
      </c>
      <c r="E3147" s="77" t="s">
        <v>122</v>
      </c>
      <c r="F3147" s="77" t="s">
        <v>73</v>
      </c>
      <c r="G3147" s="77" t="s">
        <v>74</v>
      </c>
      <c r="H3147" s="77" t="s">
        <v>123</v>
      </c>
      <c r="I3147" s="77" t="s">
        <v>84</v>
      </c>
      <c r="J3147" s="76">
        <v>7.9476813317479189E-4</v>
      </c>
    </row>
    <row r="3148" spans="1:10" x14ac:dyDescent="0.35">
      <c r="A3148" t="s">
        <v>14</v>
      </c>
      <c r="B3148" t="s">
        <v>38</v>
      </c>
      <c r="C3148" s="77" t="s">
        <v>90</v>
      </c>
      <c r="D3148" t="s">
        <v>81</v>
      </c>
      <c r="E3148" s="77" t="s">
        <v>126</v>
      </c>
      <c r="F3148" s="77" t="s">
        <v>73</v>
      </c>
      <c r="G3148" s="77" t="s">
        <v>74</v>
      </c>
      <c r="H3148" s="77" t="s">
        <v>123</v>
      </c>
      <c r="I3148" s="77" t="s">
        <v>84</v>
      </c>
      <c r="J3148" s="76">
        <v>8.4821183458843076E-3</v>
      </c>
    </row>
    <row r="3149" spans="1:10" x14ac:dyDescent="0.35">
      <c r="A3149" t="s">
        <v>14</v>
      </c>
      <c r="B3149" t="s">
        <v>38</v>
      </c>
      <c r="C3149" s="77" t="s">
        <v>90</v>
      </c>
      <c r="D3149" t="s">
        <v>81</v>
      </c>
      <c r="E3149" s="77" t="s">
        <v>101</v>
      </c>
      <c r="F3149" s="77" t="s">
        <v>73</v>
      </c>
      <c r="G3149" s="77" t="s">
        <v>74</v>
      </c>
      <c r="H3149" s="77" t="s">
        <v>123</v>
      </c>
      <c r="I3149" s="77" t="s">
        <v>84</v>
      </c>
      <c r="J3149" s="76">
        <v>0</v>
      </c>
    </row>
    <row r="3150" spans="1:10" x14ac:dyDescent="0.35">
      <c r="A3150" t="s">
        <v>14</v>
      </c>
      <c r="B3150" t="s">
        <v>38</v>
      </c>
      <c r="C3150" s="77" t="s">
        <v>90</v>
      </c>
      <c r="D3150" t="s">
        <v>81</v>
      </c>
      <c r="E3150" s="77" t="s">
        <v>104</v>
      </c>
      <c r="F3150" s="77" t="s">
        <v>73</v>
      </c>
      <c r="G3150" s="77" t="s">
        <v>74</v>
      </c>
      <c r="H3150" s="77" t="s">
        <v>123</v>
      </c>
      <c r="I3150" s="77" t="s">
        <v>84</v>
      </c>
      <c r="J3150" s="76">
        <v>0</v>
      </c>
    </row>
    <row r="3151" spans="1:10" x14ac:dyDescent="0.35">
      <c r="A3151" t="s">
        <v>14</v>
      </c>
      <c r="B3151" t="s">
        <v>38</v>
      </c>
      <c r="C3151" s="77" t="s">
        <v>90</v>
      </c>
      <c r="D3151" t="s">
        <v>81</v>
      </c>
      <c r="E3151" s="77" t="s">
        <v>106</v>
      </c>
      <c r="F3151" s="77" t="s">
        <v>73</v>
      </c>
      <c r="G3151" s="77" t="s">
        <v>74</v>
      </c>
      <c r="H3151" s="77" t="s">
        <v>123</v>
      </c>
      <c r="I3151" s="77" t="s">
        <v>84</v>
      </c>
      <c r="J3151" s="76">
        <v>0</v>
      </c>
    </row>
    <row r="3152" spans="1:10" x14ac:dyDescent="0.35">
      <c r="A3152" t="s">
        <v>14</v>
      </c>
      <c r="B3152" t="s">
        <v>38</v>
      </c>
      <c r="C3152" s="77" t="s">
        <v>91</v>
      </c>
      <c r="D3152" t="s">
        <v>81</v>
      </c>
      <c r="E3152" s="77" t="s">
        <v>119</v>
      </c>
      <c r="F3152" s="77" t="s">
        <v>73</v>
      </c>
      <c r="G3152" s="77" t="s">
        <v>74</v>
      </c>
      <c r="H3152" s="77" t="s">
        <v>123</v>
      </c>
      <c r="I3152" s="77" t="s">
        <v>84</v>
      </c>
      <c r="J3152" s="76">
        <f>'SUT_EU27 total'!$L$73</f>
        <v>0.15097500908393557</v>
      </c>
    </row>
    <row r="3153" spans="1:10" x14ac:dyDescent="0.35">
      <c r="A3153" t="s">
        <v>14</v>
      </c>
      <c r="B3153" t="s">
        <v>38</v>
      </c>
      <c r="C3153" s="77" t="s">
        <v>91</v>
      </c>
      <c r="D3153" t="s">
        <v>81</v>
      </c>
      <c r="E3153" s="77" t="s">
        <v>124</v>
      </c>
      <c r="F3153" s="77" t="s">
        <v>73</v>
      </c>
      <c r="G3153" s="77" t="s">
        <v>74</v>
      </c>
      <c r="H3153" s="77" t="s">
        <v>123</v>
      </c>
      <c r="I3153" s="77" t="s">
        <v>84</v>
      </c>
      <c r="J3153" s="76" cm="1">
        <f t="array" ref="J3153:J3161">'SUT_EU27 total'!$L$77:$L$85</f>
        <v>6.7728942399646885E-5</v>
      </c>
    </row>
    <row r="3154" spans="1:10" x14ac:dyDescent="0.35">
      <c r="A3154" t="s">
        <v>14</v>
      </c>
      <c r="B3154" t="s">
        <v>38</v>
      </c>
      <c r="C3154" s="77" t="s">
        <v>91</v>
      </c>
      <c r="D3154" t="s">
        <v>81</v>
      </c>
      <c r="E3154" s="77" t="s">
        <v>117</v>
      </c>
      <c r="F3154" s="77" t="s">
        <v>73</v>
      </c>
      <c r="G3154" s="77" t="s">
        <v>74</v>
      </c>
      <c r="H3154" s="77" t="s">
        <v>123</v>
      </c>
      <c r="I3154" s="77" t="s">
        <v>84</v>
      </c>
      <c r="J3154" s="76">
        <v>5.6233849622410815E-3</v>
      </c>
    </row>
    <row r="3155" spans="1:10" x14ac:dyDescent="0.35">
      <c r="A3155" t="s">
        <v>14</v>
      </c>
      <c r="B3155" t="s">
        <v>38</v>
      </c>
      <c r="C3155" s="77" t="s">
        <v>91</v>
      </c>
      <c r="D3155" t="s">
        <v>81</v>
      </c>
      <c r="E3155" s="77" t="s">
        <v>82</v>
      </c>
      <c r="F3155" s="77" t="s">
        <v>73</v>
      </c>
      <c r="G3155" s="77" t="s">
        <v>74</v>
      </c>
      <c r="H3155" s="77" t="s">
        <v>123</v>
      </c>
      <c r="I3155" s="77" t="s">
        <v>84</v>
      </c>
      <c r="J3155" s="76">
        <v>1.8068055269127655E-3</v>
      </c>
    </row>
    <row r="3156" spans="1:10" x14ac:dyDescent="0.35">
      <c r="A3156" t="s">
        <v>14</v>
      </c>
      <c r="B3156" t="s">
        <v>38</v>
      </c>
      <c r="C3156" s="77" t="s">
        <v>91</v>
      </c>
      <c r="D3156" t="s">
        <v>81</v>
      </c>
      <c r="E3156" s="77" t="s">
        <v>125</v>
      </c>
      <c r="F3156" s="77" t="s">
        <v>73</v>
      </c>
      <c r="G3156" s="77" t="s">
        <v>74</v>
      </c>
      <c r="H3156" s="77" t="s">
        <v>123</v>
      </c>
      <c r="I3156" s="77" t="s">
        <v>84</v>
      </c>
      <c r="J3156" s="76">
        <v>5.6492118062760293E-6</v>
      </c>
    </row>
    <row r="3157" spans="1:10" x14ac:dyDescent="0.35">
      <c r="A3157" t="s">
        <v>14</v>
      </c>
      <c r="B3157" t="s">
        <v>38</v>
      </c>
      <c r="C3157" s="77" t="s">
        <v>91</v>
      </c>
      <c r="D3157" t="s">
        <v>81</v>
      </c>
      <c r="E3157" s="77" t="s">
        <v>122</v>
      </c>
      <c r="F3157" s="77" t="s">
        <v>73</v>
      </c>
      <c r="G3157" s="77" t="s">
        <v>74</v>
      </c>
      <c r="H3157" s="77" t="s">
        <v>123</v>
      </c>
      <c r="I3157" s="77" t="s">
        <v>84</v>
      </c>
      <c r="J3157" s="76">
        <v>0</v>
      </c>
    </row>
    <row r="3158" spans="1:10" x14ac:dyDescent="0.35">
      <c r="A3158" t="s">
        <v>14</v>
      </c>
      <c r="B3158" t="s">
        <v>38</v>
      </c>
      <c r="C3158" s="77" t="s">
        <v>91</v>
      </c>
      <c r="D3158" t="s">
        <v>81</v>
      </c>
      <c r="E3158" s="77" t="s">
        <v>126</v>
      </c>
      <c r="F3158" s="77" t="s">
        <v>73</v>
      </c>
      <c r="G3158" s="77" t="s">
        <v>74</v>
      </c>
      <c r="H3158" s="77" t="s">
        <v>123</v>
      </c>
      <c r="I3158" s="77" t="s">
        <v>84</v>
      </c>
      <c r="J3158" s="76">
        <v>8.1093795177776388E-4</v>
      </c>
    </row>
    <row r="3159" spans="1:10" x14ac:dyDescent="0.35">
      <c r="A3159" t="s">
        <v>14</v>
      </c>
      <c r="B3159" t="s">
        <v>38</v>
      </c>
      <c r="C3159" s="77" t="s">
        <v>91</v>
      </c>
      <c r="D3159" t="s">
        <v>81</v>
      </c>
      <c r="E3159" s="77" t="s">
        <v>101</v>
      </c>
      <c r="F3159" s="77" t="s">
        <v>73</v>
      </c>
      <c r="G3159" s="77" t="s">
        <v>74</v>
      </c>
      <c r="H3159" s="77" t="s">
        <v>123</v>
      </c>
      <c r="I3159" s="77" t="s">
        <v>84</v>
      </c>
      <c r="J3159" s="76">
        <v>0</v>
      </c>
    </row>
    <row r="3160" spans="1:10" x14ac:dyDescent="0.35">
      <c r="A3160" t="s">
        <v>14</v>
      </c>
      <c r="B3160" t="s">
        <v>38</v>
      </c>
      <c r="C3160" s="77" t="s">
        <v>91</v>
      </c>
      <c r="D3160" t="s">
        <v>81</v>
      </c>
      <c r="E3160" s="77" t="s">
        <v>104</v>
      </c>
      <c r="F3160" s="77" t="s">
        <v>73</v>
      </c>
      <c r="G3160" s="77" t="s">
        <v>74</v>
      </c>
      <c r="H3160" s="77" t="s">
        <v>123</v>
      </c>
      <c r="I3160" s="77" t="s">
        <v>84</v>
      </c>
      <c r="J3160" s="76">
        <v>0</v>
      </c>
    </row>
    <row r="3161" spans="1:10" x14ac:dyDescent="0.35">
      <c r="A3161" t="s">
        <v>14</v>
      </c>
      <c r="B3161" t="s">
        <v>38</v>
      </c>
      <c r="C3161" s="77" t="s">
        <v>91</v>
      </c>
      <c r="D3161" t="s">
        <v>81</v>
      </c>
      <c r="E3161" s="77" t="s">
        <v>106</v>
      </c>
      <c r="F3161" s="77" t="s">
        <v>73</v>
      </c>
      <c r="G3161" s="77" t="s">
        <v>74</v>
      </c>
      <c r="H3161" s="77" t="s">
        <v>123</v>
      </c>
      <c r="I3161" s="77" t="s">
        <v>84</v>
      </c>
      <c r="J3161" s="76">
        <v>0</v>
      </c>
    </row>
    <row r="3162" spans="1:10" x14ac:dyDescent="0.35">
      <c r="A3162" t="s">
        <v>14</v>
      </c>
      <c r="B3162" t="s">
        <v>38</v>
      </c>
      <c r="C3162" s="77" t="s">
        <v>92</v>
      </c>
      <c r="D3162" t="s">
        <v>81</v>
      </c>
      <c r="E3162" s="77" t="s">
        <v>119</v>
      </c>
      <c r="F3162" s="77" t="s">
        <v>73</v>
      </c>
      <c r="G3162" s="77" t="s">
        <v>74</v>
      </c>
      <c r="H3162" s="77" t="s">
        <v>123</v>
      </c>
      <c r="I3162" s="77" t="s">
        <v>84</v>
      </c>
      <c r="J3162" s="76">
        <f>'SUT_EU27 total'!$L$90</f>
        <v>0.13886309499777949</v>
      </c>
    </row>
    <row r="3163" spans="1:10" x14ac:dyDescent="0.35">
      <c r="A3163" t="s">
        <v>14</v>
      </c>
      <c r="B3163" t="s">
        <v>38</v>
      </c>
      <c r="C3163" s="77" t="s">
        <v>92</v>
      </c>
      <c r="D3163" t="s">
        <v>81</v>
      </c>
      <c r="E3163" s="77" t="s">
        <v>124</v>
      </c>
      <c r="F3163" s="77" t="s">
        <v>73</v>
      </c>
      <c r="G3163" s="77" t="s">
        <v>74</v>
      </c>
      <c r="H3163" s="77" t="s">
        <v>123</v>
      </c>
      <c r="I3163" s="77" t="s">
        <v>84</v>
      </c>
      <c r="J3163" s="76" cm="1">
        <f t="array" ref="J3163:J3171">'SUT_EU27 total'!$L$94:$L$102</f>
        <v>9.2968907089085616E-5</v>
      </c>
    </row>
    <row r="3164" spans="1:10" x14ac:dyDescent="0.35">
      <c r="A3164" t="s">
        <v>14</v>
      </c>
      <c r="B3164" t="s">
        <v>38</v>
      </c>
      <c r="C3164" s="77" t="s">
        <v>92</v>
      </c>
      <c r="D3164" t="s">
        <v>81</v>
      </c>
      <c r="E3164" s="77" t="s">
        <v>117</v>
      </c>
      <c r="F3164" s="77" t="s">
        <v>73</v>
      </c>
      <c r="G3164" s="77" t="s">
        <v>74</v>
      </c>
      <c r="H3164" s="77" t="s">
        <v>123</v>
      </c>
      <c r="I3164" s="77" t="s">
        <v>84</v>
      </c>
      <c r="J3164" s="76">
        <v>0</v>
      </c>
    </row>
    <row r="3165" spans="1:10" x14ac:dyDescent="0.35">
      <c r="A3165" t="s">
        <v>14</v>
      </c>
      <c r="B3165" t="s">
        <v>38</v>
      </c>
      <c r="C3165" s="77" t="s">
        <v>92</v>
      </c>
      <c r="D3165" t="s">
        <v>81</v>
      </c>
      <c r="E3165" s="77" t="s">
        <v>82</v>
      </c>
      <c r="F3165" s="77" t="s">
        <v>73</v>
      </c>
      <c r="G3165" s="77" t="s">
        <v>74</v>
      </c>
      <c r="H3165" s="77" t="s">
        <v>123</v>
      </c>
      <c r="I3165" s="77" t="s">
        <v>84</v>
      </c>
      <c r="J3165" s="76">
        <v>1.1251392039595793E-3</v>
      </c>
    </row>
    <row r="3166" spans="1:10" x14ac:dyDescent="0.35">
      <c r="A3166" t="s">
        <v>14</v>
      </c>
      <c r="B3166" t="s">
        <v>38</v>
      </c>
      <c r="C3166" s="77" t="s">
        <v>92</v>
      </c>
      <c r="D3166" t="s">
        <v>81</v>
      </c>
      <c r="E3166" s="77" t="s">
        <v>125</v>
      </c>
      <c r="F3166" s="77" t="s">
        <v>73</v>
      </c>
      <c r="G3166" s="77" t="s">
        <v>74</v>
      </c>
      <c r="H3166" s="77" t="s">
        <v>123</v>
      </c>
      <c r="I3166" s="77" t="s">
        <v>84</v>
      </c>
      <c r="J3166" s="76">
        <v>5.0048817841215026E-7</v>
      </c>
    </row>
    <row r="3167" spans="1:10" x14ac:dyDescent="0.35">
      <c r="A3167" t="s">
        <v>14</v>
      </c>
      <c r="B3167" t="s">
        <v>38</v>
      </c>
      <c r="C3167" s="77" t="s">
        <v>92</v>
      </c>
      <c r="D3167" t="s">
        <v>81</v>
      </c>
      <c r="E3167" s="77" t="s">
        <v>122</v>
      </c>
      <c r="F3167" s="77" t="s">
        <v>73</v>
      </c>
      <c r="G3167" s="77" t="s">
        <v>74</v>
      </c>
      <c r="H3167" s="77" t="s">
        <v>123</v>
      </c>
      <c r="I3167" s="77" t="s">
        <v>84</v>
      </c>
      <c r="J3167" s="76">
        <v>0</v>
      </c>
    </row>
    <row r="3168" spans="1:10" x14ac:dyDescent="0.35">
      <c r="A3168" t="s">
        <v>14</v>
      </c>
      <c r="B3168" t="s">
        <v>38</v>
      </c>
      <c r="C3168" s="77" t="s">
        <v>92</v>
      </c>
      <c r="D3168" t="s">
        <v>81</v>
      </c>
      <c r="E3168" s="77" t="s">
        <v>126</v>
      </c>
      <c r="F3168" s="77" t="s">
        <v>73</v>
      </c>
      <c r="G3168" s="77" t="s">
        <v>74</v>
      </c>
      <c r="H3168" s="77" t="s">
        <v>123</v>
      </c>
      <c r="I3168" s="77" t="s">
        <v>84</v>
      </c>
      <c r="J3168" s="76">
        <v>0</v>
      </c>
    </row>
    <row r="3169" spans="1:10" x14ac:dyDescent="0.35">
      <c r="A3169" t="s">
        <v>14</v>
      </c>
      <c r="B3169" t="s">
        <v>38</v>
      </c>
      <c r="C3169" s="77" t="s">
        <v>92</v>
      </c>
      <c r="D3169" t="s">
        <v>81</v>
      </c>
      <c r="E3169" s="77" t="s">
        <v>101</v>
      </c>
      <c r="F3169" s="77" t="s">
        <v>73</v>
      </c>
      <c r="G3169" s="77" t="s">
        <v>74</v>
      </c>
      <c r="H3169" s="77" t="s">
        <v>123</v>
      </c>
      <c r="I3169" s="77" t="s">
        <v>84</v>
      </c>
      <c r="J3169" s="76">
        <v>0</v>
      </c>
    </row>
    <row r="3170" spans="1:10" x14ac:dyDescent="0.35">
      <c r="A3170" t="s">
        <v>14</v>
      </c>
      <c r="B3170" t="s">
        <v>38</v>
      </c>
      <c r="C3170" s="77" t="s">
        <v>92</v>
      </c>
      <c r="D3170" t="s">
        <v>81</v>
      </c>
      <c r="E3170" s="77" t="s">
        <v>104</v>
      </c>
      <c r="F3170" s="77" t="s">
        <v>73</v>
      </c>
      <c r="G3170" s="77" t="s">
        <v>74</v>
      </c>
      <c r="H3170" s="77" t="s">
        <v>123</v>
      </c>
      <c r="I3170" s="77" t="s">
        <v>84</v>
      </c>
      <c r="J3170" s="76">
        <v>0</v>
      </c>
    </row>
    <row r="3171" spans="1:10" x14ac:dyDescent="0.35">
      <c r="A3171" t="s">
        <v>14</v>
      </c>
      <c r="B3171" t="s">
        <v>38</v>
      </c>
      <c r="C3171" s="77" t="s">
        <v>92</v>
      </c>
      <c r="D3171" t="s">
        <v>81</v>
      </c>
      <c r="E3171" s="77" t="s">
        <v>106</v>
      </c>
      <c r="F3171" s="77" t="s">
        <v>73</v>
      </c>
      <c r="G3171" s="77" t="s">
        <v>74</v>
      </c>
      <c r="H3171" s="77" t="s">
        <v>123</v>
      </c>
      <c r="I3171" s="77" t="s">
        <v>84</v>
      </c>
      <c r="J3171" s="76">
        <v>0</v>
      </c>
    </row>
    <row r="3172" spans="1:10" x14ac:dyDescent="0.35">
      <c r="A3172" t="s">
        <v>14</v>
      </c>
      <c r="B3172" t="s">
        <v>38</v>
      </c>
      <c r="C3172" s="77" t="s">
        <v>93</v>
      </c>
      <c r="D3172" t="s">
        <v>81</v>
      </c>
      <c r="E3172" s="77" t="s">
        <v>119</v>
      </c>
      <c r="F3172" s="77" t="s">
        <v>73</v>
      </c>
      <c r="G3172" s="77" t="s">
        <v>74</v>
      </c>
      <c r="H3172" s="77" t="s">
        <v>123</v>
      </c>
      <c r="I3172" s="77" t="s">
        <v>84</v>
      </c>
      <c r="J3172" s="76">
        <f>'SUT_EU27 total'!$L$107</f>
        <v>1.0000807460939076</v>
      </c>
    </row>
    <row r="3173" spans="1:10" x14ac:dyDescent="0.35">
      <c r="A3173" t="s">
        <v>14</v>
      </c>
      <c r="B3173" t="s">
        <v>38</v>
      </c>
      <c r="C3173" s="77" t="s">
        <v>93</v>
      </c>
      <c r="D3173" t="s">
        <v>81</v>
      </c>
      <c r="E3173" s="77" t="s">
        <v>124</v>
      </c>
      <c r="F3173" s="77" t="s">
        <v>73</v>
      </c>
      <c r="G3173" s="77" t="s">
        <v>74</v>
      </c>
      <c r="H3173" s="77" t="s">
        <v>123</v>
      </c>
      <c r="I3173" s="77" t="s">
        <v>84</v>
      </c>
      <c r="J3173" s="76" cm="1">
        <f t="array" ref="J3173:J3181">'SUT_EU27 total'!$L$111:$L$119</f>
        <v>3.7052409430862396E-4</v>
      </c>
    </row>
    <row r="3174" spans="1:10" x14ac:dyDescent="0.35">
      <c r="A3174" t="s">
        <v>14</v>
      </c>
      <c r="B3174" t="s">
        <v>38</v>
      </c>
      <c r="C3174" s="77" t="s">
        <v>93</v>
      </c>
      <c r="D3174" t="s">
        <v>81</v>
      </c>
      <c r="E3174" s="77" t="s">
        <v>117</v>
      </c>
      <c r="F3174" s="77" t="s">
        <v>73</v>
      </c>
      <c r="G3174" s="77" t="s">
        <v>74</v>
      </c>
      <c r="H3174" s="77" t="s">
        <v>123</v>
      </c>
      <c r="I3174" s="77" t="s">
        <v>84</v>
      </c>
      <c r="J3174" s="76">
        <v>5.8414042458127093E-3</v>
      </c>
    </row>
    <row r="3175" spans="1:10" x14ac:dyDescent="0.35">
      <c r="A3175" t="s">
        <v>14</v>
      </c>
      <c r="B3175" t="s">
        <v>38</v>
      </c>
      <c r="C3175" s="77" t="s">
        <v>93</v>
      </c>
      <c r="D3175" t="s">
        <v>81</v>
      </c>
      <c r="E3175" s="77" t="s">
        <v>82</v>
      </c>
      <c r="F3175" s="77" t="s">
        <v>73</v>
      </c>
      <c r="G3175" s="77" t="s">
        <v>74</v>
      </c>
      <c r="H3175" s="77" t="s">
        <v>123</v>
      </c>
      <c r="I3175" s="77" t="s">
        <v>84</v>
      </c>
      <c r="J3175" s="76">
        <v>5.0319447308723453E-3</v>
      </c>
    </row>
    <row r="3176" spans="1:10" x14ac:dyDescent="0.35">
      <c r="A3176" t="s">
        <v>14</v>
      </c>
      <c r="B3176" t="s">
        <v>38</v>
      </c>
      <c r="C3176" s="77" t="s">
        <v>93</v>
      </c>
      <c r="D3176" t="s">
        <v>81</v>
      </c>
      <c r="E3176" s="77" t="s">
        <v>125</v>
      </c>
      <c r="F3176" s="77" t="s">
        <v>73</v>
      </c>
      <c r="G3176" s="77" t="s">
        <v>74</v>
      </c>
      <c r="H3176" s="77" t="s">
        <v>123</v>
      </c>
      <c r="I3176" s="77" t="s">
        <v>84</v>
      </c>
      <c r="J3176" s="76">
        <v>4.336096678710085E-4</v>
      </c>
    </row>
    <row r="3177" spans="1:10" x14ac:dyDescent="0.35">
      <c r="A3177" t="s">
        <v>14</v>
      </c>
      <c r="B3177" t="s">
        <v>38</v>
      </c>
      <c r="C3177" s="77" t="s">
        <v>93</v>
      </c>
      <c r="D3177" t="s">
        <v>81</v>
      </c>
      <c r="E3177" s="77" t="s">
        <v>122</v>
      </c>
      <c r="F3177" s="77" t="s">
        <v>73</v>
      </c>
      <c r="G3177" s="77" t="s">
        <v>74</v>
      </c>
      <c r="H3177" s="77" t="s">
        <v>123</v>
      </c>
      <c r="I3177" s="77" t="s">
        <v>84</v>
      </c>
      <c r="J3177" s="76">
        <v>2.7129607609988112E-3</v>
      </c>
    </row>
    <row r="3178" spans="1:10" x14ac:dyDescent="0.35">
      <c r="A3178" t="s">
        <v>14</v>
      </c>
      <c r="B3178" t="s">
        <v>38</v>
      </c>
      <c r="C3178" s="77" t="s">
        <v>93</v>
      </c>
      <c r="D3178" t="s">
        <v>81</v>
      </c>
      <c r="E3178" s="77" t="s">
        <v>126</v>
      </c>
      <c r="F3178" s="77" t="s">
        <v>73</v>
      </c>
      <c r="G3178" s="77" t="s">
        <v>74</v>
      </c>
      <c r="H3178" s="77" t="s">
        <v>123</v>
      </c>
      <c r="I3178" s="77" t="s">
        <v>84</v>
      </c>
      <c r="J3178" s="76">
        <v>4.3855511603587784E-2</v>
      </c>
    </row>
    <row r="3179" spans="1:10" x14ac:dyDescent="0.35">
      <c r="A3179" t="s">
        <v>14</v>
      </c>
      <c r="B3179" t="s">
        <v>38</v>
      </c>
      <c r="C3179" s="77" t="s">
        <v>93</v>
      </c>
      <c r="D3179" t="s">
        <v>81</v>
      </c>
      <c r="E3179" s="77" t="s">
        <v>101</v>
      </c>
      <c r="F3179" s="77" t="s">
        <v>73</v>
      </c>
      <c r="G3179" s="77" t="s">
        <v>74</v>
      </c>
      <c r="H3179" s="77" t="s">
        <v>123</v>
      </c>
      <c r="I3179" s="77" t="s">
        <v>84</v>
      </c>
      <c r="J3179" s="76">
        <v>0</v>
      </c>
    </row>
    <row r="3180" spans="1:10" x14ac:dyDescent="0.35">
      <c r="A3180" t="s">
        <v>14</v>
      </c>
      <c r="B3180" t="s">
        <v>38</v>
      </c>
      <c r="C3180" s="77" t="s">
        <v>93</v>
      </c>
      <c r="D3180" t="s">
        <v>81</v>
      </c>
      <c r="E3180" s="77" t="s">
        <v>104</v>
      </c>
      <c r="F3180" s="77" t="s">
        <v>73</v>
      </c>
      <c r="G3180" s="77" t="s">
        <v>74</v>
      </c>
      <c r="H3180" s="77" t="s">
        <v>123</v>
      </c>
      <c r="I3180" s="77" t="s">
        <v>84</v>
      </c>
      <c r="J3180" s="76">
        <v>0</v>
      </c>
    </row>
    <row r="3181" spans="1:10" x14ac:dyDescent="0.35">
      <c r="A3181" t="s">
        <v>14</v>
      </c>
      <c r="B3181" t="s">
        <v>38</v>
      </c>
      <c r="C3181" s="77" t="s">
        <v>93</v>
      </c>
      <c r="D3181" t="s">
        <v>81</v>
      </c>
      <c r="E3181" s="77" t="s">
        <v>106</v>
      </c>
      <c r="F3181" s="77" t="s">
        <v>73</v>
      </c>
      <c r="G3181" s="77" t="s">
        <v>74</v>
      </c>
      <c r="H3181" s="77" t="s">
        <v>123</v>
      </c>
      <c r="I3181" s="77" t="s">
        <v>84</v>
      </c>
      <c r="J3181" s="76">
        <v>0</v>
      </c>
    </row>
    <row r="3182" spans="1:10" x14ac:dyDescent="0.35">
      <c r="A3182" t="s">
        <v>14</v>
      </c>
      <c r="B3182" t="s">
        <v>38</v>
      </c>
      <c r="C3182" s="77" t="s">
        <v>73</v>
      </c>
      <c r="D3182" t="s">
        <v>81</v>
      </c>
      <c r="E3182" s="77" t="s">
        <v>119</v>
      </c>
      <c r="F3182" s="77" t="s">
        <v>73</v>
      </c>
      <c r="G3182" s="77" t="s">
        <v>74</v>
      </c>
      <c r="H3182" s="77" t="s">
        <v>127</v>
      </c>
      <c r="I3182" s="77" t="s">
        <v>84</v>
      </c>
      <c r="J3182" s="76">
        <f>'SUT_EU27 total'!$M$22</f>
        <v>1.9500181678711294E-2</v>
      </c>
    </row>
    <row r="3183" spans="1:10" x14ac:dyDescent="0.35">
      <c r="A3183" t="s">
        <v>14</v>
      </c>
      <c r="B3183" t="s">
        <v>38</v>
      </c>
      <c r="C3183" s="77" t="s">
        <v>73</v>
      </c>
      <c r="D3183" t="s">
        <v>81</v>
      </c>
      <c r="E3183" s="77" t="s">
        <v>124</v>
      </c>
      <c r="F3183" s="77" t="s">
        <v>73</v>
      </c>
      <c r="G3183" s="77" t="s">
        <v>74</v>
      </c>
      <c r="H3183" s="77" t="s">
        <v>127</v>
      </c>
      <c r="I3183" s="77" t="s">
        <v>84</v>
      </c>
      <c r="J3183" s="76" cm="1">
        <f t="array" ref="J3183:J3191">'SUT_EU27 total'!$M$26:$M$34</f>
        <v>1.9404661061278542E-3</v>
      </c>
    </row>
    <row r="3184" spans="1:10" x14ac:dyDescent="0.35">
      <c r="A3184" t="s">
        <v>14</v>
      </c>
      <c r="B3184" t="s">
        <v>38</v>
      </c>
      <c r="C3184" s="77" t="s">
        <v>73</v>
      </c>
      <c r="D3184" t="s">
        <v>81</v>
      </c>
      <c r="E3184" s="77" t="s">
        <v>117</v>
      </c>
      <c r="F3184" s="77" t="s">
        <v>73</v>
      </c>
      <c r="G3184" s="77" t="s">
        <v>74</v>
      </c>
      <c r="H3184" s="77" t="s">
        <v>127</v>
      </c>
      <c r="I3184" s="77" t="s">
        <v>84</v>
      </c>
      <c r="J3184" s="76">
        <v>5.8423628191201782E-3</v>
      </c>
    </row>
    <row r="3185" spans="1:10" x14ac:dyDescent="0.35">
      <c r="A3185" t="s">
        <v>14</v>
      </c>
      <c r="B3185" t="s">
        <v>38</v>
      </c>
      <c r="C3185" s="77" t="s">
        <v>73</v>
      </c>
      <c r="D3185" t="s">
        <v>81</v>
      </c>
      <c r="E3185" s="77" t="s">
        <v>82</v>
      </c>
      <c r="F3185" s="77" t="s">
        <v>73</v>
      </c>
      <c r="G3185" s="77" t="s">
        <v>74</v>
      </c>
      <c r="H3185" s="77" t="s">
        <v>127</v>
      </c>
      <c r="I3185" s="77" t="s">
        <v>84</v>
      </c>
      <c r="J3185" s="76">
        <v>4.8981233243967828E-4</v>
      </c>
    </row>
    <row r="3186" spans="1:10" x14ac:dyDescent="0.35">
      <c r="A3186" t="s">
        <v>14</v>
      </c>
      <c r="B3186" t="s">
        <v>38</v>
      </c>
      <c r="C3186" s="77" t="s">
        <v>73</v>
      </c>
      <c r="D3186" t="s">
        <v>81</v>
      </c>
      <c r="E3186" s="77" t="s">
        <v>125</v>
      </c>
      <c r="F3186" s="77" t="s">
        <v>73</v>
      </c>
      <c r="G3186" s="77" t="s">
        <v>74</v>
      </c>
      <c r="H3186" s="77" t="s">
        <v>127</v>
      </c>
      <c r="I3186" s="77" t="s">
        <v>84</v>
      </c>
      <c r="J3186" s="76">
        <v>2.4658201215687387E-3</v>
      </c>
    </row>
    <row r="3187" spans="1:10" x14ac:dyDescent="0.35">
      <c r="A3187" t="s">
        <v>14</v>
      </c>
      <c r="B3187" t="s">
        <v>38</v>
      </c>
      <c r="C3187" s="77" t="s">
        <v>73</v>
      </c>
      <c r="D3187" t="s">
        <v>81</v>
      </c>
      <c r="E3187" s="77" t="s">
        <v>122</v>
      </c>
      <c r="F3187" s="77" t="s">
        <v>73</v>
      </c>
      <c r="G3187" s="77" t="s">
        <v>74</v>
      </c>
      <c r="H3187" s="77" t="s">
        <v>127</v>
      </c>
      <c r="I3187" s="77" t="s">
        <v>84</v>
      </c>
      <c r="J3187" s="76">
        <v>4.922711058263972E-4</v>
      </c>
    </row>
    <row r="3188" spans="1:10" x14ac:dyDescent="0.35">
      <c r="A3188" t="s">
        <v>14</v>
      </c>
      <c r="B3188" t="s">
        <v>38</v>
      </c>
      <c r="C3188" s="77" t="s">
        <v>73</v>
      </c>
      <c r="D3188" t="s">
        <v>81</v>
      </c>
      <c r="E3188" s="77" t="s">
        <v>126</v>
      </c>
      <c r="F3188" s="77" t="s">
        <v>73</v>
      </c>
      <c r="G3188" s="77" t="s">
        <v>74</v>
      </c>
      <c r="H3188" s="77" t="s">
        <v>127</v>
      </c>
      <c r="I3188" s="77" t="s">
        <v>84</v>
      </c>
      <c r="J3188" s="76">
        <v>0</v>
      </c>
    </row>
    <row r="3189" spans="1:10" x14ac:dyDescent="0.35">
      <c r="A3189" t="s">
        <v>14</v>
      </c>
      <c r="B3189" t="s">
        <v>38</v>
      </c>
      <c r="C3189" s="77" t="s">
        <v>73</v>
      </c>
      <c r="D3189" t="s">
        <v>81</v>
      </c>
      <c r="E3189" s="77" t="s">
        <v>101</v>
      </c>
      <c r="F3189" s="77" t="s">
        <v>73</v>
      </c>
      <c r="G3189" s="77" t="s">
        <v>74</v>
      </c>
      <c r="H3189" s="77" t="s">
        <v>127</v>
      </c>
      <c r="I3189" s="77" t="s">
        <v>84</v>
      </c>
      <c r="J3189" s="76">
        <v>3.6586167200000007E-4</v>
      </c>
    </row>
    <row r="3190" spans="1:10" x14ac:dyDescent="0.35">
      <c r="A3190" t="s">
        <v>14</v>
      </c>
      <c r="B3190" t="s">
        <v>38</v>
      </c>
      <c r="C3190" s="77" t="s">
        <v>73</v>
      </c>
      <c r="D3190" t="s">
        <v>81</v>
      </c>
      <c r="E3190" s="77" t="s">
        <v>104</v>
      </c>
      <c r="F3190" s="77" t="s">
        <v>73</v>
      </c>
      <c r="G3190" s="77" t="s">
        <v>74</v>
      </c>
      <c r="H3190" s="77" t="s">
        <v>127</v>
      </c>
      <c r="I3190" s="77" t="s">
        <v>84</v>
      </c>
      <c r="J3190" s="76">
        <v>6.9272632800000005E-4</v>
      </c>
    </row>
    <row r="3191" spans="1:10" x14ac:dyDescent="0.35">
      <c r="A3191" t="s">
        <v>14</v>
      </c>
      <c r="B3191" t="s">
        <v>38</v>
      </c>
      <c r="C3191" s="77" t="s">
        <v>73</v>
      </c>
      <c r="D3191" t="s">
        <v>81</v>
      </c>
      <c r="E3191" s="77" t="s">
        <v>106</v>
      </c>
      <c r="F3191" s="77" t="s">
        <v>73</v>
      </c>
      <c r="G3191" s="77" t="s">
        <v>74</v>
      </c>
      <c r="H3191" s="77" t="s">
        <v>127</v>
      </c>
      <c r="I3191" s="77" t="s">
        <v>84</v>
      </c>
      <c r="J3191" s="76">
        <v>2.3562119999999999E-3</v>
      </c>
    </row>
    <row r="3192" spans="1:10" x14ac:dyDescent="0.35">
      <c r="A3192" t="s">
        <v>14</v>
      </c>
      <c r="B3192" t="s">
        <v>38</v>
      </c>
      <c r="C3192" s="77" t="s">
        <v>88</v>
      </c>
      <c r="D3192" t="s">
        <v>81</v>
      </c>
      <c r="E3192" s="77" t="s">
        <v>119</v>
      </c>
      <c r="F3192" s="77" t="s">
        <v>73</v>
      </c>
      <c r="G3192" s="77" t="s">
        <v>74</v>
      </c>
      <c r="H3192" s="77" t="s">
        <v>127</v>
      </c>
      <c r="I3192" s="77" t="s">
        <v>84</v>
      </c>
      <c r="J3192" s="76">
        <f>'SUT_EU27 total'!$M$39</f>
        <v>0.16108845734587587</v>
      </c>
    </row>
    <row r="3193" spans="1:10" x14ac:dyDescent="0.35">
      <c r="A3193" t="s">
        <v>14</v>
      </c>
      <c r="B3193" t="s">
        <v>38</v>
      </c>
      <c r="C3193" s="77" t="s">
        <v>88</v>
      </c>
      <c r="D3193" t="s">
        <v>81</v>
      </c>
      <c r="E3193" s="77" t="s">
        <v>124</v>
      </c>
      <c r="F3193" s="77" t="s">
        <v>73</v>
      </c>
      <c r="G3193" s="77" t="s">
        <v>74</v>
      </c>
      <c r="H3193" s="77" t="s">
        <v>127</v>
      </c>
      <c r="I3193" s="77" t="s">
        <v>84</v>
      </c>
      <c r="J3193" s="76" cm="1">
        <f t="array" ref="J3193:J3201">'SUT_EU27 total'!$L$43:$L$51</f>
        <v>5.0558836222750793E-4</v>
      </c>
    </row>
    <row r="3194" spans="1:10" x14ac:dyDescent="0.35">
      <c r="A3194" t="s">
        <v>14</v>
      </c>
      <c r="B3194" t="s">
        <v>38</v>
      </c>
      <c r="C3194" s="77" t="s">
        <v>88</v>
      </c>
      <c r="D3194" t="s">
        <v>81</v>
      </c>
      <c r="E3194" s="77" t="s">
        <v>117</v>
      </c>
      <c r="F3194" s="77" t="s">
        <v>73</v>
      </c>
      <c r="G3194" s="77" t="s">
        <v>74</v>
      </c>
      <c r="H3194" s="77" t="s">
        <v>127</v>
      </c>
      <c r="I3194" s="77" t="s">
        <v>84</v>
      </c>
      <c r="J3194" s="76">
        <v>4.8514464106651379E-3</v>
      </c>
    </row>
    <row r="3195" spans="1:10" x14ac:dyDescent="0.35">
      <c r="A3195" t="s">
        <v>14</v>
      </c>
      <c r="B3195" t="s">
        <v>38</v>
      </c>
      <c r="C3195" s="77" t="s">
        <v>88</v>
      </c>
      <c r="D3195" t="s">
        <v>81</v>
      </c>
      <c r="E3195" s="77" t="s">
        <v>82</v>
      </c>
      <c r="F3195" s="77" t="s">
        <v>73</v>
      </c>
      <c r="G3195" s="77" t="s">
        <v>74</v>
      </c>
      <c r="H3195" s="77" t="s">
        <v>127</v>
      </c>
      <c r="I3195" s="77" t="s">
        <v>84</v>
      </c>
      <c r="J3195" s="76">
        <v>1.109418436791091E-2</v>
      </c>
    </row>
    <row r="3196" spans="1:10" x14ac:dyDescent="0.35">
      <c r="A3196" t="s">
        <v>14</v>
      </c>
      <c r="B3196" t="s">
        <v>38</v>
      </c>
      <c r="C3196" s="77" t="s">
        <v>88</v>
      </c>
      <c r="D3196" t="s">
        <v>81</v>
      </c>
      <c r="E3196" s="77" t="s">
        <v>125</v>
      </c>
      <c r="F3196" s="77" t="s">
        <v>73</v>
      </c>
      <c r="G3196" s="77" t="s">
        <v>74</v>
      </c>
      <c r="H3196" s="77" t="s">
        <v>127</v>
      </c>
      <c r="I3196" s="77" t="s">
        <v>84</v>
      </c>
      <c r="J3196" s="76">
        <v>2.890870278990243E-5</v>
      </c>
    </row>
    <row r="3197" spans="1:10" x14ac:dyDescent="0.35">
      <c r="A3197" t="s">
        <v>14</v>
      </c>
      <c r="B3197" t="s">
        <v>38</v>
      </c>
      <c r="C3197" s="77" t="s">
        <v>88</v>
      </c>
      <c r="D3197" t="s">
        <v>81</v>
      </c>
      <c r="E3197" s="77" t="s">
        <v>122</v>
      </c>
      <c r="F3197" s="77" t="s">
        <v>73</v>
      </c>
      <c r="G3197" s="77" t="s">
        <v>74</v>
      </c>
      <c r="H3197" s="77" t="s">
        <v>127</v>
      </c>
      <c r="I3197" s="77" t="s">
        <v>84</v>
      </c>
      <c r="J3197" s="76">
        <v>0</v>
      </c>
    </row>
    <row r="3198" spans="1:10" x14ac:dyDescent="0.35">
      <c r="A3198" t="s">
        <v>14</v>
      </c>
      <c r="B3198" t="s">
        <v>38</v>
      </c>
      <c r="C3198" s="77" t="s">
        <v>88</v>
      </c>
      <c r="D3198" t="s">
        <v>81</v>
      </c>
      <c r="E3198" s="77" t="s">
        <v>126</v>
      </c>
      <c r="F3198" s="77" t="s">
        <v>73</v>
      </c>
      <c r="G3198" s="77" t="s">
        <v>74</v>
      </c>
      <c r="H3198" s="77" t="s">
        <v>127</v>
      </c>
      <c r="I3198" s="77" t="s">
        <v>84</v>
      </c>
      <c r="J3198" s="76">
        <v>2.8514320987501449E-3</v>
      </c>
    </row>
    <row r="3199" spans="1:10" x14ac:dyDescent="0.35">
      <c r="A3199" t="s">
        <v>14</v>
      </c>
      <c r="B3199" t="s">
        <v>38</v>
      </c>
      <c r="C3199" s="77" t="s">
        <v>88</v>
      </c>
      <c r="D3199" t="s">
        <v>81</v>
      </c>
      <c r="E3199" s="77" t="s">
        <v>101</v>
      </c>
      <c r="F3199" s="77" t="s">
        <v>73</v>
      </c>
      <c r="G3199" s="77" t="s">
        <v>74</v>
      </c>
      <c r="H3199" s="77" t="s">
        <v>127</v>
      </c>
      <c r="I3199" s="77" t="s">
        <v>84</v>
      </c>
      <c r="J3199" s="76">
        <v>0</v>
      </c>
    </row>
    <row r="3200" spans="1:10" x14ac:dyDescent="0.35">
      <c r="A3200" t="s">
        <v>14</v>
      </c>
      <c r="B3200" t="s">
        <v>38</v>
      </c>
      <c r="C3200" s="77" t="s">
        <v>88</v>
      </c>
      <c r="D3200" t="s">
        <v>81</v>
      </c>
      <c r="E3200" s="77" t="s">
        <v>104</v>
      </c>
      <c r="F3200" s="77" t="s">
        <v>73</v>
      </c>
      <c r="G3200" s="77" t="s">
        <v>74</v>
      </c>
      <c r="H3200" s="77" t="s">
        <v>127</v>
      </c>
      <c r="I3200" s="77" t="s">
        <v>84</v>
      </c>
      <c r="J3200" s="76">
        <v>0</v>
      </c>
    </row>
    <row r="3201" spans="1:10" x14ac:dyDescent="0.35">
      <c r="A3201" t="s">
        <v>14</v>
      </c>
      <c r="B3201" t="s">
        <v>38</v>
      </c>
      <c r="C3201" s="77" t="s">
        <v>88</v>
      </c>
      <c r="D3201" t="s">
        <v>81</v>
      </c>
      <c r="E3201" s="77" t="s">
        <v>106</v>
      </c>
      <c r="F3201" s="77" t="s">
        <v>73</v>
      </c>
      <c r="G3201" s="77" t="s">
        <v>74</v>
      </c>
      <c r="H3201" s="77" t="s">
        <v>127</v>
      </c>
      <c r="I3201" s="77" t="s">
        <v>84</v>
      </c>
      <c r="J3201" s="76">
        <v>0</v>
      </c>
    </row>
    <row r="3202" spans="1:10" x14ac:dyDescent="0.35">
      <c r="A3202" t="s">
        <v>14</v>
      </c>
      <c r="B3202" t="s">
        <v>38</v>
      </c>
      <c r="C3202" s="77" t="s">
        <v>90</v>
      </c>
      <c r="D3202" t="s">
        <v>81</v>
      </c>
      <c r="E3202" s="77" t="s">
        <v>119</v>
      </c>
      <c r="F3202" s="77" t="s">
        <v>73</v>
      </c>
      <c r="G3202" s="77" t="s">
        <v>74</v>
      </c>
      <c r="H3202" s="77" t="s">
        <v>127</v>
      </c>
      <c r="I3202" s="77" t="s">
        <v>84</v>
      </c>
      <c r="J3202" s="76">
        <f>'SUT_EU27 total'!$M$56</f>
        <v>2.949251079979006E-2</v>
      </c>
    </row>
    <row r="3203" spans="1:10" x14ac:dyDescent="0.35">
      <c r="A3203" t="s">
        <v>14</v>
      </c>
      <c r="B3203" t="s">
        <v>38</v>
      </c>
      <c r="C3203" s="77" t="s">
        <v>90</v>
      </c>
      <c r="D3203" t="s">
        <v>81</v>
      </c>
      <c r="E3203" s="77" t="s">
        <v>124</v>
      </c>
      <c r="F3203" s="77" t="s">
        <v>73</v>
      </c>
      <c r="G3203" s="77" t="s">
        <v>74</v>
      </c>
      <c r="H3203" s="77" t="s">
        <v>127</v>
      </c>
      <c r="I3203" s="77" t="s">
        <v>84</v>
      </c>
      <c r="J3203" s="76" cm="1">
        <f t="array" ref="J3203:J3211">'SUT_EU27 total'!$M$60:$M$68</f>
        <v>2.1047443073980527E-5</v>
      </c>
    </row>
    <row r="3204" spans="1:10" x14ac:dyDescent="0.35">
      <c r="A3204" t="s">
        <v>14</v>
      </c>
      <c r="B3204" t="s">
        <v>38</v>
      </c>
      <c r="C3204" s="77" t="s">
        <v>90</v>
      </c>
      <c r="D3204" t="s">
        <v>81</v>
      </c>
      <c r="E3204" s="77" t="s">
        <v>117</v>
      </c>
      <c r="F3204" s="77" t="s">
        <v>73</v>
      </c>
      <c r="G3204" s="77" t="s">
        <v>74</v>
      </c>
      <c r="H3204" s="77" t="s">
        <v>127</v>
      </c>
      <c r="I3204" s="77" t="s">
        <v>84</v>
      </c>
      <c r="J3204" s="76">
        <v>5.8414015621608938E-3</v>
      </c>
    </row>
    <row r="3205" spans="1:10" x14ac:dyDescent="0.35">
      <c r="A3205" t="s">
        <v>14</v>
      </c>
      <c r="B3205" t="s">
        <v>38</v>
      </c>
      <c r="C3205" s="77" t="s">
        <v>90</v>
      </c>
      <c r="D3205" t="s">
        <v>81</v>
      </c>
      <c r="E3205" s="77" t="s">
        <v>82</v>
      </c>
      <c r="F3205" s="77" t="s">
        <v>73</v>
      </c>
      <c r="G3205" s="77" t="s">
        <v>74</v>
      </c>
      <c r="H3205" s="77" t="s">
        <v>127</v>
      </c>
      <c r="I3205" s="77" t="s">
        <v>84</v>
      </c>
      <c r="J3205" s="76">
        <v>1.4521138379047227E-3</v>
      </c>
    </row>
    <row r="3206" spans="1:10" x14ac:dyDescent="0.35">
      <c r="A3206" t="s">
        <v>14</v>
      </c>
      <c r="B3206" t="s">
        <v>38</v>
      </c>
      <c r="C3206" s="77" t="s">
        <v>90</v>
      </c>
      <c r="D3206" t="s">
        <v>81</v>
      </c>
      <c r="E3206" s="77" t="s">
        <v>125</v>
      </c>
      <c r="F3206" s="77" t="s">
        <v>73</v>
      </c>
      <c r="G3206" s="77" t="s">
        <v>74</v>
      </c>
      <c r="H3206" s="77" t="s">
        <v>127</v>
      </c>
      <c r="I3206" s="77" t="s">
        <v>84</v>
      </c>
      <c r="J3206" s="76">
        <v>6.5130870114372285E-5</v>
      </c>
    </row>
    <row r="3207" spans="1:10" x14ac:dyDescent="0.35">
      <c r="A3207" t="s">
        <v>14</v>
      </c>
      <c r="B3207" t="s">
        <v>38</v>
      </c>
      <c r="C3207" s="77" t="s">
        <v>90</v>
      </c>
      <c r="D3207" t="s">
        <v>81</v>
      </c>
      <c r="E3207" s="77" t="s">
        <v>122</v>
      </c>
      <c r="F3207" s="77" t="s">
        <v>73</v>
      </c>
      <c r="G3207" s="77" t="s">
        <v>74</v>
      </c>
      <c r="H3207" s="77" t="s">
        <v>127</v>
      </c>
      <c r="I3207" s="77" t="s">
        <v>84</v>
      </c>
      <c r="J3207" s="76">
        <v>7.9476813317479189E-4</v>
      </c>
    </row>
    <row r="3208" spans="1:10" x14ac:dyDescent="0.35">
      <c r="A3208" t="s">
        <v>14</v>
      </c>
      <c r="B3208" t="s">
        <v>38</v>
      </c>
      <c r="C3208" s="77" t="s">
        <v>90</v>
      </c>
      <c r="D3208" t="s">
        <v>81</v>
      </c>
      <c r="E3208" s="77" t="s">
        <v>126</v>
      </c>
      <c r="F3208" s="77" t="s">
        <v>73</v>
      </c>
      <c r="G3208" s="77" t="s">
        <v>74</v>
      </c>
      <c r="H3208" s="77" t="s">
        <v>127</v>
      </c>
      <c r="I3208" s="77" t="s">
        <v>84</v>
      </c>
      <c r="J3208" s="76">
        <v>8.4821183458843076E-3</v>
      </c>
    </row>
    <row r="3209" spans="1:10" x14ac:dyDescent="0.35">
      <c r="A3209" t="s">
        <v>14</v>
      </c>
      <c r="B3209" t="s">
        <v>38</v>
      </c>
      <c r="C3209" s="77" t="s">
        <v>90</v>
      </c>
      <c r="D3209" t="s">
        <v>81</v>
      </c>
      <c r="E3209" s="77" t="s">
        <v>101</v>
      </c>
      <c r="F3209" s="77" t="s">
        <v>73</v>
      </c>
      <c r="G3209" s="77" t="s">
        <v>74</v>
      </c>
      <c r="H3209" s="77" t="s">
        <v>127</v>
      </c>
      <c r="I3209" s="77" t="s">
        <v>84</v>
      </c>
      <c r="J3209" s="76">
        <v>0</v>
      </c>
    </row>
    <row r="3210" spans="1:10" x14ac:dyDescent="0.35">
      <c r="A3210" t="s">
        <v>14</v>
      </c>
      <c r="B3210" t="s">
        <v>38</v>
      </c>
      <c r="C3210" s="77" t="s">
        <v>90</v>
      </c>
      <c r="D3210" t="s">
        <v>81</v>
      </c>
      <c r="E3210" s="77" t="s">
        <v>104</v>
      </c>
      <c r="F3210" s="77" t="s">
        <v>73</v>
      </c>
      <c r="G3210" s="77" t="s">
        <v>74</v>
      </c>
      <c r="H3210" s="77" t="s">
        <v>127</v>
      </c>
      <c r="I3210" s="77" t="s">
        <v>84</v>
      </c>
      <c r="J3210" s="76">
        <v>0</v>
      </c>
    </row>
    <row r="3211" spans="1:10" x14ac:dyDescent="0.35">
      <c r="A3211" t="s">
        <v>14</v>
      </c>
      <c r="B3211" t="s">
        <v>38</v>
      </c>
      <c r="C3211" s="77" t="s">
        <v>90</v>
      </c>
      <c r="D3211" t="s">
        <v>81</v>
      </c>
      <c r="E3211" s="77" t="s">
        <v>106</v>
      </c>
      <c r="F3211" s="77" t="s">
        <v>73</v>
      </c>
      <c r="G3211" s="77" t="s">
        <v>74</v>
      </c>
      <c r="H3211" s="77" t="s">
        <v>127</v>
      </c>
      <c r="I3211" s="77" t="s">
        <v>84</v>
      </c>
      <c r="J3211" s="76">
        <v>0</v>
      </c>
    </row>
    <row r="3212" spans="1:10" x14ac:dyDescent="0.35">
      <c r="A3212" t="s">
        <v>14</v>
      </c>
      <c r="B3212" t="s">
        <v>38</v>
      </c>
      <c r="C3212" s="77" t="s">
        <v>91</v>
      </c>
      <c r="D3212" t="s">
        <v>81</v>
      </c>
      <c r="E3212" s="77" t="s">
        <v>119</v>
      </c>
      <c r="F3212" s="77" t="s">
        <v>73</v>
      </c>
      <c r="G3212" s="77" t="s">
        <v>74</v>
      </c>
      <c r="H3212" s="77" t="s">
        <v>127</v>
      </c>
      <c r="I3212" s="77" t="s">
        <v>84</v>
      </c>
      <c r="J3212" s="76">
        <f>'SUT_EU27 total'!$M$73</f>
        <v>0.15097500908393557</v>
      </c>
    </row>
    <row r="3213" spans="1:10" x14ac:dyDescent="0.35">
      <c r="A3213" t="s">
        <v>14</v>
      </c>
      <c r="B3213" t="s">
        <v>38</v>
      </c>
      <c r="C3213" s="77" t="s">
        <v>91</v>
      </c>
      <c r="D3213" t="s">
        <v>81</v>
      </c>
      <c r="E3213" s="77" t="s">
        <v>124</v>
      </c>
      <c r="F3213" s="77" t="s">
        <v>73</v>
      </c>
      <c r="G3213" s="77" t="s">
        <v>74</v>
      </c>
      <c r="H3213" s="77" t="s">
        <v>127</v>
      </c>
      <c r="I3213" s="77" t="s">
        <v>84</v>
      </c>
      <c r="J3213" s="76" cm="1">
        <f t="array" ref="J3213:J3221">'SUT_EU27 total'!$M$77:$M$85</f>
        <v>6.7728942399646885E-5</v>
      </c>
    </row>
    <row r="3214" spans="1:10" x14ac:dyDescent="0.35">
      <c r="A3214" t="s">
        <v>14</v>
      </c>
      <c r="B3214" t="s">
        <v>38</v>
      </c>
      <c r="C3214" s="77" t="s">
        <v>91</v>
      </c>
      <c r="D3214" t="s">
        <v>81</v>
      </c>
      <c r="E3214" s="77" t="s">
        <v>117</v>
      </c>
      <c r="F3214" s="77" t="s">
        <v>73</v>
      </c>
      <c r="G3214" s="77" t="s">
        <v>74</v>
      </c>
      <c r="H3214" s="77" t="s">
        <v>127</v>
      </c>
      <c r="I3214" s="77" t="s">
        <v>84</v>
      </c>
      <c r="J3214" s="76">
        <v>5.6233849622410815E-3</v>
      </c>
    </row>
    <row r="3215" spans="1:10" x14ac:dyDescent="0.35">
      <c r="A3215" t="s">
        <v>14</v>
      </c>
      <c r="B3215" t="s">
        <v>38</v>
      </c>
      <c r="C3215" s="77" t="s">
        <v>91</v>
      </c>
      <c r="D3215" t="s">
        <v>81</v>
      </c>
      <c r="E3215" s="77" t="s">
        <v>82</v>
      </c>
      <c r="F3215" s="77" t="s">
        <v>73</v>
      </c>
      <c r="G3215" s="77" t="s">
        <v>74</v>
      </c>
      <c r="H3215" s="77" t="s">
        <v>127</v>
      </c>
      <c r="I3215" s="77" t="s">
        <v>84</v>
      </c>
      <c r="J3215" s="76">
        <v>1.8068055269127655E-3</v>
      </c>
    </row>
    <row r="3216" spans="1:10" x14ac:dyDescent="0.35">
      <c r="A3216" t="s">
        <v>14</v>
      </c>
      <c r="B3216" t="s">
        <v>38</v>
      </c>
      <c r="C3216" s="77" t="s">
        <v>91</v>
      </c>
      <c r="D3216" t="s">
        <v>81</v>
      </c>
      <c r="E3216" s="77" t="s">
        <v>125</v>
      </c>
      <c r="F3216" s="77" t="s">
        <v>73</v>
      </c>
      <c r="G3216" s="77" t="s">
        <v>74</v>
      </c>
      <c r="H3216" s="77" t="s">
        <v>127</v>
      </c>
      <c r="I3216" s="77" t="s">
        <v>84</v>
      </c>
      <c r="J3216" s="76">
        <v>5.6492118062760293E-6</v>
      </c>
    </row>
    <row r="3217" spans="1:10" x14ac:dyDescent="0.35">
      <c r="A3217" t="s">
        <v>14</v>
      </c>
      <c r="B3217" t="s">
        <v>38</v>
      </c>
      <c r="C3217" s="77" t="s">
        <v>91</v>
      </c>
      <c r="D3217" t="s">
        <v>81</v>
      </c>
      <c r="E3217" s="77" t="s">
        <v>122</v>
      </c>
      <c r="F3217" s="77" t="s">
        <v>73</v>
      </c>
      <c r="G3217" s="77" t="s">
        <v>74</v>
      </c>
      <c r="H3217" s="77" t="s">
        <v>127</v>
      </c>
      <c r="I3217" s="77" t="s">
        <v>84</v>
      </c>
      <c r="J3217" s="76">
        <v>0</v>
      </c>
    </row>
    <row r="3218" spans="1:10" x14ac:dyDescent="0.35">
      <c r="A3218" t="s">
        <v>14</v>
      </c>
      <c r="B3218" t="s">
        <v>38</v>
      </c>
      <c r="C3218" s="77" t="s">
        <v>91</v>
      </c>
      <c r="D3218" t="s">
        <v>81</v>
      </c>
      <c r="E3218" s="77" t="s">
        <v>126</v>
      </c>
      <c r="F3218" s="77" t="s">
        <v>73</v>
      </c>
      <c r="G3218" s="77" t="s">
        <v>74</v>
      </c>
      <c r="H3218" s="77" t="s">
        <v>127</v>
      </c>
      <c r="I3218" s="77" t="s">
        <v>84</v>
      </c>
      <c r="J3218" s="76">
        <v>8.1093795177776388E-4</v>
      </c>
    </row>
    <row r="3219" spans="1:10" x14ac:dyDescent="0.35">
      <c r="A3219" t="s">
        <v>14</v>
      </c>
      <c r="B3219" t="s">
        <v>38</v>
      </c>
      <c r="C3219" s="77" t="s">
        <v>91</v>
      </c>
      <c r="D3219" t="s">
        <v>81</v>
      </c>
      <c r="E3219" s="77" t="s">
        <v>101</v>
      </c>
      <c r="F3219" s="77" t="s">
        <v>73</v>
      </c>
      <c r="G3219" s="77" t="s">
        <v>74</v>
      </c>
      <c r="H3219" s="77" t="s">
        <v>127</v>
      </c>
      <c r="I3219" s="77" t="s">
        <v>84</v>
      </c>
      <c r="J3219" s="76">
        <v>0</v>
      </c>
    </row>
    <row r="3220" spans="1:10" x14ac:dyDescent="0.35">
      <c r="A3220" t="s">
        <v>14</v>
      </c>
      <c r="B3220" t="s">
        <v>38</v>
      </c>
      <c r="C3220" s="77" t="s">
        <v>91</v>
      </c>
      <c r="D3220" t="s">
        <v>81</v>
      </c>
      <c r="E3220" s="77" t="s">
        <v>104</v>
      </c>
      <c r="F3220" s="77" t="s">
        <v>73</v>
      </c>
      <c r="G3220" s="77" t="s">
        <v>74</v>
      </c>
      <c r="H3220" s="77" t="s">
        <v>127</v>
      </c>
      <c r="I3220" s="77" t="s">
        <v>84</v>
      </c>
      <c r="J3220" s="76">
        <v>0</v>
      </c>
    </row>
    <row r="3221" spans="1:10" x14ac:dyDescent="0.35">
      <c r="A3221" t="s">
        <v>14</v>
      </c>
      <c r="B3221" t="s">
        <v>38</v>
      </c>
      <c r="C3221" s="77" t="s">
        <v>91</v>
      </c>
      <c r="D3221" t="s">
        <v>81</v>
      </c>
      <c r="E3221" s="77" t="s">
        <v>106</v>
      </c>
      <c r="F3221" s="77" t="s">
        <v>73</v>
      </c>
      <c r="G3221" s="77" t="s">
        <v>74</v>
      </c>
      <c r="H3221" s="77" t="s">
        <v>127</v>
      </c>
      <c r="I3221" s="77" t="s">
        <v>84</v>
      </c>
      <c r="J3221" s="76">
        <v>0</v>
      </c>
    </row>
    <row r="3222" spans="1:10" x14ac:dyDescent="0.35">
      <c r="A3222" t="s">
        <v>14</v>
      </c>
      <c r="B3222" t="s">
        <v>38</v>
      </c>
      <c r="C3222" s="77" t="s">
        <v>92</v>
      </c>
      <c r="D3222" t="s">
        <v>81</v>
      </c>
      <c r="E3222" s="77" t="s">
        <v>119</v>
      </c>
      <c r="F3222" s="77" t="s">
        <v>73</v>
      </c>
      <c r="G3222" s="77" t="s">
        <v>74</v>
      </c>
      <c r="H3222" s="77" t="s">
        <v>127</v>
      </c>
      <c r="I3222" s="77" t="s">
        <v>84</v>
      </c>
      <c r="J3222" s="76">
        <f>'SUT_EU27 total'!$M$90</f>
        <v>0.13886309499777949</v>
      </c>
    </row>
    <row r="3223" spans="1:10" x14ac:dyDescent="0.35">
      <c r="A3223" t="s">
        <v>14</v>
      </c>
      <c r="B3223" t="s">
        <v>38</v>
      </c>
      <c r="C3223" s="77" t="s">
        <v>92</v>
      </c>
      <c r="D3223" t="s">
        <v>81</v>
      </c>
      <c r="E3223" s="77" t="s">
        <v>124</v>
      </c>
      <c r="F3223" s="77" t="s">
        <v>73</v>
      </c>
      <c r="G3223" s="77" t="s">
        <v>74</v>
      </c>
      <c r="H3223" s="77" t="s">
        <v>127</v>
      </c>
      <c r="I3223" s="77" t="s">
        <v>84</v>
      </c>
      <c r="J3223" s="76" cm="1">
        <f t="array" ref="J3223:J3231">'SUT_EU27 total'!$M$94:$M$102</f>
        <v>9.2968907089085616E-5</v>
      </c>
    </row>
    <row r="3224" spans="1:10" x14ac:dyDescent="0.35">
      <c r="A3224" t="s">
        <v>14</v>
      </c>
      <c r="B3224" t="s">
        <v>38</v>
      </c>
      <c r="C3224" s="77" t="s">
        <v>92</v>
      </c>
      <c r="D3224" t="s">
        <v>81</v>
      </c>
      <c r="E3224" s="77" t="s">
        <v>117</v>
      </c>
      <c r="F3224" s="77" t="s">
        <v>73</v>
      </c>
      <c r="G3224" s="77" t="s">
        <v>74</v>
      </c>
      <c r="H3224" s="77" t="s">
        <v>127</v>
      </c>
      <c r="I3224" s="77" t="s">
        <v>84</v>
      </c>
      <c r="J3224" s="76">
        <v>0</v>
      </c>
    </row>
    <row r="3225" spans="1:10" x14ac:dyDescent="0.35">
      <c r="A3225" t="s">
        <v>14</v>
      </c>
      <c r="B3225" t="s">
        <v>38</v>
      </c>
      <c r="C3225" s="77" t="s">
        <v>92</v>
      </c>
      <c r="D3225" t="s">
        <v>81</v>
      </c>
      <c r="E3225" s="77" t="s">
        <v>82</v>
      </c>
      <c r="F3225" s="77" t="s">
        <v>73</v>
      </c>
      <c r="G3225" s="77" t="s">
        <v>74</v>
      </c>
      <c r="H3225" s="77" t="s">
        <v>127</v>
      </c>
      <c r="I3225" s="77" t="s">
        <v>84</v>
      </c>
      <c r="J3225" s="76">
        <v>1.1251392039595793E-3</v>
      </c>
    </row>
    <row r="3226" spans="1:10" x14ac:dyDescent="0.35">
      <c r="A3226" t="s">
        <v>14</v>
      </c>
      <c r="B3226" t="s">
        <v>38</v>
      </c>
      <c r="C3226" s="77" t="s">
        <v>92</v>
      </c>
      <c r="D3226" t="s">
        <v>81</v>
      </c>
      <c r="E3226" s="77" t="s">
        <v>125</v>
      </c>
      <c r="F3226" s="77" t="s">
        <v>73</v>
      </c>
      <c r="G3226" s="77" t="s">
        <v>74</v>
      </c>
      <c r="H3226" s="77" t="s">
        <v>127</v>
      </c>
      <c r="I3226" s="77" t="s">
        <v>84</v>
      </c>
      <c r="J3226" s="76">
        <v>5.0048817841215026E-7</v>
      </c>
    </row>
    <row r="3227" spans="1:10" x14ac:dyDescent="0.35">
      <c r="A3227" t="s">
        <v>14</v>
      </c>
      <c r="B3227" t="s">
        <v>38</v>
      </c>
      <c r="C3227" s="77" t="s">
        <v>92</v>
      </c>
      <c r="D3227" t="s">
        <v>81</v>
      </c>
      <c r="E3227" s="77" t="s">
        <v>122</v>
      </c>
      <c r="F3227" s="77" t="s">
        <v>73</v>
      </c>
      <c r="G3227" s="77" t="s">
        <v>74</v>
      </c>
      <c r="H3227" s="77" t="s">
        <v>127</v>
      </c>
      <c r="I3227" s="77" t="s">
        <v>84</v>
      </c>
      <c r="J3227" s="76">
        <v>0</v>
      </c>
    </row>
    <row r="3228" spans="1:10" x14ac:dyDescent="0.35">
      <c r="A3228" t="s">
        <v>14</v>
      </c>
      <c r="B3228" t="s">
        <v>38</v>
      </c>
      <c r="C3228" s="77" t="s">
        <v>92</v>
      </c>
      <c r="D3228" t="s">
        <v>81</v>
      </c>
      <c r="E3228" s="77" t="s">
        <v>126</v>
      </c>
      <c r="F3228" s="77" t="s">
        <v>73</v>
      </c>
      <c r="G3228" s="77" t="s">
        <v>74</v>
      </c>
      <c r="H3228" s="77" t="s">
        <v>127</v>
      </c>
      <c r="I3228" s="77" t="s">
        <v>84</v>
      </c>
      <c r="J3228" s="76">
        <v>0</v>
      </c>
    </row>
    <row r="3229" spans="1:10" x14ac:dyDescent="0.35">
      <c r="A3229" t="s">
        <v>14</v>
      </c>
      <c r="B3229" t="s">
        <v>38</v>
      </c>
      <c r="C3229" s="77" t="s">
        <v>92</v>
      </c>
      <c r="D3229" t="s">
        <v>81</v>
      </c>
      <c r="E3229" s="77" t="s">
        <v>101</v>
      </c>
      <c r="F3229" s="77" t="s">
        <v>73</v>
      </c>
      <c r="G3229" s="77" t="s">
        <v>74</v>
      </c>
      <c r="H3229" s="77" t="s">
        <v>127</v>
      </c>
      <c r="I3229" s="77" t="s">
        <v>84</v>
      </c>
      <c r="J3229" s="76">
        <v>0</v>
      </c>
    </row>
    <row r="3230" spans="1:10" x14ac:dyDescent="0.35">
      <c r="A3230" t="s">
        <v>14</v>
      </c>
      <c r="B3230" t="s">
        <v>38</v>
      </c>
      <c r="C3230" s="77" t="s">
        <v>92</v>
      </c>
      <c r="D3230" t="s">
        <v>81</v>
      </c>
      <c r="E3230" s="77" t="s">
        <v>104</v>
      </c>
      <c r="F3230" s="77" t="s">
        <v>73</v>
      </c>
      <c r="G3230" s="77" t="s">
        <v>74</v>
      </c>
      <c r="H3230" s="77" t="s">
        <v>127</v>
      </c>
      <c r="I3230" s="77" t="s">
        <v>84</v>
      </c>
      <c r="J3230" s="76">
        <v>0</v>
      </c>
    </row>
    <row r="3231" spans="1:10" x14ac:dyDescent="0.35">
      <c r="A3231" t="s">
        <v>14</v>
      </c>
      <c r="B3231" t="s">
        <v>38</v>
      </c>
      <c r="C3231" s="77" t="s">
        <v>92</v>
      </c>
      <c r="D3231" t="s">
        <v>81</v>
      </c>
      <c r="E3231" s="77" t="s">
        <v>106</v>
      </c>
      <c r="F3231" s="77" t="s">
        <v>73</v>
      </c>
      <c r="G3231" s="77" t="s">
        <v>74</v>
      </c>
      <c r="H3231" s="77" t="s">
        <v>127</v>
      </c>
      <c r="I3231" s="77" t="s">
        <v>84</v>
      </c>
      <c r="J3231" s="76">
        <v>0</v>
      </c>
    </row>
    <row r="3232" spans="1:10" x14ac:dyDescent="0.35">
      <c r="A3232" t="s">
        <v>14</v>
      </c>
      <c r="B3232" t="s">
        <v>38</v>
      </c>
      <c r="C3232" s="77" t="s">
        <v>93</v>
      </c>
      <c r="D3232" t="s">
        <v>81</v>
      </c>
      <c r="E3232" s="77" t="s">
        <v>119</v>
      </c>
      <c r="F3232" s="77" t="s">
        <v>73</v>
      </c>
      <c r="G3232" s="77" t="s">
        <v>74</v>
      </c>
      <c r="H3232" s="77" t="s">
        <v>127</v>
      </c>
      <c r="I3232" s="77" t="s">
        <v>84</v>
      </c>
      <c r="J3232" s="76">
        <f>'SUT_EU27 total'!$M$107</f>
        <v>1.0000807460939076</v>
      </c>
    </row>
    <row r="3233" spans="1:10" x14ac:dyDescent="0.35">
      <c r="A3233" t="s">
        <v>14</v>
      </c>
      <c r="B3233" t="s">
        <v>38</v>
      </c>
      <c r="C3233" s="77" t="s">
        <v>93</v>
      </c>
      <c r="D3233" t="s">
        <v>81</v>
      </c>
      <c r="E3233" s="77" t="s">
        <v>124</v>
      </c>
      <c r="F3233" s="77" t="s">
        <v>73</v>
      </c>
      <c r="G3233" s="77" t="s">
        <v>74</v>
      </c>
      <c r="H3233" s="77" t="s">
        <v>127</v>
      </c>
      <c r="I3233" s="77" t="s">
        <v>84</v>
      </c>
      <c r="J3233" s="76" cm="1">
        <f t="array" ref="J3233:J3241">'SUT_EU27 total'!$M$111:$M$119</f>
        <v>3.7052409430862396E-4</v>
      </c>
    </row>
    <row r="3234" spans="1:10" x14ac:dyDescent="0.35">
      <c r="A3234" t="s">
        <v>14</v>
      </c>
      <c r="B3234" t="s">
        <v>38</v>
      </c>
      <c r="C3234" s="77" t="s">
        <v>93</v>
      </c>
      <c r="D3234" t="s">
        <v>81</v>
      </c>
      <c r="E3234" s="77" t="s">
        <v>117</v>
      </c>
      <c r="F3234" s="77" t="s">
        <v>73</v>
      </c>
      <c r="G3234" s="77" t="s">
        <v>74</v>
      </c>
      <c r="H3234" s="77" t="s">
        <v>127</v>
      </c>
      <c r="I3234" s="77" t="s">
        <v>84</v>
      </c>
      <c r="J3234" s="76">
        <v>5.8414042458127093E-3</v>
      </c>
    </row>
    <row r="3235" spans="1:10" x14ac:dyDescent="0.35">
      <c r="A3235" t="s">
        <v>14</v>
      </c>
      <c r="B3235" t="s">
        <v>38</v>
      </c>
      <c r="C3235" s="77" t="s">
        <v>93</v>
      </c>
      <c r="D3235" t="s">
        <v>81</v>
      </c>
      <c r="E3235" s="77" t="s">
        <v>82</v>
      </c>
      <c r="F3235" s="77" t="s">
        <v>73</v>
      </c>
      <c r="G3235" s="77" t="s">
        <v>74</v>
      </c>
      <c r="H3235" s="77" t="s">
        <v>127</v>
      </c>
      <c r="I3235" s="77" t="s">
        <v>84</v>
      </c>
      <c r="J3235" s="76">
        <v>5.0319447308723453E-3</v>
      </c>
    </row>
    <row r="3236" spans="1:10" x14ac:dyDescent="0.35">
      <c r="A3236" t="s">
        <v>14</v>
      </c>
      <c r="B3236" t="s">
        <v>38</v>
      </c>
      <c r="C3236" s="77" t="s">
        <v>93</v>
      </c>
      <c r="D3236" t="s">
        <v>81</v>
      </c>
      <c r="E3236" s="77" t="s">
        <v>125</v>
      </c>
      <c r="F3236" s="77" t="s">
        <v>73</v>
      </c>
      <c r="G3236" s="77" t="s">
        <v>74</v>
      </c>
      <c r="H3236" s="77" t="s">
        <v>127</v>
      </c>
      <c r="I3236" s="77" t="s">
        <v>84</v>
      </c>
      <c r="J3236" s="76">
        <v>4.336096678710085E-4</v>
      </c>
    </row>
    <row r="3237" spans="1:10" x14ac:dyDescent="0.35">
      <c r="A3237" t="s">
        <v>14</v>
      </c>
      <c r="B3237" t="s">
        <v>38</v>
      </c>
      <c r="C3237" s="77" t="s">
        <v>93</v>
      </c>
      <c r="D3237" t="s">
        <v>81</v>
      </c>
      <c r="E3237" s="77" t="s">
        <v>122</v>
      </c>
      <c r="F3237" s="77" t="s">
        <v>73</v>
      </c>
      <c r="G3237" s="77" t="s">
        <v>74</v>
      </c>
      <c r="H3237" s="77" t="s">
        <v>127</v>
      </c>
      <c r="I3237" s="77" t="s">
        <v>84</v>
      </c>
      <c r="J3237" s="76">
        <v>2.7129607609988112E-3</v>
      </c>
    </row>
    <row r="3238" spans="1:10" x14ac:dyDescent="0.35">
      <c r="A3238" t="s">
        <v>14</v>
      </c>
      <c r="B3238" t="s">
        <v>38</v>
      </c>
      <c r="C3238" s="77" t="s">
        <v>93</v>
      </c>
      <c r="D3238" t="s">
        <v>81</v>
      </c>
      <c r="E3238" s="77" t="s">
        <v>126</v>
      </c>
      <c r="F3238" s="77" t="s">
        <v>73</v>
      </c>
      <c r="G3238" s="77" t="s">
        <v>74</v>
      </c>
      <c r="H3238" s="77" t="s">
        <v>127</v>
      </c>
      <c r="I3238" s="77" t="s">
        <v>84</v>
      </c>
      <c r="J3238" s="76">
        <v>4.3855511603587784E-2</v>
      </c>
    </row>
    <row r="3239" spans="1:10" x14ac:dyDescent="0.35">
      <c r="A3239" t="s">
        <v>14</v>
      </c>
      <c r="B3239" t="s">
        <v>38</v>
      </c>
      <c r="C3239" s="77" t="s">
        <v>93</v>
      </c>
      <c r="D3239" t="s">
        <v>81</v>
      </c>
      <c r="E3239" s="77" t="s">
        <v>101</v>
      </c>
      <c r="F3239" s="77" t="s">
        <v>73</v>
      </c>
      <c r="G3239" s="77" t="s">
        <v>74</v>
      </c>
      <c r="H3239" s="77" t="s">
        <v>127</v>
      </c>
      <c r="I3239" s="77" t="s">
        <v>84</v>
      </c>
      <c r="J3239" s="76">
        <v>0</v>
      </c>
    </row>
    <row r="3240" spans="1:10" x14ac:dyDescent="0.35">
      <c r="A3240" t="s">
        <v>14</v>
      </c>
      <c r="B3240" t="s">
        <v>38</v>
      </c>
      <c r="C3240" s="77" t="s">
        <v>93</v>
      </c>
      <c r="D3240" t="s">
        <v>81</v>
      </c>
      <c r="E3240" s="77" t="s">
        <v>104</v>
      </c>
      <c r="F3240" s="77" t="s">
        <v>73</v>
      </c>
      <c r="G3240" s="77" t="s">
        <v>74</v>
      </c>
      <c r="H3240" s="77" t="s">
        <v>127</v>
      </c>
      <c r="I3240" s="77" t="s">
        <v>84</v>
      </c>
      <c r="J3240" s="76">
        <v>0</v>
      </c>
    </row>
    <row r="3241" spans="1:10" x14ac:dyDescent="0.35">
      <c r="A3241" t="s">
        <v>14</v>
      </c>
      <c r="B3241" t="s">
        <v>38</v>
      </c>
      <c r="C3241" s="77" t="s">
        <v>93</v>
      </c>
      <c r="D3241" t="s">
        <v>81</v>
      </c>
      <c r="E3241" s="77" t="s">
        <v>106</v>
      </c>
      <c r="F3241" s="77" t="s">
        <v>73</v>
      </c>
      <c r="G3241" s="77" t="s">
        <v>74</v>
      </c>
      <c r="H3241" s="77" t="s">
        <v>127</v>
      </c>
      <c r="I3241" s="77" t="s">
        <v>84</v>
      </c>
      <c r="J3241" s="76">
        <v>0</v>
      </c>
    </row>
    <row r="3242" spans="1:10" x14ac:dyDescent="0.35">
      <c r="A3242" t="s">
        <v>14</v>
      </c>
      <c r="B3242" t="s">
        <v>38</v>
      </c>
      <c r="C3242" s="77" t="s">
        <v>73</v>
      </c>
      <c r="D3242" t="s">
        <v>81</v>
      </c>
      <c r="E3242" s="77" t="s">
        <v>82</v>
      </c>
      <c r="F3242" s="77" t="s">
        <v>73</v>
      </c>
      <c r="G3242" s="77" t="s">
        <v>74</v>
      </c>
      <c r="H3242" s="77" t="s">
        <v>128</v>
      </c>
      <c r="I3242" s="77" t="s">
        <v>84</v>
      </c>
      <c r="J3242" s="76" cm="1">
        <f t="array" ref="J3242:J3265">z_2030_GS!$I$514:$I$537</f>
        <v>1.4658301341380521E-2</v>
      </c>
    </row>
    <row r="3243" spans="1:10" x14ac:dyDescent="0.35">
      <c r="A3243" t="s">
        <v>14</v>
      </c>
      <c r="B3243" t="s">
        <v>38</v>
      </c>
      <c r="C3243" s="77" t="s">
        <v>73</v>
      </c>
      <c r="D3243" t="s">
        <v>81</v>
      </c>
      <c r="E3243" s="77" t="s">
        <v>86</v>
      </c>
      <c r="F3243" s="77" t="s">
        <v>73</v>
      </c>
      <c r="G3243" s="77" t="s">
        <v>74</v>
      </c>
      <c r="H3243" s="77" t="s">
        <v>128</v>
      </c>
      <c r="I3243" s="77" t="s">
        <v>84</v>
      </c>
      <c r="J3243" s="76">
        <v>3.0740776778828832E-3</v>
      </c>
    </row>
    <row r="3244" spans="1:10" x14ac:dyDescent="0.35">
      <c r="A3244" t="s">
        <v>14</v>
      </c>
      <c r="B3244" t="s">
        <v>38</v>
      </c>
      <c r="C3244" s="77" t="s">
        <v>88</v>
      </c>
      <c r="D3244" t="s">
        <v>81</v>
      </c>
      <c r="E3244" s="77" t="s">
        <v>82</v>
      </c>
      <c r="F3244" s="77" t="s">
        <v>73</v>
      </c>
      <c r="G3244" s="77" t="s">
        <v>74</v>
      </c>
      <c r="H3244" s="77" t="s">
        <v>128</v>
      </c>
      <c r="I3244" s="77" t="s">
        <v>84</v>
      </c>
      <c r="J3244" s="76">
        <v>9.2276548594747033E-3</v>
      </c>
    </row>
    <row r="3245" spans="1:10" x14ac:dyDescent="0.35">
      <c r="A3245" t="s">
        <v>14</v>
      </c>
      <c r="B3245" t="s">
        <v>38</v>
      </c>
      <c r="C3245" s="77" t="s">
        <v>88</v>
      </c>
      <c r="D3245" t="s">
        <v>81</v>
      </c>
      <c r="E3245" s="77" t="s">
        <v>86</v>
      </c>
      <c r="F3245" s="77" t="s">
        <v>73</v>
      </c>
      <c r="G3245" s="77" t="s">
        <v>74</v>
      </c>
      <c r="H3245" s="77" t="s">
        <v>128</v>
      </c>
      <c r="I3245" s="77" t="s">
        <v>84</v>
      </c>
      <c r="J3245" s="76">
        <v>6.9627451701437512E-2</v>
      </c>
    </row>
    <row r="3246" spans="1:10" x14ac:dyDescent="0.35">
      <c r="A3246" t="s">
        <v>14</v>
      </c>
      <c r="B3246" t="s">
        <v>38</v>
      </c>
      <c r="C3246" s="77" t="s">
        <v>90</v>
      </c>
      <c r="D3246" t="s">
        <v>81</v>
      </c>
      <c r="E3246" s="77" t="s">
        <v>82</v>
      </c>
      <c r="F3246" s="77" t="s">
        <v>73</v>
      </c>
      <c r="G3246" s="77" t="s">
        <v>74</v>
      </c>
      <c r="H3246" s="77" t="s">
        <v>128</v>
      </c>
      <c r="I3246" s="77" t="s">
        <v>84</v>
      </c>
      <c r="J3246" s="76">
        <v>2.2200107734217647E-6</v>
      </c>
    </row>
    <row r="3247" spans="1:10" x14ac:dyDescent="0.35">
      <c r="A3247" t="s">
        <v>14</v>
      </c>
      <c r="B3247" t="s">
        <v>38</v>
      </c>
      <c r="C3247" s="77" t="s">
        <v>90</v>
      </c>
      <c r="D3247" t="s">
        <v>81</v>
      </c>
      <c r="E3247" s="77" t="s">
        <v>86</v>
      </c>
      <c r="F3247" s="77" t="s">
        <v>73</v>
      </c>
      <c r="G3247" s="77" t="s">
        <v>74</v>
      </c>
      <c r="H3247" s="77" t="s">
        <v>128</v>
      </c>
      <c r="I3247" s="77" t="s">
        <v>84</v>
      </c>
      <c r="J3247" s="76">
        <v>9.1135123377023061E-3</v>
      </c>
    </row>
    <row r="3248" spans="1:10" x14ac:dyDescent="0.35">
      <c r="A3248" t="s">
        <v>14</v>
      </c>
      <c r="B3248" t="s">
        <v>38</v>
      </c>
      <c r="C3248" s="77" t="s">
        <v>91</v>
      </c>
      <c r="D3248" t="s">
        <v>81</v>
      </c>
      <c r="E3248" s="77" t="s">
        <v>82</v>
      </c>
      <c r="F3248" s="77" t="s">
        <v>73</v>
      </c>
      <c r="G3248" s="77" t="s">
        <v>74</v>
      </c>
      <c r="H3248" s="77" t="s">
        <v>128</v>
      </c>
      <c r="I3248" s="77" t="s">
        <v>84</v>
      </c>
      <c r="J3248" s="76">
        <v>4.3195382907628159E-4</v>
      </c>
    </row>
    <row r="3249" spans="1:10" x14ac:dyDescent="0.35">
      <c r="A3249" t="s">
        <v>14</v>
      </c>
      <c r="B3249" t="s">
        <v>38</v>
      </c>
      <c r="C3249" s="77" t="s">
        <v>91</v>
      </c>
      <c r="D3249" t="s">
        <v>81</v>
      </c>
      <c r="E3249" s="77" t="s">
        <v>86</v>
      </c>
      <c r="F3249" s="77" t="s">
        <v>73</v>
      </c>
      <c r="G3249" s="77" t="s">
        <v>74</v>
      </c>
      <c r="H3249" s="77" t="s">
        <v>128</v>
      </c>
      <c r="I3249" s="77" t="s">
        <v>84</v>
      </c>
      <c r="J3249" s="76">
        <v>1.1339568587203704E-2</v>
      </c>
    </row>
    <row r="3250" spans="1:10" x14ac:dyDescent="0.35">
      <c r="A3250" t="s">
        <v>14</v>
      </c>
      <c r="B3250" t="s">
        <v>38</v>
      </c>
      <c r="C3250" s="77" t="s">
        <v>92</v>
      </c>
      <c r="D3250" t="s">
        <v>81</v>
      </c>
      <c r="E3250" s="77" t="s">
        <v>82</v>
      </c>
      <c r="F3250" s="77" t="s">
        <v>73</v>
      </c>
      <c r="G3250" s="77" t="s">
        <v>74</v>
      </c>
      <c r="H3250" s="77" t="s">
        <v>128</v>
      </c>
      <c r="I3250" s="77" t="s">
        <v>84</v>
      </c>
      <c r="J3250" s="76">
        <v>5.9963902402539811E-4</v>
      </c>
    </row>
    <row r="3251" spans="1:10" x14ac:dyDescent="0.35">
      <c r="A3251" t="s">
        <v>14</v>
      </c>
      <c r="B3251" t="s">
        <v>38</v>
      </c>
      <c r="C3251" s="77" t="s">
        <v>92</v>
      </c>
      <c r="D3251" t="s">
        <v>81</v>
      </c>
      <c r="E3251" s="77" t="s">
        <v>86</v>
      </c>
      <c r="F3251" s="77" t="s">
        <v>73</v>
      </c>
      <c r="G3251" s="77" t="s">
        <v>74</v>
      </c>
      <c r="H3251" s="77" t="s">
        <v>128</v>
      </c>
      <c r="I3251" s="77" t="s">
        <v>84</v>
      </c>
      <c r="J3251" s="76">
        <v>7.0614092017150581E-3</v>
      </c>
    </row>
    <row r="3252" spans="1:10" x14ac:dyDescent="0.35">
      <c r="A3252" t="s">
        <v>14</v>
      </c>
      <c r="B3252" t="s">
        <v>38</v>
      </c>
      <c r="C3252" s="77" t="s">
        <v>93</v>
      </c>
      <c r="D3252" t="s">
        <v>81</v>
      </c>
      <c r="E3252" s="77" t="s">
        <v>82</v>
      </c>
      <c r="F3252" s="77" t="s">
        <v>73</v>
      </c>
      <c r="G3252" s="77" t="s">
        <v>74</v>
      </c>
      <c r="H3252" s="77" t="s">
        <v>128</v>
      </c>
      <c r="I3252" s="77" t="s">
        <v>84</v>
      </c>
      <c r="J3252" s="76">
        <v>2.4854239602480213E-3</v>
      </c>
    </row>
    <row r="3253" spans="1:10" x14ac:dyDescent="0.35">
      <c r="A3253" t="s">
        <v>14</v>
      </c>
      <c r="B3253" t="s">
        <v>38</v>
      </c>
      <c r="C3253" s="77" t="s">
        <v>93</v>
      </c>
      <c r="D3253" t="s">
        <v>81</v>
      </c>
      <c r="E3253" s="77" t="s">
        <v>86</v>
      </c>
      <c r="F3253" s="77" t="s">
        <v>73</v>
      </c>
      <c r="G3253" s="77" t="s">
        <v>74</v>
      </c>
      <c r="H3253" s="77" t="s">
        <v>128</v>
      </c>
      <c r="I3253" s="77" t="s">
        <v>84</v>
      </c>
      <c r="J3253" s="76">
        <v>3.1580644155014347E-2</v>
      </c>
    </row>
    <row r="3254" spans="1:10" x14ac:dyDescent="0.35">
      <c r="A3254" t="s">
        <v>14</v>
      </c>
      <c r="B3254" t="s">
        <v>38</v>
      </c>
      <c r="C3254" s="77" t="s">
        <v>73</v>
      </c>
      <c r="D3254" t="s">
        <v>81</v>
      </c>
      <c r="E3254" s="77" t="s">
        <v>82</v>
      </c>
      <c r="F3254" s="77" t="s">
        <v>73</v>
      </c>
      <c r="G3254" s="77" t="s">
        <v>74</v>
      </c>
      <c r="H3254" s="77" t="s">
        <v>129</v>
      </c>
      <c r="I3254" s="77" t="s">
        <v>84</v>
      </c>
      <c r="J3254" s="76">
        <v>1.4658301341380521E-2</v>
      </c>
    </row>
    <row r="3255" spans="1:10" x14ac:dyDescent="0.35">
      <c r="A3255" t="s">
        <v>14</v>
      </c>
      <c r="B3255" t="s">
        <v>38</v>
      </c>
      <c r="C3255" s="77" t="s">
        <v>73</v>
      </c>
      <c r="D3255" t="s">
        <v>81</v>
      </c>
      <c r="E3255" s="77" t="s">
        <v>86</v>
      </c>
      <c r="F3255" s="77" t="s">
        <v>73</v>
      </c>
      <c r="G3255" s="77" t="s">
        <v>74</v>
      </c>
      <c r="H3255" s="77" t="s">
        <v>129</v>
      </c>
      <c r="I3255" s="77" t="s">
        <v>84</v>
      </c>
      <c r="J3255" s="76">
        <v>3.0740776778828832E-3</v>
      </c>
    </row>
    <row r="3256" spans="1:10" x14ac:dyDescent="0.35">
      <c r="A3256" t="s">
        <v>14</v>
      </c>
      <c r="B3256" t="s">
        <v>38</v>
      </c>
      <c r="C3256" s="77" t="s">
        <v>88</v>
      </c>
      <c r="D3256" t="s">
        <v>81</v>
      </c>
      <c r="E3256" s="77" t="s">
        <v>82</v>
      </c>
      <c r="F3256" s="77" t="s">
        <v>73</v>
      </c>
      <c r="G3256" s="77" t="s">
        <v>74</v>
      </c>
      <c r="H3256" s="77" t="s">
        <v>129</v>
      </c>
      <c r="I3256" s="77" t="s">
        <v>84</v>
      </c>
      <c r="J3256" s="76">
        <v>9.2276548594747033E-3</v>
      </c>
    </row>
    <row r="3257" spans="1:10" x14ac:dyDescent="0.35">
      <c r="A3257" t="s">
        <v>14</v>
      </c>
      <c r="B3257" t="s">
        <v>38</v>
      </c>
      <c r="C3257" s="77" t="s">
        <v>88</v>
      </c>
      <c r="D3257" t="s">
        <v>81</v>
      </c>
      <c r="E3257" s="77" t="s">
        <v>86</v>
      </c>
      <c r="F3257" s="77" t="s">
        <v>73</v>
      </c>
      <c r="G3257" s="77" t="s">
        <v>74</v>
      </c>
      <c r="H3257" s="77" t="s">
        <v>129</v>
      </c>
      <c r="I3257" s="77" t="s">
        <v>84</v>
      </c>
      <c r="J3257" s="76">
        <v>6.9627451701437512E-2</v>
      </c>
    </row>
    <row r="3258" spans="1:10" x14ac:dyDescent="0.35">
      <c r="A3258" t="s">
        <v>14</v>
      </c>
      <c r="B3258" t="s">
        <v>38</v>
      </c>
      <c r="C3258" s="77" t="s">
        <v>90</v>
      </c>
      <c r="D3258" t="s">
        <v>81</v>
      </c>
      <c r="E3258" s="77" t="s">
        <v>82</v>
      </c>
      <c r="F3258" s="77" t="s">
        <v>73</v>
      </c>
      <c r="G3258" s="77" t="s">
        <v>74</v>
      </c>
      <c r="H3258" s="77" t="s">
        <v>129</v>
      </c>
      <c r="I3258" s="77" t="s">
        <v>84</v>
      </c>
      <c r="J3258" s="76">
        <v>2.2200107734217647E-6</v>
      </c>
    </row>
    <row r="3259" spans="1:10" x14ac:dyDescent="0.35">
      <c r="A3259" t="s">
        <v>14</v>
      </c>
      <c r="B3259" t="s">
        <v>38</v>
      </c>
      <c r="C3259" s="77" t="s">
        <v>90</v>
      </c>
      <c r="D3259" t="s">
        <v>81</v>
      </c>
      <c r="E3259" s="77" t="s">
        <v>86</v>
      </c>
      <c r="F3259" s="77" t="s">
        <v>73</v>
      </c>
      <c r="G3259" s="77" t="s">
        <v>74</v>
      </c>
      <c r="H3259" s="77" t="s">
        <v>129</v>
      </c>
      <c r="I3259" s="77" t="s">
        <v>84</v>
      </c>
      <c r="J3259" s="76">
        <v>9.1135123377023061E-3</v>
      </c>
    </row>
    <row r="3260" spans="1:10" x14ac:dyDescent="0.35">
      <c r="A3260" t="s">
        <v>14</v>
      </c>
      <c r="B3260" t="s">
        <v>38</v>
      </c>
      <c r="C3260" s="77" t="s">
        <v>91</v>
      </c>
      <c r="D3260" t="s">
        <v>81</v>
      </c>
      <c r="E3260" s="77" t="s">
        <v>82</v>
      </c>
      <c r="F3260" s="77" t="s">
        <v>73</v>
      </c>
      <c r="G3260" s="77" t="s">
        <v>74</v>
      </c>
      <c r="H3260" s="77" t="s">
        <v>129</v>
      </c>
      <c r="I3260" s="77" t="s">
        <v>84</v>
      </c>
      <c r="J3260" s="76">
        <v>4.3195382907628159E-4</v>
      </c>
    </row>
    <row r="3261" spans="1:10" x14ac:dyDescent="0.35">
      <c r="A3261" t="s">
        <v>14</v>
      </c>
      <c r="B3261" t="s">
        <v>38</v>
      </c>
      <c r="C3261" s="77" t="s">
        <v>91</v>
      </c>
      <c r="D3261" t="s">
        <v>81</v>
      </c>
      <c r="E3261" s="77" t="s">
        <v>86</v>
      </c>
      <c r="F3261" s="77" t="s">
        <v>73</v>
      </c>
      <c r="G3261" s="77" t="s">
        <v>74</v>
      </c>
      <c r="H3261" s="77" t="s">
        <v>129</v>
      </c>
      <c r="I3261" s="77" t="s">
        <v>84</v>
      </c>
      <c r="J3261" s="76">
        <v>1.1339568587203704E-2</v>
      </c>
    </row>
    <row r="3262" spans="1:10" x14ac:dyDescent="0.35">
      <c r="A3262" t="s">
        <v>14</v>
      </c>
      <c r="B3262" t="s">
        <v>38</v>
      </c>
      <c r="C3262" s="77" t="s">
        <v>92</v>
      </c>
      <c r="D3262" t="s">
        <v>81</v>
      </c>
      <c r="E3262" s="77" t="s">
        <v>82</v>
      </c>
      <c r="F3262" s="77" t="s">
        <v>73</v>
      </c>
      <c r="G3262" s="77" t="s">
        <v>74</v>
      </c>
      <c r="H3262" s="77" t="s">
        <v>129</v>
      </c>
      <c r="I3262" s="77" t="s">
        <v>84</v>
      </c>
      <c r="J3262" s="76">
        <v>5.9963902402539811E-4</v>
      </c>
    </row>
    <row r="3263" spans="1:10" x14ac:dyDescent="0.35">
      <c r="A3263" t="s">
        <v>14</v>
      </c>
      <c r="B3263" t="s">
        <v>38</v>
      </c>
      <c r="C3263" s="77" t="s">
        <v>92</v>
      </c>
      <c r="D3263" t="s">
        <v>81</v>
      </c>
      <c r="E3263" s="77" t="s">
        <v>86</v>
      </c>
      <c r="F3263" s="77" t="s">
        <v>73</v>
      </c>
      <c r="G3263" s="77" t="s">
        <v>74</v>
      </c>
      <c r="H3263" s="77" t="s">
        <v>129</v>
      </c>
      <c r="I3263" s="77" t="s">
        <v>84</v>
      </c>
      <c r="J3263" s="76">
        <v>7.0614092017150581E-3</v>
      </c>
    </row>
    <row r="3264" spans="1:10" x14ac:dyDescent="0.35">
      <c r="A3264" t="s">
        <v>14</v>
      </c>
      <c r="B3264" t="s">
        <v>38</v>
      </c>
      <c r="C3264" s="77" t="s">
        <v>93</v>
      </c>
      <c r="D3264" t="s">
        <v>81</v>
      </c>
      <c r="E3264" s="77" t="s">
        <v>82</v>
      </c>
      <c r="F3264" s="77" t="s">
        <v>73</v>
      </c>
      <c r="G3264" s="77" t="s">
        <v>74</v>
      </c>
      <c r="H3264" s="77" t="s">
        <v>129</v>
      </c>
      <c r="I3264" s="77" t="s">
        <v>84</v>
      </c>
      <c r="J3264" s="76">
        <v>2.4854239602480213E-3</v>
      </c>
    </row>
    <row r="3265" spans="1:10" x14ac:dyDescent="0.35">
      <c r="A3265" t="s">
        <v>14</v>
      </c>
      <c r="B3265" t="s">
        <v>38</v>
      </c>
      <c r="C3265" s="77" t="s">
        <v>93</v>
      </c>
      <c r="D3265" t="s">
        <v>81</v>
      </c>
      <c r="E3265" s="77" t="s">
        <v>86</v>
      </c>
      <c r="F3265" s="77" t="s">
        <v>73</v>
      </c>
      <c r="G3265" s="77" t="s">
        <v>74</v>
      </c>
      <c r="H3265" s="77" t="s">
        <v>129</v>
      </c>
      <c r="I3265" s="77" t="s">
        <v>84</v>
      </c>
      <c r="J3265" s="76">
        <v>3.1580644155014347E-2</v>
      </c>
    </row>
    <row r="3266" spans="1:10" x14ac:dyDescent="0.35">
      <c r="A3266" t="s">
        <v>14</v>
      </c>
      <c r="B3266" t="s">
        <v>38</v>
      </c>
      <c r="C3266" s="77" t="s">
        <v>73</v>
      </c>
      <c r="D3266" t="s">
        <v>81</v>
      </c>
      <c r="E3266" s="77" t="s">
        <v>82</v>
      </c>
      <c r="F3266" s="77" t="s">
        <v>73</v>
      </c>
      <c r="G3266" s="77" t="s">
        <v>74</v>
      </c>
      <c r="H3266" s="77" t="s">
        <v>130</v>
      </c>
      <c r="I3266" s="77" t="s">
        <v>84</v>
      </c>
      <c r="J3266" s="76">
        <f>'SUT_EU27 total'!$Q$28</f>
        <v>7.0611384178638645E-2</v>
      </c>
    </row>
    <row r="3267" spans="1:10" x14ac:dyDescent="0.35">
      <c r="A3267" t="s">
        <v>14</v>
      </c>
      <c r="B3267" t="s">
        <v>38</v>
      </c>
      <c r="C3267" s="77" t="s">
        <v>88</v>
      </c>
      <c r="D3267" t="s">
        <v>81</v>
      </c>
      <c r="E3267" s="77" t="s">
        <v>82</v>
      </c>
      <c r="F3267" s="77" t="s">
        <v>73</v>
      </c>
      <c r="G3267" s="77" t="s">
        <v>74</v>
      </c>
      <c r="H3267" s="77" t="s">
        <v>130</v>
      </c>
      <c r="I3267" s="77" t="s">
        <v>84</v>
      </c>
      <c r="J3267" s="76">
        <f>'SUT_EU27 total'!$Q$45</f>
        <v>4.4451090694311274E-2</v>
      </c>
    </row>
    <row r="3268" spans="1:10" x14ac:dyDescent="0.35">
      <c r="A3268" t="s">
        <v>14</v>
      </c>
      <c r="B3268" t="s">
        <v>38</v>
      </c>
      <c r="C3268" s="77" t="s">
        <v>90</v>
      </c>
      <c r="D3268" t="s">
        <v>81</v>
      </c>
      <c r="E3268" s="77" t="s">
        <v>82</v>
      </c>
      <c r="F3268" s="77" t="s">
        <v>73</v>
      </c>
      <c r="G3268" s="77" t="s">
        <v>74</v>
      </c>
      <c r="H3268" s="77" t="s">
        <v>130</v>
      </c>
      <c r="I3268" s="77" t="s">
        <v>84</v>
      </c>
      <c r="J3268" s="76">
        <f>'SUT_EU27 total'!$Q$62</f>
        <v>1.0694147292515508E-5</v>
      </c>
    </row>
    <row r="3269" spans="1:10" x14ac:dyDescent="0.35">
      <c r="A3269" t="s">
        <v>14</v>
      </c>
      <c r="B3269" t="s">
        <v>38</v>
      </c>
      <c r="C3269" s="77" t="s">
        <v>91</v>
      </c>
      <c r="D3269" t="s">
        <v>81</v>
      </c>
      <c r="E3269" s="77" t="s">
        <v>82</v>
      </c>
      <c r="F3269" s="77" t="s">
        <v>73</v>
      </c>
      <c r="G3269" s="77" t="s">
        <v>74</v>
      </c>
      <c r="H3269" s="77" t="s">
        <v>130</v>
      </c>
      <c r="I3269" s="77" t="s">
        <v>84</v>
      </c>
      <c r="J3269" s="76">
        <f>'SUT_EU27 total'!$Q$79</f>
        <v>2.0807907452574416E-3</v>
      </c>
    </row>
    <row r="3270" spans="1:10" x14ac:dyDescent="0.35">
      <c r="A3270" t="s">
        <v>14</v>
      </c>
      <c r="B3270" t="s">
        <v>38</v>
      </c>
      <c r="C3270" s="77" t="s">
        <v>92</v>
      </c>
      <c r="D3270" t="s">
        <v>81</v>
      </c>
      <c r="E3270" s="77" t="s">
        <v>82</v>
      </c>
      <c r="F3270" s="77" t="s">
        <v>73</v>
      </c>
      <c r="G3270" s="77" t="s">
        <v>74</v>
      </c>
      <c r="H3270" s="77" t="s">
        <v>130</v>
      </c>
      <c r="I3270" s="77" t="s">
        <v>84</v>
      </c>
      <c r="J3270" s="76">
        <f>'SUT_EU27 total'!$Q$96</f>
        <v>2.8885571737041122E-3</v>
      </c>
    </row>
    <row r="3271" spans="1:10" x14ac:dyDescent="0.35">
      <c r="A3271" t="s">
        <v>14</v>
      </c>
      <c r="B3271" t="s">
        <v>38</v>
      </c>
      <c r="C3271" s="77" t="s">
        <v>93</v>
      </c>
      <c r="D3271" t="s">
        <v>81</v>
      </c>
      <c r="E3271" s="77" t="s">
        <v>82</v>
      </c>
      <c r="F3271" s="77" t="s">
        <v>73</v>
      </c>
      <c r="G3271" s="77" t="s">
        <v>74</v>
      </c>
      <c r="H3271" s="77" t="s">
        <v>130</v>
      </c>
      <c r="I3271" s="77" t="s">
        <v>84</v>
      </c>
      <c r="J3271" s="76">
        <f>'SUT_EU27 total'!$Q$113</f>
        <v>1.1972685102906883E-2</v>
      </c>
    </row>
    <row r="3272" spans="1:10" x14ac:dyDescent="0.35">
      <c r="A3272" t="s">
        <v>14</v>
      </c>
      <c r="B3272" t="s">
        <v>38</v>
      </c>
      <c r="C3272" s="77" t="s">
        <v>73</v>
      </c>
      <c r="D3272" s="77" t="s">
        <v>81</v>
      </c>
      <c r="E3272" s="77" t="s">
        <v>96</v>
      </c>
      <c r="F3272" s="77" t="s">
        <v>73</v>
      </c>
      <c r="G3272" s="77" t="s">
        <v>74</v>
      </c>
      <c r="H3272" s="77" t="s">
        <v>130</v>
      </c>
      <c r="I3272" s="77" t="s">
        <v>84</v>
      </c>
      <c r="J3272" s="65" cm="1">
        <f t="array" ref="J3272:J3273">Sensitivity!J84:J85</f>
        <v>0</v>
      </c>
    </row>
    <row r="3273" spans="1:10" x14ac:dyDescent="0.35">
      <c r="A3273" t="s">
        <v>14</v>
      </c>
      <c r="B3273" t="s">
        <v>38</v>
      </c>
      <c r="C3273" s="77" t="s">
        <v>73</v>
      </c>
      <c r="D3273" s="77" t="s">
        <v>81</v>
      </c>
      <c r="E3273" s="77" t="s">
        <v>99</v>
      </c>
      <c r="F3273" s="77" t="s">
        <v>73</v>
      </c>
      <c r="G3273" s="77" t="s">
        <v>74</v>
      </c>
      <c r="H3273" s="77" t="s">
        <v>130</v>
      </c>
      <c r="I3273" s="77" t="s">
        <v>84</v>
      </c>
      <c r="J3273" s="65">
        <v>9.0622182146077552</v>
      </c>
    </row>
    <row r="3274" spans="1:10" x14ac:dyDescent="0.35">
      <c r="A3274" t="s">
        <v>14</v>
      </c>
      <c r="B3274" t="s">
        <v>38</v>
      </c>
      <c r="C3274" s="77" t="s">
        <v>73</v>
      </c>
      <c r="D3274" t="s">
        <v>81</v>
      </c>
      <c r="E3274" s="77" t="s">
        <v>131</v>
      </c>
      <c r="F3274" s="77" t="s">
        <v>73</v>
      </c>
      <c r="G3274" s="77" t="s">
        <v>74</v>
      </c>
      <c r="H3274" s="77" t="s">
        <v>112</v>
      </c>
      <c r="I3274" s="77" t="s">
        <v>84</v>
      </c>
      <c r="J3274" s="76">
        <f>'SUT_EU27 total'!$R$24</f>
        <v>4.0146105919003111E-8</v>
      </c>
    </row>
    <row r="3275" spans="1:10" x14ac:dyDescent="0.35">
      <c r="A3275" t="s">
        <v>14</v>
      </c>
      <c r="B3275" t="s">
        <v>38</v>
      </c>
      <c r="C3275" s="77" t="s">
        <v>73</v>
      </c>
      <c r="D3275" t="s">
        <v>81</v>
      </c>
      <c r="E3275" s="77" t="s">
        <v>122</v>
      </c>
      <c r="F3275" s="77" t="s">
        <v>73</v>
      </c>
      <c r="G3275" s="77" t="s">
        <v>74</v>
      </c>
      <c r="H3275" s="77" t="s">
        <v>112</v>
      </c>
      <c r="I3275" s="77" t="s">
        <v>84</v>
      </c>
      <c r="J3275" s="76">
        <f>'SUT_EU27 total'!$R$30</f>
        <v>3.9708116569218732E-4</v>
      </c>
    </row>
    <row r="3276" spans="1:10" x14ac:dyDescent="0.35">
      <c r="A3276" t="s">
        <v>14</v>
      </c>
      <c r="B3276" t="s">
        <v>38</v>
      </c>
      <c r="C3276" s="77" t="s">
        <v>73</v>
      </c>
      <c r="D3276" t="s">
        <v>81</v>
      </c>
      <c r="E3276" s="77" t="s">
        <v>101</v>
      </c>
      <c r="F3276" s="77" t="s">
        <v>73</v>
      </c>
      <c r="G3276" s="77" t="s">
        <v>74</v>
      </c>
      <c r="H3276" s="77" t="s">
        <v>112</v>
      </c>
      <c r="I3276" s="77" t="s">
        <v>84</v>
      </c>
      <c r="J3276" s="76" cm="1">
        <f t="array" ref="J3276:J3278">'SUT_EU27 total'!$R$32:$R$34</f>
        <v>1.2183459827918709E-7</v>
      </c>
    </row>
    <row r="3277" spans="1:10" x14ac:dyDescent="0.35">
      <c r="A3277" t="s">
        <v>14</v>
      </c>
      <c r="B3277" t="s">
        <v>38</v>
      </c>
      <c r="C3277" s="77" t="s">
        <v>73</v>
      </c>
      <c r="D3277" t="s">
        <v>81</v>
      </c>
      <c r="E3277" s="77" t="s">
        <v>104</v>
      </c>
      <c r="F3277" s="77" t="s">
        <v>73</v>
      </c>
      <c r="G3277" s="77" t="s">
        <v>74</v>
      </c>
      <c r="H3277" s="77" t="s">
        <v>112</v>
      </c>
      <c r="I3277" s="77" t="s">
        <v>84</v>
      </c>
      <c r="J3277" s="76">
        <v>2.3068290654205609E-7</v>
      </c>
    </row>
    <row r="3278" spans="1:10" x14ac:dyDescent="0.35">
      <c r="A3278" t="s">
        <v>14</v>
      </c>
      <c r="B3278" t="s">
        <v>38</v>
      </c>
      <c r="C3278" s="77" t="s">
        <v>73</v>
      </c>
      <c r="D3278" t="s">
        <v>81</v>
      </c>
      <c r="E3278" s="77" t="s">
        <v>106</v>
      </c>
      <c r="F3278" s="77" t="s">
        <v>73</v>
      </c>
      <c r="G3278" s="77" t="s">
        <v>74</v>
      </c>
      <c r="H3278" s="77" t="s">
        <v>112</v>
      </c>
      <c r="I3278" s="77" t="s">
        <v>84</v>
      </c>
      <c r="J3278" s="76">
        <v>7.8463573653760568E-7</v>
      </c>
    </row>
    <row r="3279" spans="1:10" x14ac:dyDescent="0.35">
      <c r="A3279" t="s">
        <v>14</v>
      </c>
      <c r="B3279" t="s">
        <v>38</v>
      </c>
      <c r="C3279" s="77" t="s">
        <v>88</v>
      </c>
      <c r="D3279" t="s">
        <v>81</v>
      </c>
      <c r="E3279" s="77" t="s">
        <v>131</v>
      </c>
      <c r="F3279" s="77" t="s">
        <v>73</v>
      </c>
      <c r="G3279" s="77" t="s">
        <v>74</v>
      </c>
      <c r="H3279" s="77" t="s">
        <v>112</v>
      </c>
      <c r="I3279" s="77" t="s">
        <v>84</v>
      </c>
      <c r="J3279" s="76">
        <f>'SUT_EU27 total'!$R$41</f>
        <v>0</v>
      </c>
    </row>
    <row r="3280" spans="1:10" x14ac:dyDescent="0.35">
      <c r="A3280" t="s">
        <v>14</v>
      </c>
      <c r="B3280" t="s">
        <v>38</v>
      </c>
      <c r="C3280" s="77" t="s">
        <v>88</v>
      </c>
      <c r="D3280" t="s">
        <v>81</v>
      </c>
      <c r="E3280" s="77" t="s">
        <v>122</v>
      </c>
      <c r="F3280" s="77" t="s">
        <v>73</v>
      </c>
      <c r="G3280" s="77" t="s">
        <v>74</v>
      </c>
      <c r="H3280" s="77" t="s">
        <v>112</v>
      </c>
      <c r="I3280" s="77" t="s">
        <v>84</v>
      </c>
      <c r="J3280" s="76">
        <f>'SUT_EU27 total'!$R$47</f>
        <v>0</v>
      </c>
    </row>
    <row r="3281" spans="1:10" x14ac:dyDescent="0.35">
      <c r="A3281" t="s">
        <v>14</v>
      </c>
      <c r="B3281" t="s">
        <v>38</v>
      </c>
      <c r="C3281" s="77" t="s">
        <v>88</v>
      </c>
      <c r="D3281" t="s">
        <v>81</v>
      </c>
      <c r="E3281" s="77" t="s">
        <v>101</v>
      </c>
      <c r="F3281" s="77" t="s">
        <v>73</v>
      </c>
      <c r="G3281" s="77" t="s">
        <v>74</v>
      </c>
      <c r="H3281" s="77" t="s">
        <v>112</v>
      </c>
      <c r="I3281" s="77" t="s">
        <v>84</v>
      </c>
      <c r="J3281" s="76" cm="1">
        <f t="array" ref="J3281:J3283">'SUT_EU27 total'!$R$49:$R$51</f>
        <v>0</v>
      </c>
    </row>
    <row r="3282" spans="1:10" x14ac:dyDescent="0.35">
      <c r="A3282" t="s">
        <v>14</v>
      </c>
      <c r="B3282" t="s">
        <v>38</v>
      </c>
      <c r="C3282" s="77" t="s">
        <v>88</v>
      </c>
      <c r="D3282" t="s">
        <v>81</v>
      </c>
      <c r="E3282" s="77" t="s">
        <v>104</v>
      </c>
      <c r="F3282" s="77" t="s">
        <v>73</v>
      </c>
      <c r="G3282" s="77" t="s">
        <v>74</v>
      </c>
      <c r="H3282" s="77" t="s">
        <v>112</v>
      </c>
      <c r="I3282" s="77" t="s">
        <v>84</v>
      </c>
      <c r="J3282" s="76">
        <v>0</v>
      </c>
    </row>
    <row r="3283" spans="1:10" x14ac:dyDescent="0.35">
      <c r="A3283" t="s">
        <v>14</v>
      </c>
      <c r="B3283" t="s">
        <v>38</v>
      </c>
      <c r="C3283" s="77" t="s">
        <v>88</v>
      </c>
      <c r="D3283" t="s">
        <v>81</v>
      </c>
      <c r="E3283" s="77" t="s">
        <v>106</v>
      </c>
      <c r="F3283" s="77" t="s">
        <v>73</v>
      </c>
      <c r="G3283" s="77" t="s">
        <v>74</v>
      </c>
      <c r="H3283" s="77" t="s">
        <v>112</v>
      </c>
      <c r="I3283" s="77" t="s">
        <v>84</v>
      </c>
      <c r="J3283" s="76">
        <v>0</v>
      </c>
    </row>
    <row r="3284" spans="1:10" x14ac:dyDescent="0.35">
      <c r="A3284" t="s">
        <v>14</v>
      </c>
      <c r="B3284" t="s">
        <v>38</v>
      </c>
      <c r="C3284" s="77" t="s">
        <v>90</v>
      </c>
      <c r="D3284" t="s">
        <v>81</v>
      </c>
      <c r="E3284" s="77" t="s">
        <v>131</v>
      </c>
      <c r="F3284" s="77" t="s">
        <v>73</v>
      </c>
      <c r="G3284" s="77" t="s">
        <v>74</v>
      </c>
      <c r="H3284" s="77" t="s">
        <v>112</v>
      </c>
      <c r="I3284" s="77" t="s">
        <v>84</v>
      </c>
      <c r="J3284" s="76">
        <f>'SUT_EU27 total'!$R$58</f>
        <v>0</v>
      </c>
    </row>
    <row r="3285" spans="1:10" x14ac:dyDescent="0.35">
      <c r="A3285" t="s">
        <v>14</v>
      </c>
      <c r="B3285" t="s">
        <v>38</v>
      </c>
      <c r="C3285" s="77" t="s">
        <v>90</v>
      </c>
      <c r="D3285" t="s">
        <v>81</v>
      </c>
      <c r="E3285" s="77" t="s">
        <v>122</v>
      </c>
      <c r="F3285" s="77" t="s">
        <v>73</v>
      </c>
      <c r="G3285" s="77" t="s">
        <v>74</v>
      </c>
      <c r="H3285" s="77" t="s">
        <v>112</v>
      </c>
      <c r="I3285" s="77" t="s">
        <v>84</v>
      </c>
      <c r="J3285" s="76">
        <f>'SUT_EU27 total'!$R$64</f>
        <v>6.4108466461028498E-4</v>
      </c>
    </row>
    <row r="3286" spans="1:10" x14ac:dyDescent="0.35">
      <c r="A3286" t="s">
        <v>14</v>
      </c>
      <c r="B3286" t="s">
        <v>38</v>
      </c>
      <c r="C3286" s="77" t="s">
        <v>90</v>
      </c>
      <c r="D3286" t="s">
        <v>81</v>
      </c>
      <c r="E3286" s="77" t="s">
        <v>101</v>
      </c>
      <c r="F3286" s="77" t="s">
        <v>73</v>
      </c>
      <c r="G3286" s="77" t="s">
        <v>74</v>
      </c>
      <c r="H3286" s="77" t="s">
        <v>112</v>
      </c>
      <c r="I3286" s="77" t="s">
        <v>84</v>
      </c>
      <c r="J3286" s="76" cm="1">
        <f t="array" ref="J3286:J3288">'SUT_EU27 total'!$R$66:$R$68</f>
        <v>0</v>
      </c>
    </row>
    <row r="3287" spans="1:10" x14ac:dyDescent="0.35">
      <c r="A3287" t="s">
        <v>14</v>
      </c>
      <c r="B3287" t="s">
        <v>38</v>
      </c>
      <c r="C3287" s="77" t="s">
        <v>90</v>
      </c>
      <c r="D3287" t="s">
        <v>81</v>
      </c>
      <c r="E3287" s="77" t="s">
        <v>104</v>
      </c>
      <c r="F3287" s="77" t="s">
        <v>73</v>
      </c>
      <c r="G3287" s="77" t="s">
        <v>74</v>
      </c>
      <c r="H3287" s="77" t="s">
        <v>112</v>
      </c>
      <c r="I3287" s="77" t="s">
        <v>84</v>
      </c>
      <c r="J3287" s="76">
        <v>0</v>
      </c>
    </row>
    <row r="3288" spans="1:10" x14ac:dyDescent="0.35">
      <c r="A3288" t="s">
        <v>14</v>
      </c>
      <c r="B3288" t="s">
        <v>38</v>
      </c>
      <c r="C3288" s="77" t="s">
        <v>90</v>
      </c>
      <c r="D3288" t="s">
        <v>81</v>
      </c>
      <c r="E3288" s="77" t="s">
        <v>106</v>
      </c>
      <c r="F3288" s="77" t="s">
        <v>73</v>
      </c>
      <c r="G3288" s="77" t="s">
        <v>74</v>
      </c>
      <c r="H3288" s="77" t="s">
        <v>112</v>
      </c>
      <c r="I3288" s="77" t="s">
        <v>84</v>
      </c>
      <c r="J3288" s="76">
        <v>0</v>
      </c>
    </row>
    <row r="3289" spans="1:10" x14ac:dyDescent="0.35">
      <c r="A3289" t="s">
        <v>14</v>
      </c>
      <c r="B3289" t="s">
        <v>38</v>
      </c>
      <c r="C3289" s="77" t="s">
        <v>91</v>
      </c>
      <c r="D3289" t="s">
        <v>81</v>
      </c>
      <c r="E3289" s="77" t="s">
        <v>131</v>
      </c>
      <c r="F3289" s="77" t="s">
        <v>73</v>
      </c>
      <c r="G3289" s="77" t="s">
        <v>74</v>
      </c>
      <c r="H3289" s="77" t="s">
        <v>112</v>
      </c>
      <c r="I3289" s="77" t="s">
        <v>84</v>
      </c>
      <c r="J3289" s="76">
        <f>'SUT_EU27 total'!$R$75</f>
        <v>0</v>
      </c>
    </row>
    <row r="3290" spans="1:10" x14ac:dyDescent="0.35">
      <c r="A3290" t="s">
        <v>14</v>
      </c>
      <c r="B3290" t="s">
        <v>38</v>
      </c>
      <c r="C3290" s="77" t="s">
        <v>91</v>
      </c>
      <c r="D3290" t="s">
        <v>81</v>
      </c>
      <c r="E3290" s="77" t="s">
        <v>122</v>
      </c>
      <c r="F3290" s="77" t="s">
        <v>73</v>
      </c>
      <c r="G3290" s="77" t="s">
        <v>74</v>
      </c>
      <c r="H3290" s="77" t="s">
        <v>112</v>
      </c>
      <c r="I3290" s="77" t="s">
        <v>84</v>
      </c>
      <c r="J3290" s="76">
        <f>'SUT_EU27 total'!$R$81</f>
        <v>0</v>
      </c>
    </row>
    <row r="3291" spans="1:10" x14ac:dyDescent="0.35">
      <c r="A3291" t="s">
        <v>14</v>
      </c>
      <c r="B3291" t="s">
        <v>38</v>
      </c>
      <c r="C3291" s="77" t="s">
        <v>91</v>
      </c>
      <c r="D3291" t="s">
        <v>81</v>
      </c>
      <c r="E3291" s="77" t="s">
        <v>101</v>
      </c>
      <c r="F3291" s="77" t="s">
        <v>73</v>
      </c>
      <c r="G3291" s="77" t="s">
        <v>74</v>
      </c>
      <c r="H3291" s="77" t="s">
        <v>112</v>
      </c>
      <c r="I3291" s="77" t="s">
        <v>84</v>
      </c>
      <c r="J3291" s="76" cm="1">
        <f t="array" ref="J3291:J3293">'SUT_EU27 total'!$R$83:$R$85</f>
        <v>0</v>
      </c>
    </row>
    <row r="3292" spans="1:10" x14ac:dyDescent="0.35">
      <c r="A3292" t="s">
        <v>14</v>
      </c>
      <c r="B3292" t="s">
        <v>38</v>
      </c>
      <c r="C3292" s="77" t="s">
        <v>91</v>
      </c>
      <c r="D3292" t="s">
        <v>81</v>
      </c>
      <c r="E3292" s="77" t="s">
        <v>104</v>
      </c>
      <c r="F3292" s="77" t="s">
        <v>73</v>
      </c>
      <c r="G3292" s="77" t="s">
        <v>74</v>
      </c>
      <c r="H3292" s="77" t="s">
        <v>112</v>
      </c>
      <c r="I3292" s="77" t="s">
        <v>84</v>
      </c>
      <c r="J3292" s="76">
        <v>0</v>
      </c>
    </row>
    <row r="3293" spans="1:10" x14ac:dyDescent="0.35">
      <c r="A3293" t="s">
        <v>14</v>
      </c>
      <c r="B3293" t="s">
        <v>38</v>
      </c>
      <c r="C3293" s="77" t="s">
        <v>91</v>
      </c>
      <c r="D3293" t="s">
        <v>81</v>
      </c>
      <c r="E3293" s="77" t="s">
        <v>106</v>
      </c>
      <c r="F3293" s="77" t="s">
        <v>73</v>
      </c>
      <c r="G3293" s="77" t="s">
        <v>74</v>
      </c>
      <c r="H3293" s="77" t="s">
        <v>112</v>
      </c>
      <c r="I3293" s="77" t="s">
        <v>84</v>
      </c>
      <c r="J3293" s="76">
        <v>0</v>
      </c>
    </row>
    <row r="3294" spans="1:10" x14ac:dyDescent="0.35">
      <c r="A3294" t="s">
        <v>14</v>
      </c>
      <c r="B3294" t="s">
        <v>38</v>
      </c>
      <c r="C3294" s="77" t="s">
        <v>92</v>
      </c>
      <c r="D3294" t="s">
        <v>81</v>
      </c>
      <c r="E3294" s="77" t="s">
        <v>131</v>
      </c>
      <c r="F3294" s="77" t="s">
        <v>73</v>
      </c>
      <c r="G3294" s="77" t="s">
        <v>74</v>
      </c>
      <c r="H3294" s="77" t="s">
        <v>112</v>
      </c>
      <c r="I3294" s="77" t="s">
        <v>84</v>
      </c>
      <c r="J3294" s="76">
        <f>'SUT_EU27 total'!$R$92</f>
        <v>0</v>
      </c>
    </row>
    <row r="3295" spans="1:10" x14ac:dyDescent="0.35">
      <c r="A3295" t="s">
        <v>14</v>
      </c>
      <c r="B3295" t="s">
        <v>38</v>
      </c>
      <c r="C3295" s="77" t="s">
        <v>92</v>
      </c>
      <c r="D3295" t="s">
        <v>81</v>
      </c>
      <c r="E3295" s="77" t="s">
        <v>122</v>
      </c>
      <c r="F3295" s="77" t="s">
        <v>73</v>
      </c>
      <c r="G3295" s="77" t="s">
        <v>74</v>
      </c>
      <c r="H3295" s="77" t="s">
        <v>112</v>
      </c>
      <c r="I3295" s="77" t="s">
        <v>84</v>
      </c>
      <c r="J3295" s="76">
        <f>'SUT_EU27 total'!$R$98</f>
        <v>0</v>
      </c>
    </row>
    <row r="3296" spans="1:10" x14ac:dyDescent="0.35">
      <c r="A3296" t="s">
        <v>14</v>
      </c>
      <c r="B3296" t="s">
        <v>38</v>
      </c>
      <c r="C3296" s="77" t="s">
        <v>92</v>
      </c>
      <c r="D3296" t="s">
        <v>81</v>
      </c>
      <c r="E3296" s="77" t="s">
        <v>101</v>
      </c>
      <c r="F3296" s="77" t="s">
        <v>73</v>
      </c>
      <c r="G3296" s="77" t="s">
        <v>74</v>
      </c>
      <c r="H3296" s="77" t="s">
        <v>112</v>
      </c>
      <c r="I3296" s="77" t="s">
        <v>84</v>
      </c>
      <c r="J3296" s="76" cm="1">
        <f t="array" ref="J3296:J3298">'SUT_EU27 total'!$R$100:$R$102</f>
        <v>0</v>
      </c>
    </row>
    <row r="3297" spans="1:10" x14ac:dyDescent="0.35">
      <c r="A3297" t="s">
        <v>14</v>
      </c>
      <c r="B3297" t="s">
        <v>38</v>
      </c>
      <c r="C3297" s="77" t="s">
        <v>92</v>
      </c>
      <c r="D3297" t="s">
        <v>81</v>
      </c>
      <c r="E3297" s="77" t="s">
        <v>104</v>
      </c>
      <c r="F3297" s="77" t="s">
        <v>73</v>
      </c>
      <c r="G3297" s="77" t="s">
        <v>74</v>
      </c>
      <c r="H3297" s="77" t="s">
        <v>112</v>
      </c>
      <c r="I3297" s="77" t="s">
        <v>84</v>
      </c>
      <c r="J3297" s="76">
        <v>0</v>
      </c>
    </row>
    <row r="3298" spans="1:10" x14ac:dyDescent="0.35">
      <c r="A3298" t="s">
        <v>14</v>
      </c>
      <c r="B3298" t="s">
        <v>38</v>
      </c>
      <c r="C3298" s="77" t="s">
        <v>92</v>
      </c>
      <c r="D3298" t="s">
        <v>81</v>
      </c>
      <c r="E3298" s="77" t="s">
        <v>106</v>
      </c>
      <c r="F3298" s="77" t="s">
        <v>73</v>
      </c>
      <c r="G3298" s="77" t="s">
        <v>74</v>
      </c>
      <c r="H3298" s="77" t="s">
        <v>112</v>
      </c>
      <c r="I3298" s="77" t="s">
        <v>84</v>
      </c>
      <c r="J3298" s="76">
        <v>0</v>
      </c>
    </row>
    <row r="3299" spans="1:10" x14ac:dyDescent="0.35">
      <c r="A3299" t="s">
        <v>14</v>
      </c>
      <c r="B3299" t="s">
        <v>38</v>
      </c>
      <c r="C3299" s="77" t="s">
        <v>93</v>
      </c>
      <c r="D3299" t="s">
        <v>81</v>
      </c>
      <c r="E3299" s="77" t="s">
        <v>131</v>
      </c>
      <c r="F3299" s="77" t="s">
        <v>73</v>
      </c>
      <c r="G3299" s="77" t="s">
        <v>74</v>
      </c>
      <c r="H3299" s="77" t="s">
        <v>112</v>
      </c>
      <c r="I3299" s="77" t="s">
        <v>84</v>
      </c>
      <c r="J3299" s="76">
        <f>'SUT_EU27 total'!$R$109</f>
        <v>0</v>
      </c>
    </row>
    <row r="3300" spans="1:10" x14ac:dyDescent="0.35">
      <c r="A3300" t="s">
        <v>14</v>
      </c>
      <c r="B3300" t="s">
        <v>38</v>
      </c>
      <c r="C3300" s="77" t="s">
        <v>93</v>
      </c>
      <c r="D3300" t="s">
        <v>81</v>
      </c>
      <c r="E3300" s="77" t="s">
        <v>122</v>
      </c>
      <c r="F3300" s="77" t="s">
        <v>73</v>
      </c>
      <c r="G3300" s="77" t="s">
        <v>74</v>
      </c>
      <c r="H3300" s="77" t="s">
        <v>112</v>
      </c>
      <c r="I3300" s="77" t="s">
        <v>84</v>
      </c>
      <c r="J3300" s="76">
        <f>'SUT_EU27 total'!$R$115</f>
        <v>2.188358424259166E-3</v>
      </c>
    </row>
    <row r="3301" spans="1:10" x14ac:dyDescent="0.35">
      <c r="A3301" t="s">
        <v>14</v>
      </c>
      <c r="B3301" t="s">
        <v>38</v>
      </c>
      <c r="C3301" s="77" t="s">
        <v>93</v>
      </c>
      <c r="D3301" t="s">
        <v>81</v>
      </c>
      <c r="E3301" s="77" t="s">
        <v>101</v>
      </c>
      <c r="F3301" s="77" t="s">
        <v>73</v>
      </c>
      <c r="G3301" s="77" t="s">
        <v>74</v>
      </c>
      <c r="H3301" s="77" t="s">
        <v>112</v>
      </c>
      <c r="I3301" s="77" t="s">
        <v>84</v>
      </c>
      <c r="J3301" s="76" cm="1">
        <f t="array" ref="J3301:J3303">'SUT_EU27 total'!$R$117:$R$119</f>
        <v>0</v>
      </c>
    </row>
    <row r="3302" spans="1:10" x14ac:dyDescent="0.35">
      <c r="A3302" t="s">
        <v>14</v>
      </c>
      <c r="B3302" t="s">
        <v>38</v>
      </c>
      <c r="C3302" s="77" t="s">
        <v>93</v>
      </c>
      <c r="D3302" t="s">
        <v>81</v>
      </c>
      <c r="E3302" s="77" t="s">
        <v>104</v>
      </c>
      <c r="F3302" s="77" t="s">
        <v>73</v>
      </c>
      <c r="G3302" s="77" t="s">
        <v>74</v>
      </c>
      <c r="H3302" s="77" t="s">
        <v>112</v>
      </c>
      <c r="I3302" s="77" t="s">
        <v>84</v>
      </c>
      <c r="J3302" s="76">
        <v>0</v>
      </c>
    </row>
    <row r="3303" spans="1:10" x14ac:dyDescent="0.35">
      <c r="A3303" t="s">
        <v>14</v>
      </c>
      <c r="B3303" t="s">
        <v>38</v>
      </c>
      <c r="C3303" s="77" t="s">
        <v>93</v>
      </c>
      <c r="D3303" t="s">
        <v>81</v>
      </c>
      <c r="E3303" s="77" t="s">
        <v>106</v>
      </c>
      <c r="F3303" s="77" t="s">
        <v>73</v>
      </c>
      <c r="G3303" s="77" t="s">
        <v>74</v>
      </c>
      <c r="H3303" s="77" t="s">
        <v>112</v>
      </c>
      <c r="I3303" s="77" t="s">
        <v>84</v>
      </c>
      <c r="J3303" s="76">
        <v>0</v>
      </c>
    </row>
    <row r="3304" spans="1:10" x14ac:dyDescent="0.35">
      <c r="A3304" t="s">
        <v>14</v>
      </c>
      <c r="B3304" t="s">
        <v>38</v>
      </c>
      <c r="C3304" s="77" t="s">
        <v>73</v>
      </c>
      <c r="D3304" t="s">
        <v>81</v>
      </c>
      <c r="E3304" s="77" t="s">
        <v>131</v>
      </c>
      <c r="F3304" s="77" t="s">
        <v>73</v>
      </c>
      <c r="G3304" s="77" t="s">
        <v>74</v>
      </c>
      <c r="H3304" s="77" t="s">
        <v>113</v>
      </c>
      <c r="I3304" s="77" t="s">
        <v>84</v>
      </c>
      <c r="J3304" s="76">
        <f>'SUT_EU27 total'!$S$24</f>
        <v>5.0294789999999994E-8</v>
      </c>
    </row>
    <row r="3305" spans="1:10" x14ac:dyDescent="0.35">
      <c r="A3305" t="s">
        <v>14</v>
      </c>
      <c r="B3305" t="s">
        <v>38</v>
      </c>
      <c r="C3305" s="77" t="s">
        <v>73</v>
      </c>
      <c r="D3305" t="s">
        <v>81</v>
      </c>
      <c r="E3305" s="77" t="s">
        <v>101</v>
      </c>
      <c r="F3305" s="77" t="s">
        <v>73</v>
      </c>
      <c r="G3305" s="77" t="s">
        <v>74</v>
      </c>
      <c r="H3305" s="77" t="s">
        <v>113</v>
      </c>
      <c r="I3305" s="77" t="s">
        <v>84</v>
      </c>
      <c r="J3305" s="76" cm="1">
        <f t="array" ref="J3305:J3307">'SUT_EU27 total'!$S$32:$S$34</f>
        <v>1.7883556705882356E-5</v>
      </c>
    </row>
    <row r="3306" spans="1:10" x14ac:dyDescent="0.35">
      <c r="A3306" t="s">
        <v>14</v>
      </c>
      <c r="B3306" t="s">
        <v>38</v>
      </c>
      <c r="C3306" s="77" t="s">
        <v>73</v>
      </c>
      <c r="D3306" t="s">
        <v>81</v>
      </c>
      <c r="E3306" s="77" t="s">
        <v>104</v>
      </c>
      <c r="F3306" s="77" t="s">
        <v>73</v>
      </c>
      <c r="G3306" s="77" t="s">
        <v>74</v>
      </c>
      <c r="H3306" s="77" t="s">
        <v>113</v>
      </c>
      <c r="I3306" s="77" t="s">
        <v>84</v>
      </c>
      <c r="J3306" s="76">
        <v>3.3860913882352942E-5</v>
      </c>
    </row>
    <row r="3307" spans="1:10" x14ac:dyDescent="0.35">
      <c r="A3307" t="s">
        <v>14</v>
      </c>
      <c r="B3307" t="s">
        <v>38</v>
      </c>
      <c r="C3307" s="77" t="s">
        <v>73</v>
      </c>
      <c r="D3307" t="s">
        <v>81</v>
      </c>
      <c r="E3307" s="77" t="s">
        <v>106</v>
      </c>
      <c r="F3307" s="77" t="s">
        <v>73</v>
      </c>
      <c r="G3307" s="77" t="s">
        <v>74</v>
      </c>
      <c r="H3307" s="77" t="s">
        <v>113</v>
      </c>
      <c r="I3307" s="77" t="s">
        <v>84</v>
      </c>
      <c r="J3307" s="76">
        <v>1.1517317647058823E-4</v>
      </c>
    </row>
    <row r="3308" spans="1:10" x14ac:dyDescent="0.35">
      <c r="A3308" t="s">
        <v>14</v>
      </c>
      <c r="B3308" t="s">
        <v>38</v>
      </c>
      <c r="C3308" s="77" t="s">
        <v>88</v>
      </c>
      <c r="D3308" t="s">
        <v>81</v>
      </c>
      <c r="E3308" s="77" t="s">
        <v>131</v>
      </c>
      <c r="F3308" s="77" t="s">
        <v>73</v>
      </c>
      <c r="G3308" s="77" t="s">
        <v>74</v>
      </c>
      <c r="H3308" s="77" t="s">
        <v>113</v>
      </c>
      <c r="I3308" s="77" t="s">
        <v>84</v>
      </c>
      <c r="J3308" s="76">
        <f>'SUT_EU27 total'!$S$41</f>
        <v>0</v>
      </c>
    </row>
    <row r="3309" spans="1:10" x14ac:dyDescent="0.35">
      <c r="A3309" t="s">
        <v>14</v>
      </c>
      <c r="B3309" t="s">
        <v>38</v>
      </c>
      <c r="C3309" s="77" t="s">
        <v>88</v>
      </c>
      <c r="D3309" t="s">
        <v>81</v>
      </c>
      <c r="E3309" s="77" t="s">
        <v>101</v>
      </c>
      <c r="F3309" s="77" t="s">
        <v>73</v>
      </c>
      <c r="G3309" s="77" t="s">
        <v>74</v>
      </c>
      <c r="H3309" s="77" t="s">
        <v>113</v>
      </c>
      <c r="I3309" s="77" t="s">
        <v>84</v>
      </c>
      <c r="J3309" s="76" cm="1">
        <f t="array" ref="J3309:J3311">'SUT_EU27 total'!$S$49:$S$51</f>
        <v>0</v>
      </c>
    </row>
    <row r="3310" spans="1:10" x14ac:dyDescent="0.35">
      <c r="A3310" t="s">
        <v>14</v>
      </c>
      <c r="B3310" t="s">
        <v>38</v>
      </c>
      <c r="C3310" s="77" t="s">
        <v>88</v>
      </c>
      <c r="D3310" t="s">
        <v>81</v>
      </c>
      <c r="E3310" s="77" t="s">
        <v>104</v>
      </c>
      <c r="F3310" s="77" t="s">
        <v>73</v>
      </c>
      <c r="G3310" s="77" t="s">
        <v>74</v>
      </c>
      <c r="H3310" s="77" t="s">
        <v>113</v>
      </c>
      <c r="I3310" s="77" t="s">
        <v>84</v>
      </c>
      <c r="J3310" s="76">
        <v>0</v>
      </c>
    </row>
    <row r="3311" spans="1:10" x14ac:dyDescent="0.35">
      <c r="A3311" t="s">
        <v>14</v>
      </c>
      <c r="B3311" t="s">
        <v>38</v>
      </c>
      <c r="C3311" s="77" t="s">
        <v>88</v>
      </c>
      <c r="D3311" t="s">
        <v>81</v>
      </c>
      <c r="E3311" s="77" t="s">
        <v>106</v>
      </c>
      <c r="F3311" s="77" t="s">
        <v>73</v>
      </c>
      <c r="G3311" s="77" t="s">
        <v>74</v>
      </c>
      <c r="H3311" s="77" t="s">
        <v>113</v>
      </c>
      <c r="I3311" s="77" t="s">
        <v>84</v>
      </c>
      <c r="J3311" s="76">
        <v>0</v>
      </c>
    </row>
    <row r="3312" spans="1:10" x14ac:dyDescent="0.35">
      <c r="A3312" t="s">
        <v>14</v>
      </c>
      <c r="B3312" t="s">
        <v>38</v>
      </c>
      <c r="C3312" s="77" t="s">
        <v>90</v>
      </c>
      <c r="D3312" t="s">
        <v>81</v>
      </c>
      <c r="E3312" s="77" t="s">
        <v>131</v>
      </c>
      <c r="F3312" s="77" t="s">
        <v>73</v>
      </c>
      <c r="G3312" s="77" t="s">
        <v>74</v>
      </c>
      <c r="H3312" s="77" t="s">
        <v>113</v>
      </c>
      <c r="I3312" s="77" t="s">
        <v>84</v>
      </c>
      <c r="J3312" s="76">
        <f>'SUT_EU27 total'!$S$58</f>
        <v>0</v>
      </c>
    </row>
    <row r="3313" spans="1:10" x14ac:dyDescent="0.35">
      <c r="A3313" t="s">
        <v>14</v>
      </c>
      <c r="B3313" t="s">
        <v>38</v>
      </c>
      <c r="C3313" s="77" t="s">
        <v>90</v>
      </c>
      <c r="D3313" t="s">
        <v>81</v>
      </c>
      <c r="E3313" s="77" t="s">
        <v>101</v>
      </c>
      <c r="F3313" s="77" t="s">
        <v>73</v>
      </c>
      <c r="G3313" s="77" t="s">
        <v>74</v>
      </c>
      <c r="H3313" s="77" t="s">
        <v>113</v>
      </c>
      <c r="I3313" s="77" t="s">
        <v>84</v>
      </c>
      <c r="J3313" s="76" cm="1">
        <f t="array" ref="J3313:J3315">'SUT_EU27 total'!$S$66:$S$68</f>
        <v>0</v>
      </c>
    </row>
    <row r="3314" spans="1:10" x14ac:dyDescent="0.35">
      <c r="A3314" t="s">
        <v>14</v>
      </c>
      <c r="B3314" t="s">
        <v>38</v>
      </c>
      <c r="C3314" s="77" t="s">
        <v>90</v>
      </c>
      <c r="D3314" t="s">
        <v>81</v>
      </c>
      <c r="E3314" s="77" t="s">
        <v>104</v>
      </c>
      <c r="F3314" s="77" t="s">
        <v>73</v>
      </c>
      <c r="G3314" s="77" t="s">
        <v>74</v>
      </c>
      <c r="H3314" s="77" t="s">
        <v>113</v>
      </c>
      <c r="I3314" s="77" t="s">
        <v>84</v>
      </c>
      <c r="J3314" s="76">
        <v>0</v>
      </c>
    </row>
    <row r="3315" spans="1:10" x14ac:dyDescent="0.35">
      <c r="A3315" t="s">
        <v>14</v>
      </c>
      <c r="B3315" t="s">
        <v>38</v>
      </c>
      <c r="C3315" s="77" t="s">
        <v>90</v>
      </c>
      <c r="D3315" t="s">
        <v>81</v>
      </c>
      <c r="E3315" s="77" t="s">
        <v>106</v>
      </c>
      <c r="F3315" s="77" t="s">
        <v>73</v>
      </c>
      <c r="G3315" s="77" t="s">
        <v>74</v>
      </c>
      <c r="H3315" s="77" t="s">
        <v>113</v>
      </c>
      <c r="I3315" s="77" t="s">
        <v>84</v>
      </c>
      <c r="J3315" s="76">
        <v>0</v>
      </c>
    </row>
    <row r="3316" spans="1:10" x14ac:dyDescent="0.35">
      <c r="A3316" t="s">
        <v>14</v>
      </c>
      <c r="B3316" t="s">
        <v>38</v>
      </c>
      <c r="C3316" s="77" t="s">
        <v>91</v>
      </c>
      <c r="D3316" t="s">
        <v>81</v>
      </c>
      <c r="E3316" s="77" t="s">
        <v>131</v>
      </c>
      <c r="F3316" s="77" t="s">
        <v>73</v>
      </c>
      <c r="G3316" s="77" t="s">
        <v>74</v>
      </c>
      <c r="H3316" s="77" t="s">
        <v>113</v>
      </c>
      <c r="I3316" s="77" t="s">
        <v>84</v>
      </c>
      <c r="J3316" s="76">
        <f>'SUT_EU27 total'!$S$75</f>
        <v>0</v>
      </c>
    </row>
    <row r="3317" spans="1:10" x14ac:dyDescent="0.35">
      <c r="A3317" t="s">
        <v>14</v>
      </c>
      <c r="B3317" t="s">
        <v>38</v>
      </c>
      <c r="C3317" s="77" t="s">
        <v>91</v>
      </c>
      <c r="D3317" t="s">
        <v>81</v>
      </c>
      <c r="E3317" s="77" t="s">
        <v>101</v>
      </c>
      <c r="F3317" s="77" t="s">
        <v>73</v>
      </c>
      <c r="G3317" s="77" t="s">
        <v>74</v>
      </c>
      <c r="H3317" s="77" t="s">
        <v>113</v>
      </c>
      <c r="I3317" s="77" t="s">
        <v>84</v>
      </c>
      <c r="J3317" s="76" cm="1">
        <f t="array" ref="J3317:J3319">'SUT_EU27 total'!$S$83:$S$85</f>
        <v>0</v>
      </c>
    </row>
    <row r="3318" spans="1:10" x14ac:dyDescent="0.35">
      <c r="A3318" t="s">
        <v>14</v>
      </c>
      <c r="B3318" t="s">
        <v>38</v>
      </c>
      <c r="C3318" s="77" t="s">
        <v>91</v>
      </c>
      <c r="D3318" t="s">
        <v>81</v>
      </c>
      <c r="E3318" s="77" t="s">
        <v>104</v>
      </c>
      <c r="F3318" s="77" t="s">
        <v>73</v>
      </c>
      <c r="G3318" s="77" t="s">
        <v>74</v>
      </c>
      <c r="H3318" s="77" t="s">
        <v>113</v>
      </c>
      <c r="I3318" s="77" t="s">
        <v>84</v>
      </c>
      <c r="J3318" s="76">
        <v>0</v>
      </c>
    </row>
    <row r="3319" spans="1:10" x14ac:dyDescent="0.35">
      <c r="A3319" t="s">
        <v>14</v>
      </c>
      <c r="B3319" t="s">
        <v>38</v>
      </c>
      <c r="C3319" s="77" t="s">
        <v>91</v>
      </c>
      <c r="D3319" t="s">
        <v>81</v>
      </c>
      <c r="E3319" s="77" t="s">
        <v>106</v>
      </c>
      <c r="F3319" s="77" t="s">
        <v>73</v>
      </c>
      <c r="G3319" s="77" t="s">
        <v>74</v>
      </c>
      <c r="H3319" s="77" t="s">
        <v>113</v>
      </c>
      <c r="I3319" s="77" t="s">
        <v>84</v>
      </c>
      <c r="J3319" s="76">
        <v>0</v>
      </c>
    </row>
    <row r="3320" spans="1:10" x14ac:dyDescent="0.35">
      <c r="A3320" t="s">
        <v>14</v>
      </c>
      <c r="B3320" t="s">
        <v>38</v>
      </c>
      <c r="C3320" s="77" t="s">
        <v>92</v>
      </c>
      <c r="D3320" t="s">
        <v>81</v>
      </c>
      <c r="E3320" s="77" t="s">
        <v>131</v>
      </c>
      <c r="F3320" s="77" t="s">
        <v>73</v>
      </c>
      <c r="G3320" s="77" t="s">
        <v>74</v>
      </c>
      <c r="H3320" s="77" t="s">
        <v>113</v>
      </c>
      <c r="I3320" s="77" t="s">
        <v>84</v>
      </c>
      <c r="J3320" s="76">
        <f>'SUT_EU27 total'!$S$92</f>
        <v>0</v>
      </c>
    </row>
    <row r="3321" spans="1:10" x14ac:dyDescent="0.35">
      <c r="A3321" t="s">
        <v>14</v>
      </c>
      <c r="B3321" t="s">
        <v>38</v>
      </c>
      <c r="C3321" s="77" t="s">
        <v>92</v>
      </c>
      <c r="D3321" t="s">
        <v>81</v>
      </c>
      <c r="E3321" s="77" t="s">
        <v>101</v>
      </c>
      <c r="F3321" s="77" t="s">
        <v>73</v>
      </c>
      <c r="G3321" s="77" t="s">
        <v>74</v>
      </c>
      <c r="H3321" s="77" t="s">
        <v>113</v>
      </c>
      <c r="I3321" s="77" t="s">
        <v>84</v>
      </c>
      <c r="J3321" s="76" cm="1">
        <f t="array" ref="J3321:J3323">'SUT_EU27 total'!$S$100:$S$102</f>
        <v>0</v>
      </c>
    </row>
    <row r="3322" spans="1:10" x14ac:dyDescent="0.35">
      <c r="A3322" t="s">
        <v>14</v>
      </c>
      <c r="B3322" t="s">
        <v>38</v>
      </c>
      <c r="C3322" s="77" t="s">
        <v>92</v>
      </c>
      <c r="D3322" t="s">
        <v>81</v>
      </c>
      <c r="E3322" s="77" t="s">
        <v>104</v>
      </c>
      <c r="F3322" s="77" t="s">
        <v>73</v>
      </c>
      <c r="G3322" s="77" t="s">
        <v>74</v>
      </c>
      <c r="H3322" s="77" t="s">
        <v>113</v>
      </c>
      <c r="I3322" s="77" t="s">
        <v>84</v>
      </c>
      <c r="J3322" s="76">
        <v>0</v>
      </c>
    </row>
    <row r="3323" spans="1:10" x14ac:dyDescent="0.35">
      <c r="A3323" t="s">
        <v>14</v>
      </c>
      <c r="B3323" t="s">
        <v>38</v>
      </c>
      <c r="C3323" s="77" t="s">
        <v>92</v>
      </c>
      <c r="D3323" t="s">
        <v>81</v>
      </c>
      <c r="E3323" s="77" t="s">
        <v>106</v>
      </c>
      <c r="F3323" s="77" t="s">
        <v>73</v>
      </c>
      <c r="G3323" s="77" t="s">
        <v>74</v>
      </c>
      <c r="H3323" s="77" t="s">
        <v>113</v>
      </c>
      <c r="I3323" s="77" t="s">
        <v>84</v>
      </c>
      <c r="J3323" s="76">
        <v>0</v>
      </c>
    </row>
    <row r="3324" spans="1:10" x14ac:dyDescent="0.35">
      <c r="A3324" t="s">
        <v>14</v>
      </c>
      <c r="B3324" t="s">
        <v>38</v>
      </c>
      <c r="C3324" s="77" t="s">
        <v>93</v>
      </c>
      <c r="D3324" t="s">
        <v>81</v>
      </c>
      <c r="E3324" s="77" t="s">
        <v>131</v>
      </c>
      <c r="F3324" s="77" t="s">
        <v>73</v>
      </c>
      <c r="G3324" s="77" t="s">
        <v>74</v>
      </c>
      <c r="H3324" s="77" t="s">
        <v>113</v>
      </c>
      <c r="I3324" s="77" t="s">
        <v>84</v>
      </c>
      <c r="J3324" s="76">
        <f>'SUT_EU27 total'!$S$109</f>
        <v>0</v>
      </c>
    </row>
    <row r="3325" spans="1:10" x14ac:dyDescent="0.35">
      <c r="A3325" t="s">
        <v>14</v>
      </c>
      <c r="B3325" t="s">
        <v>38</v>
      </c>
      <c r="C3325" s="77" t="s">
        <v>93</v>
      </c>
      <c r="D3325" t="s">
        <v>81</v>
      </c>
      <c r="E3325" s="77" t="s">
        <v>101</v>
      </c>
      <c r="F3325" s="77" t="s">
        <v>73</v>
      </c>
      <c r="G3325" s="77" t="s">
        <v>74</v>
      </c>
      <c r="H3325" s="77" t="s">
        <v>113</v>
      </c>
      <c r="I3325" s="77" t="s">
        <v>84</v>
      </c>
      <c r="J3325" s="76" cm="1">
        <f t="array" ref="J3325:J3327">'SUT_EU27 total'!$S$117:$S$119</f>
        <v>0</v>
      </c>
    </row>
    <row r="3326" spans="1:10" x14ac:dyDescent="0.35">
      <c r="A3326" t="s">
        <v>14</v>
      </c>
      <c r="B3326" t="s">
        <v>38</v>
      </c>
      <c r="C3326" s="77" t="s">
        <v>93</v>
      </c>
      <c r="D3326" t="s">
        <v>81</v>
      </c>
      <c r="E3326" s="77" t="s">
        <v>104</v>
      </c>
      <c r="F3326" s="77" t="s">
        <v>73</v>
      </c>
      <c r="G3326" s="77" t="s">
        <v>74</v>
      </c>
      <c r="H3326" s="77" t="s">
        <v>113</v>
      </c>
      <c r="I3326" s="77" t="s">
        <v>84</v>
      </c>
      <c r="J3326" s="76">
        <v>0</v>
      </c>
    </row>
    <row r="3327" spans="1:10" x14ac:dyDescent="0.35">
      <c r="A3327" t="s">
        <v>14</v>
      </c>
      <c r="B3327" t="s">
        <v>38</v>
      </c>
      <c r="C3327" s="77" t="s">
        <v>93</v>
      </c>
      <c r="D3327" t="s">
        <v>81</v>
      </c>
      <c r="E3327" s="77" t="s">
        <v>106</v>
      </c>
      <c r="F3327" s="77" t="s">
        <v>73</v>
      </c>
      <c r="G3327" s="77" t="s">
        <v>74</v>
      </c>
      <c r="H3327" s="77" t="s">
        <v>113</v>
      </c>
      <c r="I3327" s="77" t="s">
        <v>84</v>
      </c>
      <c r="J3327" s="76">
        <v>0</v>
      </c>
    </row>
    <row r="3328" spans="1:10" x14ac:dyDescent="0.35">
      <c r="A3328" t="s">
        <v>14</v>
      </c>
      <c r="B3328" t="s">
        <v>38</v>
      </c>
      <c r="C3328" s="77" t="s">
        <v>73</v>
      </c>
      <c r="D3328" t="s">
        <v>74</v>
      </c>
      <c r="E3328" s="77" t="s">
        <v>123</v>
      </c>
      <c r="F3328" s="77" t="s">
        <v>73</v>
      </c>
      <c r="G3328" s="77" t="s">
        <v>81</v>
      </c>
      <c r="H3328" s="77" t="s">
        <v>115</v>
      </c>
      <c r="I3328" s="77" t="s">
        <v>84</v>
      </c>
      <c r="J3328" s="76" cm="1">
        <f t="array" ref="J3328:J3334">TRANSPOSE('2030 pathways'!$C$9:$I$9)</f>
        <v>5.8999999999999997E-2</v>
      </c>
    </row>
    <row r="3329" spans="1:10" x14ac:dyDescent="0.35">
      <c r="A3329" t="s">
        <v>14</v>
      </c>
      <c r="B3329" t="s">
        <v>38</v>
      </c>
      <c r="C3329" s="77" t="s">
        <v>73</v>
      </c>
      <c r="D3329" t="s">
        <v>74</v>
      </c>
      <c r="E3329" s="77" t="s">
        <v>127</v>
      </c>
      <c r="F3329" s="77" t="s">
        <v>73</v>
      </c>
      <c r="G3329" s="77" t="s">
        <v>81</v>
      </c>
      <c r="H3329" s="77" t="s">
        <v>115</v>
      </c>
      <c r="I3329" s="77" t="s">
        <v>84</v>
      </c>
      <c r="J3329" s="76">
        <v>5.8999999999999999E-3</v>
      </c>
    </row>
    <row r="3330" spans="1:10" x14ac:dyDescent="0.35">
      <c r="A3330" t="s">
        <v>14</v>
      </c>
      <c r="B3330" t="s">
        <v>38</v>
      </c>
      <c r="C3330" s="77" t="s">
        <v>73</v>
      </c>
      <c r="D3330" t="s">
        <v>74</v>
      </c>
      <c r="E3330" s="77" t="s">
        <v>128</v>
      </c>
      <c r="F3330" s="77" t="s">
        <v>73</v>
      </c>
      <c r="G3330" s="77" t="s">
        <v>81</v>
      </c>
      <c r="H3330" s="77" t="s">
        <v>115</v>
      </c>
      <c r="I3330" s="77" t="s">
        <v>84</v>
      </c>
      <c r="J3330" s="76">
        <v>1.18E-2</v>
      </c>
    </row>
    <row r="3331" spans="1:10" x14ac:dyDescent="0.35">
      <c r="A3331" t="s">
        <v>14</v>
      </c>
      <c r="B3331" t="s">
        <v>38</v>
      </c>
      <c r="C3331" s="77" t="s">
        <v>73</v>
      </c>
      <c r="D3331" t="s">
        <v>74</v>
      </c>
      <c r="E3331" s="77" t="s">
        <v>129</v>
      </c>
      <c r="F3331" s="77" t="s">
        <v>73</v>
      </c>
      <c r="G3331" s="77" t="s">
        <v>81</v>
      </c>
      <c r="H3331" s="77" t="s">
        <v>115</v>
      </c>
      <c r="I3331" s="77" t="s">
        <v>84</v>
      </c>
      <c r="J3331" s="76">
        <v>3.5399999999999994E-2</v>
      </c>
    </row>
    <row r="3332" spans="1:10" x14ac:dyDescent="0.35">
      <c r="A3332" t="s">
        <v>14</v>
      </c>
      <c r="B3332" t="s">
        <v>38</v>
      </c>
      <c r="C3332" s="77" t="s">
        <v>73</v>
      </c>
      <c r="D3332" t="s">
        <v>74</v>
      </c>
      <c r="E3332" s="77" t="s">
        <v>77</v>
      </c>
      <c r="F3332" s="77" t="s">
        <v>73</v>
      </c>
      <c r="G3332" s="77" t="s">
        <v>81</v>
      </c>
      <c r="H3332" s="77" t="s">
        <v>115</v>
      </c>
      <c r="I3332" s="77" t="s">
        <v>84</v>
      </c>
      <c r="J3332" s="76">
        <v>1.7699999999999997E-2</v>
      </c>
    </row>
    <row r="3333" spans="1:10" x14ac:dyDescent="0.35">
      <c r="A3333" t="s">
        <v>14</v>
      </c>
      <c r="B3333" t="s">
        <v>38</v>
      </c>
      <c r="C3333" s="77" t="s">
        <v>73</v>
      </c>
      <c r="D3333" t="s">
        <v>74</v>
      </c>
      <c r="E3333" s="77" t="s">
        <v>130</v>
      </c>
      <c r="F3333" s="77" t="s">
        <v>73</v>
      </c>
      <c r="G3333" s="77" t="s">
        <v>81</v>
      </c>
      <c r="H3333" s="77" t="s">
        <v>115</v>
      </c>
      <c r="I3333" s="77" t="s">
        <v>84</v>
      </c>
      <c r="J3333" s="76">
        <v>0.4602</v>
      </c>
    </row>
    <row r="3334" spans="1:10" x14ac:dyDescent="0.35">
      <c r="A3334" t="s">
        <v>14</v>
      </c>
      <c r="B3334" t="s">
        <v>38</v>
      </c>
      <c r="C3334" s="77" t="s">
        <v>73</v>
      </c>
      <c r="D3334" t="s">
        <v>74</v>
      </c>
      <c r="E3334" s="77" t="s">
        <v>132</v>
      </c>
      <c r="F3334" s="77" t="s">
        <v>73</v>
      </c>
      <c r="G3334" s="77" t="s">
        <v>81</v>
      </c>
      <c r="H3334" s="77" t="s">
        <v>115</v>
      </c>
      <c r="I3334" s="77" t="s">
        <v>84</v>
      </c>
      <c r="J3334" s="76">
        <v>0.41</v>
      </c>
    </row>
    <row r="3335" spans="1:10" x14ac:dyDescent="0.35">
      <c r="A3335" t="s">
        <v>14</v>
      </c>
      <c r="B3335" t="s">
        <v>38</v>
      </c>
      <c r="C3335" s="77" t="s">
        <v>73</v>
      </c>
      <c r="D3335" t="s">
        <v>74</v>
      </c>
      <c r="E3335" s="77" t="s">
        <v>133</v>
      </c>
      <c r="F3335" s="77" t="s">
        <v>73</v>
      </c>
      <c r="G3335" s="77" t="s">
        <v>81</v>
      </c>
      <c r="H3335" s="77" t="s">
        <v>115</v>
      </c>
      <c r="I3335" s="77" t="s">
        <v>84</v>
      </c>
      <c r="J3335" s="76">
        <v>0</v>
      </c>
    </row>
    <row r="3336" spans="1:10" x14ac:dyDescent="0.35">
      <c r="A3336" s="373" t="s">
        <v>14</v>
      </c>
      <c r="B3336" s="373" t="s">
        <v>39</v>
      </c>
      <c r="C3336" s="472" t="s">
        <v>73</v>
      </c>
      <c r="D3336" s="373" t="s">
        <v>81</v>
      </c>
      <c r="E3336" s="472" t="s">
        <v>115</v>
      </c>
      <c r="F3336" s="472" t="s">
        <v>73</v>
      </c>
      <c r="G3336" s="472" t="s">
        <v>74</v>
      </c>
      <c r="H3336" s="472" t="s">
        <v>102</v>
      </c>
      <c r="I3336" s="472" t="s">
        <v>84</v>
      </c>
      <c r="J3336" s="473" cm="1">
        <f t="array" ref="J3336:J3337">'SUT_EU27 total'!$J$19:$J$20</f>
        <v>11.828571428571427</v>
      </c>
    </row>
    <row r="3337" spans="1:10" x14ac:dyDescent="0.35">
      <c r="A3337" t="s">
        <v>14</v>
      </c>
      <c r="B3337" t="s">
        <v>39</v>
      </c>
      <c r="C3337" s="77" t="s">
        <v>73</v>
      </c>
      <c r="D3337" t="s">
        <v>81</v>
      </c>
      <c r="E3337" s="77" t="s">
        <v>116</v>
      </c>
      <c r="F3337" s="77" t="s">
        <v>73</v>
      </c>
      <c r="G3337" s="77" t="s">
        <v>74</v>
      </c>
      <c r="H3337" s="77" t="s">
        <v>102</v>
      </c>
      <c r="I3337" s="77" t="s">
        <v>84</v>
      </c>
      <c r="J3337" s="76">
        <v>3.3421988920214002E-2</v>
      </c>
    </row>
    <row r="3338" spans="1:10" x14ac:dyDescent="0.35">
      <c r="A3338" t="s">
        <v>14</v>
      </c>
      <c r="B3338" t="s">
        <v>39</v>
      </c>
      <c r="C3338" s="77" t="s">
        <v>73</v>
      </c>
      <c r="D3338" t="s">
        <v>81</v>
      </c>
      <c r="E3338" s="77" t="s">
        <v>117</v>
      </c>
      <c r="F3338" s="77" t="s">
        <v>73</v>
      </c>
      <c r="G3338" s="77" t="s">
        <v>74</v>
      </c>
      <c r="H3338" s="77" t="s">
        <v>102</v>
      </c>
      <c r="I3338" s="77" t="s">
        <v>84</v>
      </c>
      <c r="J3338" s="76">
        <f>'SUT_EU27 total'!$J$27</f>
        <v>20.996100000000002</v>
      </c>
    </row>
    <row r="3339" spans="1:10" x14ac:dyDescent="0.35">
      <c r="A3339" t="s">
        <v>14</v>
      </c>
      <c r="B3339" t="s">
        <v>39</v>
      </c>
      <c r="C3339" s="77" t="s">
        <v>73</v>
      </c>
      <c r="D3339" t="s">
        <v>81</v>
      </c>
      <c r="E3339" s="77" t="s">
        <v>101</v>
      </c>
      <c r="F3339" s="77" t="s">
        <v>73</v>
      </c>
      <c r="G3339" s="77" t="s">
        <v>74</v>
      </c>
      <c r="H3339" s="77" t="s">
        <v>102</v>
      </c>
      <c r="I3339" s="77" t="s">
        <v>84</v>
      </c>
      <c r="J3339" s="471" cm="1">
        <f t="array" ref="J3339:J3341">Sensitivity!J86:J88</f>
        <v>0.51705287995693072</v>
      </c>
    </row>
    <row r="3340" spans="1:10" x14ac:dyDescent="0.35">
      <c r="A3340" t="s">
        <v>14</v>
      </c>
      <c r="B3340" t="s">
        <v>39</v>
      </c>
      <c r="C3340" s="77" t="s">
        <v>73</v>
      </c>
      <c r="D3340" t="s">
        <v>81</v>
      </c>
      <c r="E3340" s="77" t="s">
        <v>104</v>
      </c>
      <c r="F3340" s="77" t="s">
        <v>73</v>
      </c>
      <c r="G3340" s="77" t="s">
        <v>74</v>
      </c>
      <c r="H3340" s="77" t="s">
        <v>102</v>
      </c>
      <c r="I3340" s="77" t="s">
        <v>84</v>
      </c>
      <c r="J3340" s="471">
        <v>0.29649301958370766</v>
      </c>
    </row>
    <row r="3341" spans="1:10" x14ac:dyDescent="0.35">
      <c r="A3341" t="s">
        <v>14</v>
      </c>
      <c r="B3341" t="s">
        <v>39</v>
      </c>
      <c r="C3341" s="77" t="s">
        <v>73</v>
      </c>
      <c r="D3341" t="s">
        <v>81</v>
      </c>
      <c r="E3341" s="77" t="s">
        <v>106</v>
      </c>
      <c r="F3341" s="77" t="s">
        <v>73</v>
      </c>
      <c r="G3341" s="77" t="s">
        <v>74</v>
      </c>
      <c r="H3341" s="77" t="s">
        <v>102</v>
      </c>
      <c r="I3341" s="77" t="s">
        <v>84</v>
      </c>
      <c r="J3341" s="471">
        <v>0.44070073885936156</v>
      </c>
    </row>
    <row r="3342" spans="1:10" x14ac:dyDescent="0.35">
      <c r="A3342" t="s">
        <v>14</v>
      </c>
      <c r="B3342" t="s">
        <v>39</v>
      </c>
      <c r="C3342" s="77" t="s">
        <v>88</v>
      </c>
      <c r="D3342" t="s">
        <v>81</v>
      </c>
      <c r="E3342" s="77" t="s">
        <v>115</v>
      </c>
      <c r="F3342" s="77" t="s">
        <v>73</v>
      </c>
      <c r="G3342" s="77" t="s">
        <v>74</v>
      </c>
      <c r="H3342" s="77" t="s">
        <v>102</v>
      </c>
      <c r="I3342" s="77" t="s">
        <v>84</v>
      </c>
      <c r="J3342" s="76" cm="1">
        <f t="array" ref="J3342:J3343">'SUT_EU27 total'!$J$36:$J$37</f>
        <v>78.857142857142847</v>
      </c>
    </row>
    <row r="3343" spans="1:10" x14ac:dyDescent="0.35">
      <c r="A3343" t="s">
        <v>14</v>
      </c>
      <c r="B3343" t="s">
        <v>39</v>
      </c>
      <c r="C3343" s="77" t="s">
        <v>88</v>
      </c>
      <c r="D3343" t="s">
        <v>81</v>
      </c>
      <c r="E3343" s="77" t="s">
        <v>116</v>
      </c>
      <c r="F3343" s="77" t="s">
        <v>73</v>
      </c>
      <c r="G3343" s="77" t="s">
        <v>74</v>
      </c>
      <c r="H3343" s="77" t="s">
        <v>102</v>
      </c>
      <c r="I3343" s="77" t="s">
        <v>84</v>
      </c>
      <c r="J3343" s="76">
        <v>0.7862213561563367</v>
      </c>
    </row>
    <row r="3344" spans="1:10" x14ac:dyDescent="0.35">
      <c r="A3344" t="s">
        <v>14</v>
      </c>
      <c r="B3344" t="s">
        <v>39</v>
      </c>
      <c r="C3344" s="77" t="s">
        <v>88</v>
      </c>
      <c r="D3344" t="s">
        <v>81</v>
      </c>
      <c r="E3344" s="77" t="s">
        <v>117</v>
      </c>
      <c r="F3344" s="77" t="s">
        <v>73</v>
      </c>
      <c r="G3344" s="77" t="s">
        <v>74</v>
      </c>
      <c r="H3344" s="77" t="s">
        <v>102</v>
      </c>
      <c r="I3344" s="77" t="s">
        <v>84</v>
      </c>
      <c r="J3344" s="76">
        <f>'SUT_EU27 total'!$J$44</f>
        <v>286.26390000000004</v>
      </c>
    </row>
    <row r="3345" spans="1:10" x14ac:dyDescent="0.35">
      <c r="A3345" t="s">
        <v>14</v>
      </c>
      <c r="B3345" t="s">
        <v>39</v>
      </c>
      <c r="C3345" s="77" t="s">
        <v>88</v>
      </c>
      <c r="D3345" t="s">
        <v>81</v>
      </c>
      <c r="E3345" s="77" t="s">
        <v>101</v>
      </c>
      <c r="F3345" s="77" t="s">
        <v>73</v>
      </c>
      <c r="G3345" s="77" t="s">
        <v>74</v>
      </c>
      <c r="H3345" s="77" t="s">
        <v>102</v>
      </c>
      <c r="I3345" s="77" t="s">
        <v>84</v>
      </c>
      <c r="J3345" s="76" cm="1">
        <f t="array" ref="J3345:J3347">'SUT_EU27 total'!$J$49:$J$51</f>
        <v>0</v>
      </c>
    </row>
    <row r="3346" spans="1:10" x14ac:dyDescent="0.35">
      <c r="A3346" t="s">
        <v>14</v>
      </c>
      <c r="B3346" t="s">
        <v>39</v>
      </c>
      <c r="C3346" s="77" t="s">
        <v>88</v>
      </c>
      <c r="D3346" t="s">
        <v>81</v>
      </c>
      <c r="E3346" s="77" t="s">
        <v>104</v>
      </c>
      <c r="F3346" s="77" t="s">
        <v>73</v>
      </c>
      <c r="G3346" s="77" t="s">
        <v>74</v>
      </c>
      <c r="H3346" s="77" t="s">
        <v>102</v>
      </c>
      <c r="I3346" s="77" t="s">
        <v>84</v>
      </c>
      <c r="J3346" s="76">
        <v>0</v>
      </c>
    </row>
    <row r="3347" spans="1:10" x14ac:dyDescent="0.35">
      <c r="A3347" t="s">
        <v>14</v>
      </c>
      <c r="B3347" t="s">
        <v>39</v>
      </c>
      <c r="C3347" s="77" t="s">
        <v>88</v>
      </c>
      <c r="D3347" t="s">
        <v>81</v>
      </c>
      <c r="E3347" s="77" t="s">
        <v>106</v>
      </c>
      <c r="F3347" s="77" t="s">
        <v>73</v>
      </c>
      <c r="G3347" s="77" t="s">
        <v>74</v>
      </c>
      <c r="H3347" s="77" t="s">
        <v>102</v>
      </c>
      <c r="I3347" s="77" t="s">
        <v>84</v>
      </c>
      <c r="J3347" s="76">
        <v>0</v>
      </c>
    </row>
    <row r="3348" spans="1:10" x14ac:dyDescent="0.35">
      <c r="A3348" t="s">
        <v>14</v>
      </c>
      <c r="B3348" t="s">
        <v>39</v>
      </c>
      <c r="C3348" s="77" t="s">
        <v>90</v>
      </c>
      <c r="D3348" t="s">
        <v>81</v>
      </c>
      <c r="E3348" s="77" t="s">
        <v>115</v>
      </c>
      <c r="F3348" s="77" t="s">
        <v>73</v>
      </c>
      <c r="G3348" s="77" t="s">
        <v>74</v>
      </c>
      <c r="H3348" s="77" t="s">
        <v>102</v>
      </c>
      <c r="I3348" s="77" t="s">
        <v>84</v>
      </c>
      <c r="J3348" s="76" cm="1">
        <f t="array" ref="J3348:J3349">'SUT_EU27 total'!$J$53:$J$54</f>
        <v>7.7904761904761894</v>
      </c>
    </row>
    <row r="3349" spans="1:10" x14ac:dyDescent="0.35">
      <c r="A3349" t="s">
        <v>14</v>
      </c>
      <c r="B3349" t="s">
        <v>39</v>
      </c>
      <c r="C3349" s="77" t="s">
        <v>90</v>
      </c>
      <c r="D3349" t="s">
        <v>81</v>
      </c>
      <c r="E3349" s="77" t="s">
        <v>116</v>
      </c>
      <c r="F3349" s="77" t="s">
        <v>73</v>
      </c>
      <c r="G3349" s="77" t="s">
        <v>74</v>
      </c>
      <c r="H3349" s="77" t="s">
        <v>102</v>
      </c>
      <c r="I3349" s="77" t="s">
        <v>84</v>
      </c>
      <c r="J3349" s="76">
        <v>1.5473889063756709E-2</v>
      </c>
    </row>
    <row r="3350" spans="1:10" x14ac:dyDescent="0.35">
      <c r="A3350" t="s">
        <v>14</v>
      </c>
      <c r="B3350" t="s">
        <v>39</v>
      </c>
      <c r="C3350" s="77" t="s">
        <v>90</v>
      </c>
      <c r="D3350" t="s">
        <v>81</v>
      </c>
      <c r="E3350" s="77" t="s">
        <v>117</v>
      </c>
      <c r="F3350" s="77" t="s">
        <v>73</v>
      </c>
      <c r="G3350" s="77" t="s">
        <v>74</v>
      </c>
      <c r="H3350" s="77" t="s">
        <v>102</v>
      </c>
      <c r="I3350" s="77" t="s">
        <v>84</v>
      </c>
      <c r="J3350" s="76">
        <f>'SUT_EU27 total'!$J$61</f>
        <v>11.2662</v>
      </c>
    </row>
    <row r="3351" spans="1:10" x14ac:dyDescent="0.35">
      <c r="A3351" t="s">
        <v>14</v>
      </c>
      <c r="B3351" t="s">
        <v>39</v>
      </c>
      <c r="C3351" s="77" t="s">
        <v>90</v>
      </c>
      <c r="D3351" t="s">
        <v>81</v>
      </c>
      <c r="E3351" s="77" t="s">
        <v>101</v>
      </c>
      <c r="F3351" s="77" t="s">
        <v>73</v>
      </c>
      <c r="G3351" s="77" t="s">
        <v>74</v>
      </c>
      <c r="H3351" s="77" t="s">
        <v>102</v>
      </c>
      <c r="I3351" s="77" t="s">
        <v>84</v>
      </c>
      <c r="J3351" s="76" cm="1">
        <f t="array" ref="J3351:J3353">'SUT_EU27 total'!$J$66:$J$68</f>
        <v>0</v>
      </c>
    </row>
    <row r="3352" spans="1:10" x14ac:dyDescent="0.35">
      <c r="A3352" t="s">
        <v>14</v>
      </c>
      <c r="B3352" t="s">
        <v>39</v>
      </c>
      <c r="C3352" s="77" t="s">
        <v>90</v>
      </c>
      <c r="D3352" t="s">
        <v>81</v>
      </c>
      <c r="E3352" s="77" t="s">
        <v>104</v>
      </c>
      <c r="F3352" s="77" t="s">
        <v>73</v>
      </c>
      <c r="G3352" s="77" t="s">
        <v>74</v>
      </c>
      <c r="H3352" s="77" t="s">
        <v>102</v>
      </c>
      <c r="I3352" s="77" t="s">
        <v>84</v>
      </c>
      <c r="J3352" s="76">
        <v>0</v>
      </c>
    </row>
    <row r="3353" spans="1:10" x14ac:dyDescent="0.35">
      <c r="A3353" t="s">
        <v>14</v>
      </c>
      <c r="B3353" t="s">
        <v>39</v>
      </c>
      <c r="C3353" s="77" t="s">
        <v>90</v>
      </c>
      <c r="D3353" t="s">
        <v>81</v>
      </c>
      <c r="E3353" s="77" t="s">
        <v>106</v>
      </c>
      <c r="F3353" s="77" t="s">
        <v>73</v>
      </c>
      <c r="G3353" s="77" t="s">
        <v>74</v>
      </c>
      <c r="H3353" s="77" t="s">
        <v>102</v>
      </c>
      <c r="I3353" s="77" t="s">
        <v>84</v>
      </c>
      <c r="J3353" s="76">
        <v>0</v>
      </c>
    </row>
    <row r="3354" spans="1:10" x14ac:dyDescent="0.35">
      <c r="A3354" t="s">
        <v>14</v>
      </c>
      <c r="B3354" t="s">
        <v>39</v>
      </c>
      <c r="C3354" s="77" t="s">
        <v>91</v>
      </c>
      <c r="D3354" t="s">
        <v>81</v>
      </c>
      <c r="E3354" s="77" t="s">
        <v>115</v>
      </c>
      <c r="F3354" s="77" t="s">
        <v>73</v>
      </c>
      <c r="G3354" s="77" t="s">
        <v>74</v>
      </c>
      <c r="H3354" s="77" t="s">
        <v>102</v>
      </c>
      <c r="I3354" s="77" t="s">
        <v>84</v>
      </c>
      <c r="J3354" s="76" cm="1">
        <f t="array" ref="J3354:J3355">'SUT_EU27 total'!$J$70:$J$71</f>
        <v>15.771428571428569</v>
      </c>
    </row>
    <row r="3355" spans="1:10" x14ac:dyDescent="0.35">
      <c r="A3355" t="s">
        <v>14</v>
      </c>
      <c r="B3355" t="s">
        <v>39</v>
      </c>
      <c r="C3355" s="77" t="s">
        <v>91</v>
      </c>
      <c r="D3355" t="s">
        <v>81</v>
      </c>
      <c r="E3355" s="77" t="s">
        <v>116</v>
      </c>
      <c r="F3355" s="77" t="s">
        <v>73</v>
      </c>
      <c r="G3355" s="77" t="s">
        <v>74</v>
      </c>
      <c r="H3355" s="77" t="s">
        <v>102</v>
      </c>
      <c r="I3355" s="77" t="s">
        <v>84</v>
      </c>
      <c r="J3355" s="76">
        <v>8.7507175559917313E-2</v>
      </c>
    </row>
    <row r="3356" spans="1:10" x14ac:dyDescent="0.35">
      <c r="A3356" t="s">
        <v>14</v>
      </c>
      <c r="B3356" t="s">
        <v>39</v>
      </c>
      <c r="C3356" s="77" t="s">
        <v>91</v>
      </c>
      <c r="D3356" t="s">
        <v>81</v>
      </c>
      <c r="E3356" s="77" t="s">
        <v>117</v>
      </c>
      <c r="F3356" s="77" t="s">
        <v>73</v>
      </c>
      <c r="G3356" s="77" t="s">
        <v>74</v>
      </c>
      <c r="H3356" s="77" t="s">
        <v>102</v>
      </c>
      <c r="I3356" s="77" t="s">
        <v>84</v>
      </c>
      <c r="J3356" s="76">
        <f>'SUT_EU27 total'!$J$78</f>
        <v>41.4801</v>
      </c>
    </row>
    <row r="3357" spans="1:10" x14ac:dyDescent="0.35">
      <c r="A3357" t="s">
        <v>14</v>
      </c>
      <c r="B3357" t="s">
        <v>39</v>
      </c>
      <c r="C3357" s="77" t="s">
        <v>91</v>
      </c>
      <c r="D3357" t="s">
        <v>81</v>
      </c>
      <c r="E3357" s="77" t="s">
        <v>101</v>
      </c>
      <c r="F3357" s="77" t="s">
        <v>73</v>
      </c>
      <c r="G3357" s="77" t="s">
        <v>74</v>
      </c>
      <c r="H3357" s="77" t="s">
        <v>102</v>
      </c>
      <c r="I3357" s="77" t="s">
        <v>84</v>
      </c>
      <c r="J3357" s="76" cm="1">
        <f t="array" ref="J3357:J3359">'SUT_EU27 total'!$J$83:$J$85</f>
        <v>0</v>
      </c>
    </row>
    <row r="3358" spans="1:10" x14ac:dyDescent="0.35">
      <c r="A3358" t="s">
        <v>14</v>
      </c>
      <c r="B3358" t="s">
        <v>39</v>
      </c>
      <c r="C3358" s="77" t="s">
        <v>91</v>
      </c>
      <c r="D3358" t="s">
        <v>81</v>
      </c>
      <c r="E3358" s="77" t="s">
        <v>104</v>
      </c>
      <c r="F3358" s="77" t="s">
        <v>73</v>
      </c>
      <c r="G3358" s="77" t="s">
        <v>74</v>
      </c>
      <c r="H3358" s="77" t="s">
        <v>102</v>
      </c>
      <c r="I3358" s="77" t="s">
        <v>84</v>
      </c>
      <c r="J3358" s="76">
        <v>0</v>
      </c>
    </row>
    <row r="3359" spans="1:10" x14ac:dyDescent="0.35">
      <c r="A3359" t="s">
        <v>14</v>
      </c>
      <c r="B3359" t="s">
        <v>39</v>
      </c>
      <c r="C3359" s="77" t="s">
        <v>91</v>
      </c>
      <c r="D3359" t="s">
        <v>81</v>
      </c>
      <c r="E3359" s="77" t="s">
        <v>106</v>
      </c>
      <c r="F3359" s="77" t="s">
        <v>73</v>
      </c>
      <c r="G3359" s="77" t="s">
        <v>74</v>
      </c>
      <c r="H3359" s="77" t="s">
        <v>102</v>
      </c>
      <c r="I3359" s="77" t="s">
        <v>84</v>
      </c>
      <c r="J3359" s="76">
        <v>0</v>
      </c>
    </row>
    <row r="3360" spans="1:10" x14ac:dyDescent="0.35">
      <c r="A3360" t="s">
        <v>14</v>
      </c>
      <c r="B3360" t="s">
        <v>39</v>
      </c>
      <c r="C3360" s="77" t="s">
        <v>92</v>
      </c>
      <c r="D3360" t="s">
        <v>81</v>
      </c>
      <c r="E3360" s="77" t="s">
        <v>115</v>
      </c>
      <c r="F3360" s="77" t="s">
        <v>73</v>
      </c>
      <c r="G3360" s="77" t="s">
        <v>74</v>
      </c>
      <c r="H3360" s="77" t="s">
        <v>102</v>
      </c>
      <c r="I3360" s="77" t="s">
        <v>84</v>
      </c>
      <c r="J3360" s="76" cm="1">
        <f t="array" ref="J3360:J3361">'SUT_EU27 total'!$J$87:$J$88</f>
        <v>6.6239999999999997</v>
      </c>
    </row>
    <row r="3361" spans="1:10" x14ac:dyDescent="0.35">
      <c r="A3361" t="s">
        <v>14</v>
      </c>
      <c r="B3361" t="s">
        <v>39</v>
      </c>
      <c r="C3361" s="77" t="s">
        <v>92</v>
      </c>
      <c r="D3361" t="s">
        <v>81</v>
      </c>
      <c r="E3361" s="77" t="s">
        <v>116</v>
      </c>
      <c r="F3361" s="77" t="s">
        <v>73</v>
      </c>
      <c r="G3361" s="77" t="s">
        <v>74</v>
      </c>
      <c r="H3361" s="77" t="s">
        <v>102</v>
      </c>
      <c r="I3361" s="77" t="s">
        <v>84</v>
      </c>
      <c r="J3361" s="76">
        <v>6.0040746268656714E-2</v>
      </c>
    </row>
    <row r="3362" spans="1:10" x14ac:dyDescent="0.35">
      <c r="A3362" t="s">
        <v>14</v>
      </c>
      <c r="B3362" t="s">
        <v>39</v>
      </c>
      <c r="C3362" s="77" t="s">
        <v>92</v>
      </c>
      <c r="D3362" t="s">
        <v>81</v>
      </c>
      <c r="E3362" s="77" t="s">
        <v>117</v>
      </c>
      <c r="F3362" s="77" t="s">
        <v>73</v>
      </c>
      <c r="G3362" s="77" t="s">
        <v>74</v>
      </c>
      <c r="H3362" s="77" t="s">
        <v>102</v>
      </c>
      <c r="I3362" s="77" t="s">
        <v>84</v>
      </c>
      <c r="J3362" s="76">
        <f>'SUT_EU27 total'!$J$95</f>
        <v>13.3146</v>
      </c>
    </row>
    <row r="3363" spans="1:10" x14ac:dyDescent="0.35">
      <c r="A3363" t="s">
        <v>14</v>
      </c>
      <c r="B3363" t="s">
        <v>39</v>
      </c>
      <c r="C3363" s="77" t="s">
        <v>92</v>
      </c>
      <c r="D3363" t="s">
        <v>81</v>
      </c>
      <c r="E3363" s="77" t="s">
        <v>101</v>
      </c>
      <c r="F3363" s="77" t="s">
        <v>73</v>
      </c>
      <c r="G3363" s="77" t="s">
        <v>74</v>
      </c>
      <c r="H3363" s="77" t="s">
        <v>102</v>
      </c>
      <c r="I3363" s="77" t="s">
        <v>84</v>
      </c>
      <c r="J3363" s="76" cm="1">
        <f t="array" ref="J3363:J3365">'SUT_EU27 total'!$J$100:$J$102</f>
        <v>0</v>
      </c>
    </row>
    <row r="3364" spans="1:10" x14ac:dyDescent="0.35">
      <c r="A3364" t="s">
        <v>14</v>
      </c>
      <c r="B3364" t="s">
        <v>39</v>
      </c>
      <c r="C3364" s="77" t="s">
        <v>92</v>
      </c>
      <c r="D3364" t="s">
        <v>81</v>
      </c>
      <c r="E3364" s="77" t="s">
        <v>104</v>
      </c>
      <c r="F3364" s="77" t="s">
        <v>73</v>
      </c>
      <c r="G3364" s="77" t="s">
        <v>74</v>
      </c>
      <c r="H3364" s="77" t="s">
        <v>102</v>
      </c>
      <c r="I3364" s="77" t="s">
        <v>84</v>
      </c>
      <c r="J3364" s="76">
        <v>0</v>
      </c>
    </row>
    <row r="3365" spans="1:10" x14ac:dyDescent="0.35">
      <c r="A3365" t="s">
        <v>14</v>
      </c>
      <c r="B3365" t="s">
        <v>39</v>
      </c>
      <c r="C3365" s="77" t="s">
        <v>92</v>
      </c>
      <c r="D3365" t="s">
        <v>81</v>
      </c>
      <c r="E3365" s="77" t="s">
        <v>106</v>
      </c>
      <c r="F3365" s="77" t="s">
        <v>73</v>
      </c>
      <c r="G3365" s="77" t="s">
        <v>74</v>
      </c>
      <c r="H3365" s="77" t="s">
        <v>102</v>
      </c>
      <c r="I3365" s="77" t="s">
        <v>84</v>
      </c>
      <c r="J3365" s="76">
        <v>0</v>
      </c>
    </row>
    <row r="3366" spans="1:10" x14ac:dyDescent="0.35">
      <c r="A3366" t="s">
        <v>14</v>
      </c>
      <c r="B3366" t="s">
        <v>39</v>
      </c>
      <c r="C3366" s="77" t="s">
        <v>93</v>
      </c>
      <c r="D3366" t="s">
        <v>81</v>
      </c>
      <c r="E3366" s="77" t="s">
        <v>115</v>
      </c>
      <c r="F3366" s="77" t="s">
        <v>73</v>
      </c>
      <c r="G3366" s="77" t="s">
        <v>74</v>
      </c>
      <c r="H3366" s="77" t="s">
        <v>102</v>
      </c>
      <c r="I3366" s="77" t="s">
        <v>84</v>
      </c>
      <c r="J3366" s="76" cm="1">
        <f t="array" ref="J3366:J3367">'SUT_EU27 total'!$J$104:$J$105</f>
        <v>44.633142857142865</v>
      </c>
    </row>
    <row r="3367" spans="1:10" x14ac:dyDescent="0.35">
      <c r="A3367" t="s">
        <v>14</v>
      </c>
      <c r="B3367" t="s">
        <v>39</v>
      </c>
      <c r="C3367" s="77" t="s">
        <v>93</v>
      </c>
      <c r="D3367" t="s">
        <v>81</v>
      </c>
      <c r="E3367" s="77" t="s">
        <v>116</v>
      </c>
      <c r="F3367" s="77" t="s">
        <v>73</v>
      </c>
      <c r="G3367" s="77" t="s">
        <v>74</v>
      </c>
      <c r="H3367" s="77" t="s">
        <v>102</v>
      </c>
      <c r="I3367" s="77" t="s">
        <v>84</v>
      </c>
      <c r="J3367" s="76">
        <v>0.3673348440311186</v>
      </c>
    </row>
    <row r="3368" spans="1:10" x14ac:dyDescent="0.35">
      <c r="A3368" t="s">
        <v>14</v>
      </c>
      <c r="B3368" t="s">
        <v>39</v>
      </c>
      <c r="C3368" s="77" t="s">
        <v>93</v>
      </c>
      <c r="D3368" t="s">
        <v>81</v>
      </c>
      <c r="E3368" s="77" t="s">
        <v>117</v>
      </c>
      <c r="F3368" s="77" t="s">
        <v>73</v>
      </c>
      <c r="G3368" s="77" t="s">
        <v>74</v>
      </c>
      <c r="H3368" s="77" t="s">
        <v>102</v>
      </c>
      <c r="I3368" s="77" t="s">
        <v>84</v>
      </c>
      <c r="J3368" s="76">
        <f>'SUT_EU27 total'!$J$112</f>
        <v>138.77909999999997</v>
      </c>
    </row>
    <row r="3369" spans="1:10" x14ac:dyDescent="0.35">
      <c r="A3369" t="s">
        <v>14</v>
      </c>
      <c r="B3369" t="s">
        <v>39</v>
      </c>
      <c r="C3369" s="77" t="s">
        <v>93</v>
      </c>
      <c r="D3369" t="s">
        <v>81</v>
      </c>
      <c r="E3369" s="77" t="s">
        <v>101</v>
      </c>
      <c r="F3369" s="77" t="s">
        <v>73</v>
      </c>
      <c r="G3369" s="77" t="s">
        <v>74</v>
      </c>
      <c r="H3369" s="77" t="s">
        <v>102</v>
      </c>
      <c r="I3369" s="77" t="s">
        <v>84</v>
      </c>
      <c r="J3369" s="76" cm="1">
        <f t="array" ref="J3369:J3371">'SUT_EU27 total'!$J$117:$J$119</f>
        <v>0</v>
      </c>
    </row>
    <row r="3370" spans="1:10" x14ac:dyDescent="0.35">
      <c r="A3370" t="s">
        <v>14</v>
      </c>
      <c r="B3370" t="s">
        <v>39</v>
      </c>
      <c r="C3370" s="77" t="s">
        <v>93</v>
      </c>
      <c r="D3370" t="s">
        <v>81</v>
      </c>
      <c r="E3370" s="77" t="s">
        <v>104</v>
      </c>
      <c r="F3370" s="77" t="s">
        <v>73</v>
      </c>
      <c r="G3370" s="77" t="s">
        <v>74</v>
      </c>
      <c r="H3370" s="77" t="s">
        <v>102</v>
      </c>
      <c r="I3370" s="77" t="s">
        <v>84</v>
      </c>
      <c r="J3370" s="76">
        <v>0</v>
      </c>
    </row>
    <row r="3371" spans="1:10" x14ac:dyDescent="0.35">
      <c r="A3371" t="s">
        <v>14</v>
      </c>
      <c r="B3371" t="s">
        <v>39</v>
      </c>
      <c r="C3371" s="77" t="s">
        <v>93</v>
      </c>
      <c r="D3371" t="s">
        <v>81</v>
      </c>
      <c r="E3371" s="77" t="s">
        <v>106</v>
      </c>
      <c r="F3371" s="77" t="s">
        <v>73</v>
      </c>
      <c r="G3371" s="77" t="s">
        <v>74</v>
      </c>
      <c r="H3371" s="77" t="s">
        <v>102</v>
      </c>
      <c r="I3371" s="77" t="s">
        <v>84</v>
      </c>
      <c r="J3371" s="76">
        <v>0</v>
      </c>
    </row>
    <row r="3372" spans="1:10" x14ac:dyDescent="0.35">
      <c r="A3372" t="s">
        <v>14</v>
      </c>
      <c r="B3372" t="s">
        <v>39</v>
      </c>
      <c r="C3372" s="77" t="s">
        <v>73</v>
      </c>
      <c r="D3372" t="s">
        <v>81</v>
      </c>
      <c r="E3372" s="77" t="s">
        <v>118</v>
      </c>
      <c r="F3372" s="77" t="s">
        <v>73</v>
      </c>
      <c r="G3372" s="77" t="s">
        <v>74</v>
      </c>
      <c r="H3372" s="77" t="s">
        <v>108</v>
      </c>
      <c r="I3372" s="77" t="s">
        <v>84</v>
      </c>
      <c r="J3372" s="76" cm="1">
        <f t="array" ref="J3372:J3374">'SUT_EU27 total'!$K$21:$K$23</f>
        <v>1.4582562144772118E-3</v>
      </c>
    </row>
    <row r="3373" spans="1:10" x14ac:dyDescent="0.35">
      <c r="A3373" t="s">
        <v>14</v>
      </c>
      <c r="B3373" t="s">
        <v>39</v>
      </c>
      <c r="C3373" s="77" t="s">
        <v>73</v>
      </c>
      <c r="D3373" t="s">
        <v>81</v>
      </c>
      <c r="E3373" s="77" t="s">
        <v>119</v>
      </c>
      <c r="F3373" s="77" t="s">
        <v>73</v>
      </c>
      <c r="G3373" s="77" t="s">
        <v>74</v>
      </c>
      <c r="H3373" s="77" t="s">
        <v>108</v>
      </c>
      <c r="I3373" s="77" t="s">
        <v>84</v>
      </c>
      <c r="J3373" s="76">
        <v>8.4634636521458274E-4</v>
      </c>
    </row>
    <row r="3374" spans="1:10" x14ac:dyDescent="0.35">
      <c r="A3374" t="s">
        <v>14</v>
      </c>
      <c r="B3374" t="s">
        <v>39</v>
      </c>
      <c r="C3374" s="77" t="s">
        <v>73</v>
      </c>
      <c r="D3374" t="s">
        <v>81</v>
      </c>
      <c r="E3374" s="77" t="s">
        <v>120</v>
      </c>
      <c r="F3374" s="77" t="s">
        <v>73</v>
      </c>
      <c r="G3374" s="77" t="s">
        <v>74</v>
      </c>
      <c r="H3374" s="77" t="s">
        <v>108</v>
      </c>
      <c r="I3374" s="77" t="s">
        <v>84</v>
      </c>
      <c r="J3374" s="76">
        <v>1.2517329093179335E-4</v>
      </c>
    </row>
    <row r="3375" spans="1:10" x14ac:dyDescent="0.35">
      <c r="A3375" t="s">
        <v>14</v>
      </c>
      <c r="B3375" t="s">
        <v>39</v>
      </c>
      <c r="C3375" s="77" t="s">
        <v>73</v>
      </c>
      <c r="D3375" t="s">
        <v>81</v>
      </c>
      <c r="E3375" s="77" t="s">
        <v>121</v>
      </c>
      <c r="F3375" s="77" t="s">
        <v>73</v>
      </c>
      <c r="G3375" s="77" t="s">
        <v>74</v>
      </c>
      <c r="H3375" s="77" t="s">
        <v>108</v>
      </c>
      <c r="I3375" s="77" t="s">
        <v>84</v>
      </c>
      <c r="J3375" s="76">
        <f>'SUT_EU27 total'!$K$25</f>
        <v>6.9749679999999994E-2</v>
      </c>
    </row>
    <row r="3376" spans="1:10" x14ac:dyDescent="0.35">
      <c r="A3376" t="s">
        <v>14</v>
      </c>
      <c r="B3376" t="s">
        <v>39</v>
      </c>
      <c r="C3376" s="77" t="s">
        <v>73</v>
      </c>
      <c r="D3376" t="s">
        <v>81</v>
      </c>
      <c r="E3376" s="77" t="s">
        <v>117</v>
      </c>
      <c r="F3376" s="77" t="s">
        <v>73</v>
      </c>
      <c r="G3376" s="77" t="s">
        <v>74</v>
      </c>
      <c r="H3376" s="77" t="s">
        <v>108</v>
      </c>
      <c r="I3376" s="77" t="s">
        <v>84</v>
      </c>
      <c r="J3376" s="76">
        <f>'SUT_EU27 total'!$K$27</f>
        <v>1.1932942595726979E-3</v>
      </c>
    </row>
    <row r="3377" spans="1:10" x14ac:dyDescent="0.35">
      <c r="A3377" t="s">
        <v>14</v>
      </c>
      <c r="B3377" t="s">
        <v>39</v>
      </c>
      <c r="C3377" s="77" t="s">
        <v>73</v>
      </c>
      <c r="D3377" t="s">
        <v>81</v>
      </c>
      <c r="E3377" s="77" t="s">
        <v>122</v>
      </c>
      <c r="F3377" s="77" t="s">
        <v>73</v>
      </c>
      <c r="G3377" s="77" t="s">
        <v>74</v>
      </c>
      <c r="H3377" s="77" t="s">
        <v>108</v>
      </c>
      <c r="I3377" s="77" t="s">
        <v>84</v>
      </c>
      <c r="J3377" s="76">
        <f>'SUT_EU27 total'!$K$30</f>
        <v>1.5965533412604042E-3</v>
      </c>
    </row>
    <row r="3378" spans="1:10" x14ac:dyDescent="0.35">
      <c r="A3378" t="s">
        <v>14</v>
      </c>
      <c r="B3378" t="s">
        <v>39</v>
      </c>
      <c r="C3378" s="77" t="s">
        <v>73</v>
      </c>
      <c r="D3378" t="s">
        <v>81</v>
      </c>
      <c r="E3378" s="77" t="s">
        <v>101</v>
      </c>
      <c r="F3378" s="77" t="s">
        <v>73</v>
      </c>
      <c r="G3378" s="77" t="s">
        <v>74</v>
      </c>
      <c r="H3378" s="77" t="s">
        <v>108</v>
      </c>
      <c r="I3378" s="77" t="s">
        <v>84</v>
      </c>
      <c r="J3378" s="471" cm="1">
        <f t="array" ref="J3378:J3380">Sensitivity!J89:J91</f>
        <v>9.3634951329599192E-4</v>
      </c>
    </row>
    <row r="3379" spans="1:10" x14ac:dyDescent="0.35">
      <c r="A3379" t="s">
        <v>14</v>
      </c>
      <c r="B3379" t="s">
        <v>39</v>
      </c>
      <c r="C3379" s="77" t="s">
        <v>73</v>
      </c>
      <c r="D3379" t="s">
        <v>81</v>
      </c>
      <c r="E3379" s="77" t="s">
        <v>104</v>
      </c>
      <c r="F3379" s="77" t="s">
        <v>73</v>
      </c>
      <c r="G3379" s="77" t="s">
        <v>74</v>
      </c>
      <c r="H3379" s="77" t="s">
        <v>108</v>
      </c>
      <c r="I3379" s="77" t="s">
        <v>84</v>
      </c>
      <c r="J3379" s="471">
        <v>5.3692979063570611E-4</v>
      </c>
    </row>
    <row r="3380" spans="1:10" x14ac:dyDescent="0.35">
      <c r="A3380" t="s">
        <v>14</v>
      </c>
      <c r="B3380" t="s">
        <v>39</v>
      </c>
      <c r="C3380" s="77" t="s">
        <v>73</v>
      </c>
      <c r="D3380" t="s">
        <v>81</v>
      </c>
      <c r="E3380" s="77" t="s">
        <v>106</v>
      </c>
      <c r="F3380" s="77" t="s">
        <v>73</v>
      </c>
      <c r="G3380" s="77" t="s">
        <v>74</v>
      </c>
      <c r="H3380" s="77" t="s">
        <v>108</v>
      </c>
      <c r="I3380" s="77" t="s">
        <v>84</v>
      </c>
      <c r="J3380" s="471">
        <v>7.9808069606830158E-4</v>
      </c>
    </row>
    <row r="3381" spans="1:10" x14ac:dyDescent="0.35">
      <c r="A3381" t="s">
        <v>14</v>
      </c>
      <c r="B3381" t="s">
        <v>39</v>
      </c>
      <c r="C3381" s="77" t="s">
        <v>88</v>
      </c>
      <c r="D3381" t="s">
        <v>81</v>
      </c>
      <c r="E3381" s="77" t="s">
        <v>118</v>
      </c>
      <c r="F3381" s="77" t="s">
        <v>73</v>
      </c>
      <c r="G3381" s="77" t="s">
        <v>74</v>
      </c>
      <c r="H3381" s="77" t="s">
        <v>108</v>
      </c>
      <c r="I3381" s="77" t="s">
        <v>84</v>
      </c>
      <c r="J3381" s="76" cm="1">
        <f t="array" ref="J3381:J3383">'SUT_EU27 total'!$K$38:$K$40</f>
        <v>3.3029309855227888E-2</v>
      </c>
    </row>
    <row r="3382" spans="1:10" x14ac:dyDescent="0.35">
      <c r="A3382" t="s">
        <v>14</v>
      </c>
      <c r="B3382" t="s">
        <v>39</v>
      </c>
      <c r="C3382" s="77" t="s">
        <v>88</v>
      </c>
      <c r="D3382" t="s">
        <v>81</v>
      </c>
      <c r="E3382" s="77" t="s">
        <v>119</v>
      </c>
      <c r="F3382" s="77" t="s">
        <v>73</v>
      </c>
      <c r="G3382" s="77" t="s">
        <v>74</v>
      </c>
      <c r="H3382" s="77" t="s">
        <v>108</v>
      </c>
      <c r="I3382" s="77" t="s">
        <v>84</v>
      </c>
      <c r="J3382" s="76">
        <v>6.9915569300335089E-3</v>
      </c>
    </row>
    <row r="3383" spans="1:10" x14ac:dyDescent="0.35">
      <c r="A3383" t="s">
        <v>14</v>
      </c>
      <c r="B3383" t="s">
        <v>39</v>
      </c>
      <c r="C3383" s="77" t="s">
        <v>88</v>
      </c>
      <c r="D3383" t="s">
        <v>81</v>
      </c>
      <c r="E3383" s="77" t="s">
        <v>120</v>
      </c>
      <c r="F3383" s="77" t="s">
        <v>73</v>
      </c>
      <c r="G3383" s="77" t="s">
        <v>74</v>
      </c>
      <c r="H3383" s="77" t="s">
        <v>108</v>
      </c>
      <c r="I3383" s="77" t="s">
        <v>84</v>
      </c>
      <c r="J3383" s="76">
        <v>1.5283979779928203E-3</v>
      </c>
    </row>
    <row r="3384" spans="1:10" x14ac:dyDescent="0.35">
      <c r="A3384" t="s">
        <v>14</v>
      </c>
      <c r="B3384" t="s">
        <v>39</v>
      </c>
      <c r="C3384" s="77" t="s">
        <v>88</v>
      </c>
      <c r="D3384" t="s">
        <v>81</v>
      </c>
      <c r="E3384" s="77" t="s">
        <v>121</v>
      </c>
      <c r="F3384" s="77" t="s">
        <v>73</v>
      </c>
      <c r="G3384" s="77" t="s">
        <v>74</v>
      </c>
      <c r="H3384" s="77" t="s">
        <v>108</v>
      </c>
      <c r="I3384" s="77" t="s">
        <v>84</v>
      </c>
      <c r="J3384" s="76">
        <f>'SUT_EU27 total'!$K$42</f>
        <v>0</v>
      </c>
    </row>
    <row r="3385" spans="1:10" x14ac:dyDescent="0.35">
      <c r="A3385" t="s">
        <v>14</v>
      </c>
      <c r="B3385" t="s">
        <v>39</v>
      </c>
      <c r="C3385" s="77" t="s">
        <v>88</v>
      </c>
      <c r="D3385" t="s">
        <v>81</v>
      </c>
      <c r="E3385" s="77" t="s">
        <v>117</v>
      </c>
      <c r="F3385" s="77" t="s">
        <v>73</v>
      </c>
      <c r="G3385" s="77" t="s">
        <v>74</v>
      </c>
      <c r="H3385" s="77" t="s">
        <v>108</v>
      </c>
      <c r="I3385" s="77" t="s">
        <v>84</v>
      </c>
      <c r="J3385" s="76">
        <f>'SUT_EU27 total'!$K$44</f>
        <v>9.9090099874062521E-4</v>
      </c>
    </row>
    <row r="3386" spans="1:10" x14ac:dyDescent="0.35">
      <c r="A3386" t="s">
        <v>14</v>
      </c>
      <c r="B3386" t="s">
        <v>39</v>
      </c>
      <c r="C3386" s="77" t="s">
        <v>88</v>
      </c>
      <c r="D3386" t="s">
        <v>81</v>
      </c>
      <c r="E3386" s="77" t="s">
        <v>122</v>
      </c>
      <c r="F3386" s="77" t="s">
        <v>73</v>
      </c>
      <c r="G3386" s="77" t="s">
        <v>74</v>
      </c>
      <c r="H3386" s="77" t="s">
        <v>108</v>
      </c>
      <c r="I3386" s="77" t="s">
        <v>84</v>
      </c>
      <c r="J3386" s="76">
        <f>'SUT_EU27 total'!$K$47</f>
        <v>0</v>
      </c>
    </row>
    <row r="3387" spans="1:10" x14ac:dyDescent="0.35">
      <c r="A3387" t="s">
        <v>14</v>
      </c>
      <c r="B3387" t="s">
        <v>39</v>
      </c>
      <c r="C3387" s="77" t="s">
        <v>88</v>
      </c>
      <c r="D3387" t="s">
        <v>81</v>
      </c>
      <c r="E3387" s="77" t="s">
        <v>101</v>
      </c>
      <c r="F3387" s="77" t="s">
        <v>73</v>
      </c>
      <c r="G3387" s="77" t="s">
        <v>74</v>
      </c>
      <c r="H3387" s="77" t="s">
        <v>108</v>
      </c>
      <c r="I3387" s="77" t="s">
        <v>84</v>
      </c>
      <c r="J3387" s="76" cm="1">
        <f t="array" ref="J3387:J3389">'SUT_EU27 total'!$K$49:$K$51</f>
        <v>0</v>
      </c>
    </row>
    <row r="3388" spans="1:10" x14ac:dyDescent="0.35">
      <c r="A3388" t="s">
        <v>14</v>
      </c>
      <c r="B3388" t="s">
        <v>39</v>
      </c>
      <c r="C3388" s="77" t="s">
        <v>88</v>
      </c>
      <c r="D3388" t="s">
        <v>81</v>
      </c>
      <c r="E3388" s="77" t="s">
        <v>104</v>
      </c>
      <c r="F3388" s="77" t="s">
        <v>73</v>
      </c>
      <c r="G3388" s="77" t="s">
        <v>74</v>
      </c>
      <c r="H3388" s="77" t="s">
        <v>108</v>
      </c>
      <c r="I3388" s="77" t="s">
        <v>84</v>
      </c>
      <c r="J3388" s="76">
        <v>0</v>
      </c>
    </row>
    <row r="3389" spans="1:10" x14ac:dyDescent="0.35">
      <c r="A3389" t="s">
        <v>14</v>
      </c>
      <c r="B3389" t="s">
        <v>39</v>
      </c>
      <c r="C3389" s="77" t="s">
        <v>88</v>
      </c>
      <c r="D3389" t="s">
        <v>81</v>
      </c>
      <c r="E3389" s="77" t="s">
        <v>106</v>
      </c>
      <c r="F3389" s="77" t="s">
        <v>73</v>
      </c>
      <c r="G3389" s="77" t="s">
        <v>74</v>
      </c>
      <c r="H3389" s="77" t="s">
        <v>108</v>
      </c>
      <c r="I3389" s="77" t="s">
        <v>84</v>
      </c>
      <c r="J3389" s="76">
        <v>0</v>
      </c>
    </row>
    <row r="3390" spans="1:10" x14ac:dyDescent="0.35">
      <c r="A3390" t="s">
        <v>14</v>
      </c>
      <c r="B3390" t="s">
        <v>39</v>
      </c>
      <c r="C3390" s="77" t="s">
        <v>90</v>
      </c>
      <c r="D3390" t="s">
        <v>81</v>
      </c>
      <c r="E3390" s="77" t="s">
        <v>118</v>
      </c>
      <c r="F3390" s="77" t="s">
        <v>73</v>
      </c>
      <c r="G3390" s="77" t="s">
        <v>74</v>
      </c>
      <c r="H3390" s="77" t="s">
        <v>108</v>
      </c>
      <c r="I3390" s="77" t="s">
        <v>84</v>
      </c>
      <c r="J3390" s="76" cm="1">
        <f t="array" ref="J3390:J3392">'SUT_EU27 total'!$K$55:$K$57</f>
        <v>4.323194595174263E-3</v>
      </c>
    </row>
    <row r="3391" spans="1:10" x14ac:dyDescent="0.35">
      <c r="A3391" t="s">
        <v>14</v>
      </c>
      <c r="B3391" t="s">
        <v>39</v>
      </c>
      <c r="C3391" s="77" t="s">
        <v>90</v>
      </c>
      <c r="D3391" t="s">
        <v>81</v>
      </c>
      <c r="E3391" s="77" t="s">
        <v>119</v>
      </c>
      <c r="F3391" s="77" t="s">
        <v>73</v>
      </c>
      <c r="G3391" s="77" t="s">
        <v>74</v>
      </c>
      <c r="H3391" s="77" t="s">
        <v>108</v>
      </c>
      <c r="I3391" s="77" t="s">
        <v>84</v>
      </c>
      <c r="J3391" s="76">
        <v>1.2800331672655335E-3</v>
      </c>
    </row>
    <row r="3392" spans="1:10" x14ac:dyDescent="0.35">
      <c r="A3392" t="s">
        <v>14</v>
      </c>
      <c r="B3392" t="s">
        <v>39</v>
      </c>
      <c r="C3392" s="77" t="s">
        <v>90</v>
      </c>
      <c r="D3392" t="s">
        <v>81</v>
      </c>
      <c r="E3392" s="77" t="s">
        <v>120</v>
      </c>
      <c r="F3392" s="77" t="s">
        <v>73</v>
      </c>
      <c r="G3392" s="77" t="s">
        <v>74</v>
      </c>
      <c r="H3392" s="77" t="s">
        <v>108</v>
      </c>
      <c r="I3392" s="77" t="s">
        <v>84</v>
      </c>
      <c r="J3392" s="76">
        <v>5.6700291220540041E-3</v>
      </c>
    </row>
    <row r="3393" spans="1:10" x14ac:dyDescent="0.35">
      <c r="A3393" t="s">
        <v>14</v>
      </c>
      <c r="B3393" t="s">
        <v>39</v>
      </c>
      <c r="C3393" s="77" t="s">
        <v>90</v>
      </c>
      <c r="D3393" t="s">
        <v>81</v>
      </c>
      <c r="E3393" s="77" t="s">
        <v>121</v>
      </c>
      <c r="F3393" s="77" t="s">
        <v>73</v>
      </c>
      <c r="G3393" s="77" t="s">
        <v>74</v>
      </c>
      <c r="H3393" s="77" t="s">
        <v>108</v>
      </c>
      <c r="I3393" s="77" t="s">
        <v>84</v>
      </c>
      <c r="J3393" s="76">
        <f>'SUT_EU27 total'!$K$59</f>
        <v>0</v>
      </c>
    </row>
    <row r="3394" spans="1:10" x14ac:dyDescent="0.35">
      <c r="A3394" t="s">
        <v>14</v>
      </c>
      <c r="B3394" t="s">
        <v>39</v>
      </c>
      <c r="C3394" s="77" t="s">
        <v>90</v>
      </c>
      <c r="D3394" t="s">
        <v>81</v>
      </c>
      <c r="E3394" s="77" t="s">
        <v>117</v>
      </c>
      <c r="F3394" s="77" t="s">
        <v>73</v>
      </c>
      <c r="G3394" s="77" t="s">
        <v>74</v>
      </c>
      <c r="H3394" s="77" t="s">
        <v>108</v>
      </c>
      <c r="I3394" s="77" t="s">
        <v>84</v>
      </c>
      <c r="J3394" s="76">
        <f>'SUT_EU27 total'!$K$61</f>
        <v>1.1930979242119881E-3</v>
      </c>
    </row>
    <row r="3395" spans="1:10" x14ac:dyDescent="0.35">
      <c r="A3395" t="s">
        <v>14</v>
      </c>
      <c r="B3395" t="s">
        <v>39</v>
      </c>
      <c r="C3395" s="77" t="s">
        <v>90</v>
      </c>
      <c r="D3395" t="s">
        <v>81</v>
      </c>
      <c r="E3395" s="77" t="s">
        <v>122</v>
      </c>
      <c r="F3395" s="77" t="s">
        <v>73</v>
      </c>
      <c r="G3395" s="77" t="s">
        <v>74</v>
      </c>
      <c r="H3395" s="77" t="s">
        <v>108</v>
      </c>
      <c r="I3395" s="77" t="s">
        <v>84</v>
      </c>
      <c r="J3395" s="76">
        <f>'SUT_EU27 total'!$K$64</f>
        <v>2.5776238002378116E-3</v>
      </c>
    </row>
    <row r="3396" spans="1:10" x14ac:dyDescent="0.35">
      <c r="A3396" t="s">
        <v>14</v>
      </c>
      <c r="B3396" t="s">
        <v>39</v>
      </c>
      <c r="C3396" s="77" t="s">
        <v>90</v>
      </c>
      <c r="D3396" t="s">
        <v>81</v>
      </c>
      <c r="E3396" s="77" t="s">
        <v>101</v>
      </c>
      <c r="F3396" s="77" t="s">
        <v>73</v>
      </c>
      <c r="G3396" s="77" t="s">
        <v>74</v>
      </c>
      <c r="H3396" s="77" t="s">
        <v>108</v>
      </c>
      <c r="I3396" s="77" t="s">
        <v>84</v>
      </c>
      <c r="J3396" s="76" cm="1">
        <f t="array" ref="J3396:J3398">'SUT_EU27 total'!$K$66:$K$68</f>
        <v>0</v>
      </c>
    </row>
    <row r="3397" spans="1:10" x14ac:dyDescent="0.35">
      <c r="A3397" t="s">
        <v>14</v>
      </c>
      <c r="B3397" t="s">
        <v>39</v>
      </c>
      <c r="C3397" s="77" t="s">
        <v>90</v>
      </c>
      <c r="D3397" t="s">
        <v>81</v>
      </c>
      <c r="E3397" s="77" t="s">
        <v>104</v>
      </c>
      <c r="F3397" s="77" t="s">
        <v>73</v>
      </c>
      <c r="G3397" s="77" t="s">
        <v>74</v>
      </c>
      <c r="H3397" s="77" t="s">
        <v>108</v>
      </c>
      <c r="I3397" s="77" t="s">
        <v>84</v>
      </c>
      <c r="J3397" s="76">
        <v>0</v>
      </c>
    </row>
    <row r="3398" spans="1:10" x14ac:dyDescent="0.35">
      <c r="A3398" t="s">
        <v>14</v>
      </c>
      <c r="B3398" t="s">
        <v>39</v>
      </c>
      <c r="C3398" s="77" t="s">
        <v>90</v>
      </c>
      <c r="D3398" t="s">
        <v>81</v>
      </c>
      <c r="E3398" s="77" t="s">
        <v>106</v>
      </c>
      <c r="F3398" s="77" t="s">
        <v>73</v>
      </c>
      <c r="G3398" s="77" t="s">
        <v>74</v>
      </c>
      <c r="H3398" s="77" t="s">
        <v>108</v>
      </c>
      <c r="I3398" s="77" t="s">
        <v>84</v>
      </c>
      <c r="J3398" s="76">
        <v>0</v>
      </c>
    </row>
    <row r="3399" spans="1:10" x14ac:dyDescent="0.35">
      <c r="A3399" t="s">
        <v>14</v>
      </c>
      <c r="B3399" t="s">
        <v>39</v>
      </c>
      <c r="C3399" s="77" t="s">
        <v>91</v>
      </c>
      <c r="D3399" t="s">
        <v>81</v>
      </c>
      <c r="E3399" s="77" t="s">
        <v>118</v>
      </c>
      <c r="F3399" s="77" t="s">
        <v>73</v>
      </c>
      <c r="G3399" s="77" t="s">
        <v>74</v>
      </c>
      <c r="H3399" s="77" t="s">
        <v>108</v>
      </c>
      <c r="I3399" s="77" t="s">
        <v>84</v>
      </c>
      <c r="J3399" s="76" cm="1">
        <f t="array" ref="J3399:J3401">'SUT_EU27 total'!$K$72:$K$74</f>
        <v>5.3791732332439677E-3</v>
      </c>
    </row>
    <row r="3400" spans="1:10" x14ac:dyDescent="0.35">
      <c r="A3400" t="s">
        <v>14</v>
      </c>
      <c r="B3400" t="s">
        <v>39</v>
      </c>
      <c r="C3400" s="77" t="s">
        <v>91</v>
      </c>
      <c r="D3400" t="s">
        <v>81</v>
      </c>
      <c r="E3400" s="77" t="s">
        <v>119</v>
      </c>
      <c r="F3400" s="77" t="s">
        <v>73</v>
      </c>
      <c r="G3400" s="77" t="s">
        <v>74</v>
      </c>
      <c r="H3400" s="77" t="s">
        <v>108</v>
      </c>
      <c r="I3400" s="77" t="s">
        <v>84</v>
      </c>
      <c r="J3400" s="76">
        <v>6.5526133182607291E-3</v>
      </c>
    </row>
    <row r="3401" spans="1:10" x14ac:dyDescent="0.35">
      <c r="A3401" t="s">
        <v>14</v>
      </c>
      <c r="B3401" t="s">
        <v>39</v>
      </c>
      <c r="C3401" s="77" t="s">
        <v>91</v>
      </c>
      <c r="D3401" t="s">
        <v>81</v>
      </c>
      <c r="E3401" s="77" t="s">
        <v>120</v>
      </c>
      <c r="F3401" s="77" t="s">
        <v>73</v>
      </c>
      <c r="G3401" s="77" t="s">
        <v>74</v>
      </c>
      <c r="H3401" s="77" t="s">
        <v>108</v>
      </c>
      <c r="I3401" s="77" t="s">
        <v>84</v>
      </c>
      <c r="J3401" s="76">
        <v>2.464950959887623E-4</v>
      </c>
    </row>
    <row r="3402" spans="1:10" x14ac:dyDescent="0.35">
      <c r="A3402" t="s">
        <v>14</v>
      </c>
      <c r="B3402" t="s">
        <v>39</v>
      </c>
      <c r="C3402" s="77" t="s">
        <v>91</v>
      </c>
      <c r="D3402" t="s">
        <v>81</v>
      </c>
      <c r="E3402" s="77" t="s">
        <v>121</v>
      </c>
      <c r="F3402" s="77" t="s">
        <v>73</v>
      </c>
      <c r="G3402" s="77" t="s">
        <v>74</v>
      </c>
      <c r="H3402" s="77" t="s">
        <v>108</v>
      </c>
      <c r="I3402" s="77" t="s">
        <v>84</v>
      </c>
      <c r="J3402" s="76">
        <f>'SUT_EU27 total'!$K$76</f>
        <v>0</v>
      </c>
    </row>
    <row r="3403" spans="1:10" x14ac:dyDescent="0.35">
      <c r="A3403" t="s">
        <v>14</v>
      </c>
      <c r="B3403" t="s">
        <v>39</v>
      </c>
      <c r="C3403" s="77" t="s">
        <v>91</v>
      </c>
      <c r="D3403" t="s">
        <v>81</v>
      </c>
      <c r="E3403" s="77" t="s">
        <v>117</v>
      </c>
      <c r="F3403" s="77" t="s">
        <v>73</v>
      </c>
      <c r="G3403" s="77" t="s">
        <v>74</v>
      </c>
      <c r="H3403" s="77" t="s">
        <v>108</v>
      </c>
      <c r="I3403" s="77" t="s">
        <v>84</v>
      </c>
      <c r="J3403" s="76">
        <f>'SUT_EU27 total'!$K$78</f>
        <v>1.1485683451306521E-3</v>
      </c>
    </row>
    <row r="3404" spans="1:10" x14ac:dyDescent="0.35">
      <c r="A3404" t="s">
        <v>14</v>
      </c>
      <c r="B3404" t="s">
        <v>39</v>
      </c>
      <c r="C3404" s="77" t="s">
        <v>91</v>
      </c>
      <c r="D3404" t="s">
        <v>81</v>
      </c>
      <c r="E3404" s="77" t="s">
        <v>122</v>
      </c>
      <c r="F3404" s="77" t="s">
        <v>73</v>
      </c>
      <c r="G3404" s="77" t="s">
        <v>74</v>
      </c>
      <c r="H3404" s="77" t="s">
        <v>108</v>
      </c>
      <c r="I3404" s="77" t="s">
        <v>84</v>
      </c>
      <c r="J3404" s="76">
        <f>'SUT_EU27 total'!$K$81</f>
        <v>0</v>
      </c>
    </row>
    <row r="3405" spans="1:10" x14ac:dyDescent="0.35">
      <c r="A3405" t="s">
        <v>14</v>
      </c>
      <c r="B3405" t="s">
        <v>39</v>
      </c>
      <c r="C3405" s="77" t="s">
        <v>91</v>
      </c>
      <c r="D3405" t="s">
        <v>81</v>
      </c>
      <c r="E3405" s="77" t="s">
        <v>101</v>
      </c>
      <c r="F3405" s="77" t="s">
        <v>73</v>
      </c>
      <c r="G3405" s="77" t="s">
        <v>74</v>
      </c>
      <c r="H3405" s="77" t="s">
        <v>108</v>
      </c>
      <c r="I3405" s="77" t="s">
        <v>84</v>
      </c>
      <c r="J3405" s="76" cm="1">
        <f t="array" ref="J3405:J3407">'SUT_EU27 total'!$K$83:$K$85</f>
        <v>0</v>
      </c>
    </row>
    <row r="3406" spans="1:10" x14ac:dyDescent="0.35">
      <c r="A3406" t="s">
        <v>14</v>
      </c>
      <c r="B3406" t="s">
        <v>39</v>
      </c>
      <c r="C3406" s="77" t="s">
        <v>91</v>
      </c>
      <c r="D3406" t="s">
        <v>81</v>
      </c>
      <c r="E3406" s="77" t="s">
        <v>104</v>
      </c>
      <c r="F3406" s="77" t="s">
        <v>73</v>
      </c>
      <c r="G3406" s="77" t="s">
        <v>74</v>
      </c>
      <c r="H3406" s="77" t="s">
        <v>108</v>
      </c>
      <c r="I3406" s="77" t="s">
        <v>84</v>
      </c>
      <c r="J3406" s="76">
        <v>0</v>
      </c>
    </row>
    <row r="3407" spans="1:10" x14ac:dyDescent="0.35">
      <c r="A3407" t="s">
        <v>14</v>
      </c>
      <c r="B3407" t="s">
        <v>39</v>
      </c>
      <c r="C3407" s="77" t="s">
        <v>91</v>
      </c>
      <c r="D3407" t="s">
        <v>81</v>
      </c>
      <c r="E3407" s="77" t="s">
        <v>106</v>
      </c>
      <c r="F3407" s="77" t="s">
        <v>73</v>
      </c>
      <c r="G3407" s="77" t="s">
        <v>74</v>
      </c>
      <c r="H3407" s="77" t="s">
        <v>108</v>
      </c>
      <c r="I3407" s="77" t="s">
        <v>84</v>
      </c>
      <c r="J3407" s="76">
        <v>0</v>
      </c>
    </row>
    <row r="3408" spans="1:10" x14ac:dyDescent="0.35">
      <c r="A3408" t="s">
        <v>14</v>
      </c>
      <c r="B3408" t="s">
        <v>39</v>
      </c>
      <c r="C3408" s="77" t="s">
        <v>92</v>
      </c>
      <c r="D3408" t="s">
        <v>81</v>
      </c>
      <c r="E3408" s="77" t="s">
        <v>118</v>
      </c>
      <c r="F3408" s="77" t="s">
        <v>73</v>
      </c>
      <c r="G3408" s="77" t="s">
        <v>74</v>
      </c>
      <c r="H3408" s="77" t="s">
        <v>108</v>
      </c>
      <c r="I3408" s="77" t="s">
        <v>84</v>
      </c>
      <c r="J3408" s="76" cm="1">
        <f t="array" ref="J3408:J3410">'SUT_EU27 total'!$K$89:$K$91</f>
        <v>3.3497344343163542E-3</v>
      </c>
    </row>
    <row r="3409" spans="1:10" x14ac:dyDescent="0.35">
      <c r="A3409" t="s">
        <v>14</v>
      </c>
      <c r="B3409" t="s">
        <v>39</v>
      </c>
      <c r="C3409" s="77" t="s">
        <v>92</v>
      </c>
      <c r="D3409" t="s">
        <v>81</v>
      </c>
      <c r="E3409" s="77" t="s">
        <v>119</v>
      </c>
      <c r="F3409" s="77" t="s">
        <v>73</v>
      </c>
      <c r="G3409" s="77" t="s">
        <v>74</v>
      </c>
      <c r="H3409" s="77" t="s">
        <v>108</v>
      </c>
      <c r="I3409" s="77" t="s">
        <v>84</v>
      </c>
      <c r="J3409" s="76">
        <v>6.0269323460777589E-3</v>
      </c>
    </row>
    <row r="3410" spans="1:10" x14ac:dyDescent="0.35">
      <c r="A3410" t="s">
        <v>14</v>
      </c>
      <c r="B3410" t="s">
        <v>39</v>
      </c>
      <c r="C3410" s="77" t="s">
        <v>92</v>
      </c>
      <c r="D3410" t="s">
        <v>81</v>
      </c>
      <c r="E3410" s="77" t="s">
        <v>120</v>
      </c>
      <c r="F3410" s="77" t="s">
        <v>73</v>
      </c>
      <c r="G3410" s="77" t="s">
        <v>74</v>
      </c>
      <c r="H3410" s="77" t="s">
        <v>108</v>
      </c>
      <c r="I3410" s="77" t="s">
        <v>84</v>
      </c>
      <c r="J3410" s="76">
        <v>4.0947713992508196E-3</v>
      </c>
    </row>
    <row r="3411" spans="1:10" x14ac:dyDescent="0.35">
      <c r="A3411" t="s">
        <v>14</v>
      </c>
      <c r="B3411" t="s">
        <v>39</v>
      </c>
      <c r="C3411" s="77" t="s">
        <v>92</v>
      </c>
      <c r="D3411" t="s">
        <v>81</v>
      </c>
      <c r="E3411" s="77" t="s">
        <v>121</v>
      </c>
      <c r="F3411" s="77" t="s">
        <v>73</v>
      </c>
      <c r="G3411" s="77" t="s">
        <v>74</v>
      </c>
      <c r="H3411" s="77" t="s">
        <v>108</v>
      </c>
      <c r="I3411" s="77" t="s">
        <v>84</v>
      </c>
      <c r="J3411" s="76">
        <f>'SUT_EU27 total'!$K$93</f>
        <v>0</v>
      </c>
    </row>
    <row r="3412" spans="1:10" x14ac:dyDescent="0.35">
      <c r="A3412" t="s">
        <v>14</v>
      </c>
      <c r="B3412" t="s">
        <v>39</v>
      </c>
      <c r="C3412" s="77" t="s">
        <v>92</v>
      </c>
      <c r="D3412" t="s">
        <v>81</v>
      </c>
      <c r="E3412" s="77" t="s">
        <v>117</v>
      </c>
      <c r="F3412" s="77" t="s">
        <v>73</v>
      </c>
      <c r="G3412" s="77" t="s">
        <v>74</v>
      </c>
      <c r="H3412" s="77" t="s">
        <v>108</v>
      </c>
      <c r="I3412" s="77" t="s">
        <v>84</v>
      </c>
      <c r="J3412" s="76">
        <f>'SUT_EU27 total'!$K$95</f>
        <v>0</v>
      </c>
    </row>
    <row r="3413" spans="1:10" x14ac:dyDescent="0.35">
      <c r="A3413" t="s">
        <v>14</v>
      </c>
      <c r="B3413" t="s">
        <v>39</v>
      </c>
      <c r="C3413" s="77" t="s">
        <v>92</v>
      </c>
      <c r="D3413" t="s">
        <v>81</v>
      </c>
      <c r="E3413" s="77" t="s">
        <v>122</v>
      </c>
      <c r="F3413" s="77" t="s">
        <v>73</v>
      </c>
      <c r="G3413" s="77" t="s">
        <v>74</v>
      </c>
      <c r="H3413" s="77" t="s">
        <v>108</v>
      </c>
      <c r="I3413" s="77" t="s">
        <v>84</v>
      </c>
      <c r="J3413" s="76">
        <f>'SUT_EU27 total'!$K$98</f>
        <v>0</v>
      </c>
    </row>
    <row r="3414" spans="1:10" x14ac:dyDescent="0.35">
      <c r="A3414" t="s">
        <v>14</v>
      </c>
      <c r="B3414" t="s">
        <v>39</v>
      </c>
      <c r="C3414" s="77" t="s">
        <v>92</v>
      </c>
      <c r="D3414" t="s">
        <v>81</v>
      </c>
      <c r="E3414" s="77" t="s">
        <v>101</v>
      </c>
      <c r="F3414" s="77" t="s">
        <v>73</v>
      </c>
      <c r="G3414" s="77" t="s">
        <v>74</v>
      </c>
      <c r="H3414" s="77" t="s">
        <v>108</v>
      </c>
      <c r="I3414" s="77" t="s">
        <v>84</v>
      </c>
      <c r="J3414" s="76" cm="1">
        <f t="array" ref="J3414:J3416">'SUT_EU27 total'!$K$100:$K$102</f>
        <v>0</v>
      </c>
    </row>
    <row r="3415" spans="1:10" x14ac:dyDescent="0.35">
      <c r="A3415" t="s">
        <v>14</v>
      </c>
      <c r="B3415" t="s">
        <v>39</v>
      </c>
      <c r="C3415" s="77" t="s">
        <v>92</v>
      </c>
      <c r="D3415" t="s">
        <v>81</v>
      </c>
      <c r="E3415" s="77" t="s">
        <v>104</v>
      </c>
      <c r="F3415" s="77" t="s">
        <v>73</v>
      </c>
      <c r="G3415" s="77" t="s">
        <v>74</v>
      </c>
      <c r="H3415" s="77" t="s">
        <v>108</v>
      </c>
      <c r="I3415" s="77" t="s">
        <v>84</v>
      </c>
      <c r="J3415" s="76">
        <v>0</v>
      </c>
    </row>
    <row r="3416" spans="1:10" x14ac:dyDescent="0.35">
      <c r="A3416" t="s">
        <v>14</v>
      </c>
      <c r="B3416" t="s">
        <v>39</v>
      </c>
      <c r="C3416" s="77" t="s">
        <v>92</v>
      </c>
      <c r="D3416" t="s">
        <v>81</v>
      </c>
      <c r="E3416" s="77" t="s">
        <v>106</v>
      </c>
      <c r="F3416" s="77" t="s">
        <v>73</v>
      </c>
      <c r="G3416" s="77" t="s">
        <v>74</v>
      </c>
      <c r="H3416" s="77" t="s">
        <v>108</v>
      </c>
      <c r="I3416" s="77" t="s">
        <v>84</v>
      </c>
      <c r="J3416" s="76">
        <v>0</v>
      </c>
    </row>
    <row r="3417" spans="1:10" x14ac:dyDescent="0.35">
      <c r="A3417" t="s">
        <v>14</v>
      </c>
      <c r="B3417" t="s">
        <v>39</v>
      </c>
      <c r="C3417" s="77" t="s">
        <v>93</v>
      </c>
      <c r="D3417" t="s">
        <v>81</v>
      </c>
      <c r="E3417" s="77" t="s">
        <v>118</v>
      </c>
      <c r="F3417" s="77" t="s">
        <v>73</v>
      </c>
      <c r="G3417" s="77" t="s">
        <v>74</v>
      </c>
      <c r="H3417" s="77" t="s">
        <v>108</v>
      </c>
      <c r="I3417" s="77" t="s">
        <v>84</v>
      </c>
      <c r="J3417" s="76" cm="1">
        <f t="array" ref="J3417:J3419">'SUT_EU27 total'!$K$106:$K$108</f>
        <v>1.4980971667560324E-2</v>
      </c>
    </row>
    <row r="3418" spans="1:10" x14ac:dyDescent="0.35">
      <c r="A3418" t="s">
        <v>14</v>
      </c>
      <c r="B3418" t="s">
        <v>39</v>
      </c>
      <c r="C3418" s="77" t="s">
        <v>93</v>
      </c>
      <c r="D3418" t="s">
        <v>81</v>
      </c>
      <c r="E3418" s="77" t="s">
        <v>119</v>
      </c>
      <c r="F3418" s="77" t="s">
        <v>73</v>
      </c>
      <c r="G3418" s="77" t="s">
        <v>74</v>
      </c>
      <c r="H3418" s="77" t="s">
        <v>108</v>
      </c>
      <c r="I3418" s="77" t="s">
        <v>84</v>
      </c>
      <c r="J3418" s="76">
        <v>4.3405477873147885E-2</v>
      </c>
    </row>
    <row r="3419" spans="1:10" x14ac:dyDescent="0.35">
      <c r="A3419" t="s">
        <v>14</v>
      </c>
      <c r="B3419" t="s">
        <v>39</v>
      </c>
      <c r="C3419" s="77" t="s">
        <v>93</v>
      </c>
      <c r="D3419" t="s">
        <v>81</v>
      </c>
      <c r="E3419" s="77" t="s">
        <v>120</v>
      </c>
      <c r="F3419" s="77" t="s">
        <v>73</v>
      </c>
      <c r="G3419" s="77" t="s">
        <v>74</v>
      </c>
      <c r="H3419" s="77" t="s">
        <v>108</v>
      </c>
      <c r="I3419" s="77" t="s">
        <v>84</v>
      </c>
      <c r="J3419" s="76">
        <v>2.1237093113781802E-2</v>
      </c>
    </row>
    <row r="3420" spans="1:10" x14ac:dyDescent="0.35">
      <c r="A3420" t="s">
        <v>14</v>
      </c>
      <c r="B3420" t="s">
        <v>39</v>
      </c>
      <c r="C3420" s="77" t="s">
        <v>93</v>
      </c>
      <c r="D3420" t="s">
        <v>81</v>
      </c>
      <c r="E3420" s="77" t="s">
        <v>121</v>
      </c>
      <c r="F3420" s="77" t="s">
        <v>73</v>
      </c>
      <c r="G3420" s="77" t="s">
        <v>74</v>
      </c>
      <c r="H3420" s="77" t="s">
        <v>108</v>
      </c>
      <c r="I3420" s="77" t="s">
        <v>84</v>
      </c>
      <c r="J3420" s="76">
        <f>'SUT_EU27 total'!$K$110</f>
        <v>0</v>
      </c>
    </row>
    <row r="3421" spans="1:10" x14ac:dyDescent="0.35">
      <c r="A3421" t="s">
        <v>14</v>
      </c>
      <c r="B3421" t="s">
        <v>39</v>
      </c>
      <c r="C3421" s="77" t="s">
        <v>93</v>
      </c>
      <c r="D3421" t="s">
        <v>81</v>
      </c>
      <c r="E3421" s="77" t="s">
        <v>117</v>
      </c>
      <c r="F3421" s="77" t="s">
        <v>73</v>
      </c>
      <c r="G3421" s="77" t="s">
        <v>74</v>
      </c>
      <c r="H3421" s="77" t="s">
        <v>108</v>
      </c>
      <c r="I3421" s="77" t="s">
        <v>84</v>
      </c>
      <c r="J3421" s="76">
        <f>'SUT_EU27 total'!$K$112</f>
        <v>1.1930984723440377E-3</v>
      </c>
    </row>
    <row r="3422" spans="1:10" x14ac:dyDescent="0.35">
      <c r="A3422" t="s">
        <v>14</v>
      </c>
      <c r="B3422" t="s">
        <v>39</v>
      </c>
      <c r="C3422" s="77" t="s">
        <v>93</v>
      </c>
      <c r="D3422" t="s">
        <v>81</v>
      </c>
      <c r="E3422" s="77" t="s">
        <v>122</v>
      </c>
      <c r="F3422" s="77" t="s">
        <v>73</v>
      </c>
      <c r="G3422" s="77" t="s">
        <v>74</v>
      </c>
      <c r="H3422" s="77" t="s">
        <v>108</v>
      </c>
      <c r="I3422" s="77" t="s">
        <v>84</v>
      </c>
      <c r="J3422" s="76">
        <f>'SUT_EU27 total'!$K$115</f>
        <v>8.7987828585017833E-3</v>
      </c>
    </row>
    <row r="3423" spans="1:10" x14ac:dyDescent="0.35">
      <c r="A3423" t="s">
        <v>14</v>
      </c>
      <c r="B3423" t="s">
        <v>39</v>
      </c>
      <c r="C3423" s="77" t="s">
        <v>93</v>
      </c>
      <c r="D3423" t="s">
        <v>81</v>
      </c>
      <c r="E3423" s="77" t="s">
        <v>101</v>
      </c>
      <c r="F3423" s="77" t="s">
        <v>73</v>
      </c>
      <c r="G3423" s="77" t="s">
        <v>74</v>
      </c>
      <c r="H3423" s="77" t="s">
        <v>108</v>
      </c>
      <c r="I3423" s="77" t="s">
        <v>84</v>
      </c>
      <c r="J3423" s="76" cm="1">
        <f t="array" ref="J3423:J3425">'SUT_EU27 total'!$K$117:$K$119</f>
        <v>0</v>
      </c>
    </row>
    <row r="3424" spans="1:10" x14ac:dyDescent="0.35">
      <c r="A3424" t="s">
        <v>14</v>
      </c>
      <c r="B3424" t="s">
        <v>39</v>
      </c>
      <c r="C3424" s="77" t="s">
        <v>93</v>
      </c>
      <c r="D3424" t="s">
        <v>81</v>
      </c>
      <c r="E3424" s="77" t="s">
        <v>104</v>
      </c>
      <c r="F3424" s="77" t="s">
        <v>73</v>
      </c>
      <c r="G3424" s="77" t="s">
        <v>74</v>
      </c>
      <c r="H3424" s="77" t="s">
        <v>108</v>
      </c>
      <c r="I3424" s="77" t="s">
        <v>84</v>
      </c>
      <c r="J3424" s="76">
        <v>0</v>
      </c>
    </row>
    <row r="3425" spans="1:10" x14ac:dyDescent="0.35">
      <c r="A3425" t="s">
        <v>14</v>
      </c>
      <c r="B3425" t="s">
        <v>39</v>
      </c>
      <c r="C3425" s="77" t="s">
        <v>93</v>
      </c>
      <c r="D3425" t="s">
        <v>81</v>
      </c>
      <c r="E3425" s="77" t="s">
        <v>106</v>
      </c>
      <c r="F3425" s="77" t="s">
        <v>73</v>
      </c>
      <c r="G3425" s="77" t="s">
        <v>74</v>
      </c>
      <c r="H3425" s="77" t="s">
        <v>108</v>
      </c>
      <c r="I3425" s="77" t="s">
        <v>84</v>
      </c>
      <c r="J3425" s="76">
        <v>0</v>
      </c>
    </row>
    <row r="3426" spans="1:10" x14ac:dyDescent="0.35">
      <c r="A3426" t="s">
        <v>14</v>
      </c>
      <c r="B3426" t="s">
        <v>39</v>
      </c>
      <c r="C3426" s="77" t="s">
        <v>73</v>
      </c>
      <c r="D3426" t="s">
        <v>81</v>
      </c>
      <c r="E3426" s="77" t="s">
        <v>119</v>
      </c>
      <c r="F3426" s="77" t="s">
        <v>73</v>
      </c>
      <c r="G3426" s="77" t="s">
        <v>74</v>
      </c>
      <c r="H3426" s="77" t="s">
        <v>123</v>
      </c>
      <c r="I3426" s="77" t="s">
        <v>84</v>
      </c>
      <c r="J3426" s="76">
        <f>'SUT_EU27 total'!$L$22</f>
        <v>1.9500181678711294E-2</v>
      </c>
    </row>
    <row r="3427" spans="1:10" x14ac:dyDescent="0.35">
      <c r="A3427" t="s">
        <v>14</v>
      </c>
      <c r="B3427" t="s">
        <v>39</v>
      </c>
      <c r="C3427" s="77" t="s">
        <v>73</v>
      </c>
      <c r="D3427" t="s">
        <v>81</v>
      </c>
      <c r="E3427" s="77" t="s">
        <v>124</v>
      </c>
      <c r="F3427" s="77" t="s">
        <v>73</v>
      </c>
      <c r="G3427" s="77" t="s">
        <v>74</v>
      </c>
      <c r="H3427" s="77" t="s">
        <v>123</v>
      </c>
      <c r="I3427" s="77" t="s">
        <v>84</v>
      </c>
      <c r="J3427" s="76" cm="1">
        <f t="array" ref="J3427:J3432">'SUT_EU27 total'!$L$26:$L$31</f>
        <v>1.9404661061278542E-3</v>
      </c>
    </row>
    <row r="3428" spans="1:10" x14ac:dyDescent="0.35">
      <c r="A3428" t="s">
        <v>14</v>
      </c>
      <c r="B3428" t="s">
        <v>39</v>
      </c>
      <c r="C3428" s="77" t="s">
        <v>73</v>
      </c>
      <c r="D3428" t="s">
        <v>81</v>
      </c>
      <c r="E3428" s="77" t="s">
        <v>117</v>
      </c>
      <c r="F3428" s="77" t="s">
        <v>73</v>
      </c>
      <c r="G3428" s="77" t="s">
        <v>74</v>
      </c>
      <c r="H3428" s="77" t="s">
        <v>123</v>
      </c>
      <c r="I3428" s="77" t="s">
        <v>84</v>
      </c>
      <c r="J3428" s="76">
        <v>5.8423628191201782E-3</v>
      </c>
    </row>
    <row r="3429" spans="1:10" x14ac:dyDescent="0.35">
      <c r="A3429" t="s">
        <v>14</v>
      </c>
      <c r="B3429" t="s">
        <v>39</v>
      </c>
      <c r="C3429" s="77" t="s">
        <v>73</v>
      </c>
      <c r="D3429" t="s">
        <v>81</v>
      </c>
      <c r="E3429" s="77" t="s">
        <v>82</v>
      </c>
      <c r="F3429" s="77" t="s">
        <v>73</v>
      </c>
      <c r="G3429" s="77" t="s">
        <v>74</v>
      </c>
      <c r="H3429" s="77" t="s">
        <v>123</v>
      </c>
      <c r="I3429" s="77" t="s">
        <v>84</v>
      </c>
      <c r="J3429" s="76">
        <v>4.8981233243967828E-4</v>
      </c>
    </row>
    <row r="3430" spans="1:10" x14ac:dyDescent="0.35">
      <c r="A3430" t="s">
        <v>14</v>
      </c>
      <c r="B3430" t="s">
        <v>39</v>
      </c>
      <c r="C3430" s="77" t="s">
        <v>73</v>
      </c>
      <c r="D3430" t="s">
        <v>81</v>
      </c>
      <c r="E3430" s="77" t="s">
        <v>125</v>
      </c>
      <c r="F3430" s="77" t="s">
        <v>73</v>
      </c>
      <c r="G3430" s="77" t="s">
        <v>74</v>
      </c>
      <c r="H3430" s="77" t="s">
        <v>123</v>
      </c>
      <c r="I3430" s="77" t="s">
        <v>84</v>
      </c>
      <c r="J3430" s="76">
        <v>2.4658201215687387E-3</v>
      </c>
    </row>
    <row r="3431" spans="1:10" x14ac:dyDescent="0.35">
      <c r="A3431" t="s">
        <v>14</v>
      </c>
      <c r="B3431" t="s">
        <v>39</v>
      </c>
      <c r="C3431" s="77" t="s">
        <v>73</v>
      </c>
      <c r="D3431" t="s">
        <v>81</v>
      </c>
      <c r="E3431" s="77" t="s">
        <v>122</v>
      </c>
      <c r="F3431" s="77" t="s">
        <v>73</v>
      </c>
      <c r="G3431" s="77" t="s">
        <v>74</v>
      </c>
      <c r="H3431" s="77" t="s">
        <v>123</v>
      </c>
      <c r="I3431" s="77" t="s">
        <v>84</v>
      </c>
      <c r="J3431" s="76">
        <v>4.922711058263972E-4</v>
      </c>
    </row>
    <row r="3432" spans="1:10" x14ac:dyDescent="0.35">
      <c r="A3432" t="s">
        <v>14</v>
      </c>
      <c r="B3432" t="s">
        <v>39</v>
      </c>
      <c r="C3432" s="77" t="s">
        <v>73</v>
      </c>
      <c r="D3432" t="s">
        <v>81</v>
      </c>
      <c r="E3432" s="77" t="s">
        <v>126</v>
      </c>
      <c r="F3432" s="77" t="s">
        <v>73</v>
      </c>
      <c r="G3432" s="77" t="s">
        <v>74</v>
      </c>
      <c r="H3432" s="77" t="s">
        <v>123</v>
      </c>
      <c r="I3432" s="77" t="s">
        <v>84</v>
      </c>
      <c r="J3432" s="76">
        <v>0</v>
      </c>
    </row>
    <row r="3433" spans="1:10" x14ac:dyDescent="0.35">
      <c r="A3433" t="s">
        <v>14</v>
      </c>
      <c r="B3433" t="s">
        <v>39</v>
      </c>
      <c r="C3433" s="77" t="s">
        <v>73</v>
      </c>
      <c r="D3433" t="s">
        <v>81</v>
      </c>
      <c r="E3433" s="77" t="s">
        <v>101</v>
      </c>
      <c r="F3433" s="77" t="s">
        <v>73</v>
      </c>
      <c r="G3433" s="77" t="s">
        <v>74</v>
      </c>
      <c r="H3433" s="77" t="s">
        <v>123</v>
      </c>
      <c r="I3433" s="77" t="s">
        <v>84</v>
      </c>
      <c r="J3433" s="471" cm="1">
        <f t="array" ref="J3433:J3435">Sensitivity!J92:J94</f>
        <v>1.4567715973119188E-3</v>
      </c>
    </row>
    <row r="3434" spans="1:10" x14ac:dyDescent="0.35">
      <c r="A3434" t="s">
        <v>14</v>
      </c>
      <c r="B3434" t="s">
        <v>39</v>
      </c>
      <c r="C3434" s="77" t="s">
        <v>73</v>
      </c>
      <c r="D3434" t="s">
        <v>81</v>
      </c>
      <c r="E3434" s="77" t="s">
        <v>104</v>
      </c>
      <c r="F3434" s="77" t="s">
        <v>73</v>
      </c>
      <c r="G3434" s="77" t="s">
        <v>74</v>
      </c>
      <c r="H3434" s="77" t="s">
        <v>123</v>
      </c>
      <c r="I3434" s="77" t="s">
        <v>84</v>
      </c>
      <c r="J3434" s="471">
        <v>8.3535480890614125E-4</v>
      </c>
    </row>
    <row r="3435" spans="1:10" x14ac:dyDescent="0.35">
      <c r="A3435" t="s">
        <v>14</v>
      </c>
      <c r="B3435" t="s">
        <v>39</v>
      </c>
      <c r="C3435" s="77" t="s">
        <v>73</v>
      </c>
      <c r="D3435" t="s">
        <v>81</v>
      </c>
      <c r="E3435" s="77" t="s">
        <v>106</v>
      </c>
      <c r="F3435" s="77" t="s">
        <v>73</v>
      </c>
      <c r="G3435" s="77" t="s">
        <v>74</v>
      </c>
      <c r="H3435" s="77" t="s">
        <v>123</v>
      </c>
      <c r="I3435" s="77" t="s">
        <v>84</v>
      </c>
      <c r="J3435" s="471">
        <v>1.2416531155153262E-3</v>
      </c>
    </row>
    <row r="3436" spans="1:10" x14ac:dyDescent="0.35">
      <c r="A3436" t="s">
        <v>14</v>
      </c>
      <c r="B3436" t="s">
        <v>39</v>
      </c>
      <c r="C3436" s="77" t="s">
        <v>88</v>
      </c>
      <c r="D3436" t="s">
        <v>81</v>
      </c>
      <c r="E3436" s="77" t="s">
        <v>119</v>
      </c>
      <c r="F3436" s="77" t="s">
        <v>73</v>
      </c>
      <c r="G3436" s="77" t="s">
        <v>74</v>
      </c>
      <c r="H3436" s="77" t="s">
        <v>123</v>
      </c>
      <c r="I3436" s="77" t="s">
        <v>84</v>
      </c>
      <c r="J3436" s="76">
        <f>'SUT_EU27 total'!$L$39</f>
        <v>0.16108845734587587</v>
      </c>
    </row>
    <row r="3437" spans="1:10" x14ac:dyDescent="0.35">
      <c r="A3437" t="s">
        <v>14</v>
      </c>
      <c r="B3437" t="s">
        <v>39</v>
      </c>
      <c r="C3437" s="77" t="s">
        <v>88</v>
      </c>
      <c r="D3437" t="s">
        <v>81</v>
      </c>
      <c r="E3437" s="77" t="s">
        <v>124</v>
      </c>
      <c r="F3437" s="77" t="s">
        <v>73</v>
      </c>
      <c r="G3437" s="77" t="s">
        <v>74</v>
      </c>
      <c r="H3437" s="77" t="s">
        <v>123</v>
      </c>
      <c r="I3437" s="77" t="s">
        <v>84</v>
      </c>
      <c r="J3437" s="76" cm="1">
        <f t="array" ref="J3437:J3445">'SUT_EU27 total'!$M$43:$M$51</f>
        <v>5.0558836222750793E-4</v>
      </c>
    </row>
    <row r="3438" spans="1:10" x14ac:dyDescent="0.35">
      <c r="A3438" t="s">
        <v>14</v>
      </c>
      <c r="B3438" t="s">
        <v>39</v>
      </c>
      <c r="C3438" s="77" t="s">
        <v>88</v>
      </c>
      <c r="D3438" t="s">
        <v>81</v>
      </c>
      <c r="E3438" s="77" t="s">
        <v>117</v>
      </c>
      <c r="F3438" s="77" t="s">
        <v>73</v>
      </c>
      <c r="G3438" s="77" t="s">
        <v>74</v>
      </c>
      <c r="H3438" s="77" t="s">
        <v>123</v>
      </c>
      <c r="I3438" s="77" t="s">
        <v>84</v>
      </c>
      <c r="J3438" s="76">
        <v>4.8514464106651379E-3</v>
      </c>
    </row>
    <row r="3439" spans="1:10" x14ac:dyDescent="0.35">
      <c r="A3439" t="s">
        <v>14</v>
      </c>
      <c r="B3439" t="s">
        <v>39</v>
      </c>
      <c r="C3439" s="77" t="s">
        <v>88</v>
      </c>
      <c r="D3439" t="s">
        <v>81</v>
      </c>
      <c r="E3439" s="77" t="s">
        <v>82</v>
      </c>
      <c r="F3439" s="77" t="s">
        <v>73</v>
      </c>
      <c r="G3439" s="77" t="s">
        <v>74</v>
      </c>
      <c r="H3439" s="77" t="s">
        <v>123</v>
      </c>
      <c r="I3439" s="77" t="s">
        <v>84</v>
      </c>
      <c r="J3439" s="76">
        <v>1.109418436791091E-2</v>
      </c>
    </row>
    <row r="3440" spans="1:10" x14ac:dyDescent="0.35">
      <c r="A3440" t="s">
        <v>14</v>
      </c>
      <c r="B3440" t="s">
        <v>39</v>
      </c>
      <c r="C3440" s="77" t="s">
        <v>88</v>
      </c>
      <c r="D3440" t="s">
        <v>81</v>
      </c>
      <c r="E3440" s="77" t="s">
        <v>125</v>
      </c>
      <c r="F3440" s="77" t="s">
        <v>73</v>
      </c>
      <c r="G3440" s="77" t="s">
        <v>74</v>
      </c>
      <c r="H3440" s="77" t="s">
        <v>123</v>
      </c>
      <c r="I3440" s="77" t="s">
        <v>84</v>
      </c>
      <c r="J3440" s="76">
        <v>2.890870278990243E-5</v>
      </c>
    </row>
    <row r="3441" spans="1:10" x14ac:dyDescent="0.35">
      <c r="A3441" t="s">
        <v>14</v>
      </c>
      <c r="B3441" t="s">
        <v>39</v>
      </c>
      <c r="C3441" s="77" t="s">
        <v>88</v>
      </c>
      <c r="D3441" t="s">
        <v>81</v>
      </c>
      <c r="E3441" s="77" t="s">
        <v>122</v>
      </c>
      <c r="F3441" s="77" t="s">
        <v>73</v>
      </c>
      <c r="G3441" s="77" t="s">
        <v>74</v>
      </c>
      <c r="H3441" s="77" t="s">
        <v>123</v>
      </c>
      <c r="I3441" s="77" t="s">
        <v>84</v>
      </c>
      <c r="J3441" s="76">
        <v>0</v>
      </c>
    </row>
    <row r="3442" spans="1:10" x14ac:dyDescent="0.35">
      <c r="A3442" t="s">
        <v>14</v>
      </c>
      <c r="B3442" t="s">
        <v>39</v>
      </c>
      <c r="C3442" s="77" t="s">
        <v>88</v>
      </c>
      <c r="D3442" t="s">
        <v>81</v>
      </c>
      <c r="E3442" s="77" t="s">
        <v>126</v>
      </c>
      <c r="F3442" s="77" t="s">
        <v>73</v>
      </c>
      <c r="G3442" s="77" t="s">
        <v>74</v>
      </c>
      <c r="H3442" s="77" t="s">
        <v>123</v>
      </c>
      <c r="I3442" s="77" t="s">
        <v>84</v>
      </c>
      <c r="J3442" s="76">
        <v>2.8514320987501449E-3</v>
      </c>
    </row>
    <row r="3443" spans="1:10" x14ac:dyDescent="0.35">
      <c r="A3443" t="s">
        <v>14</v>
      </c>
      <c r="B3443" t="s">
        <v>39</v>
      </c>
      <c r="C3443" s="77" t="s">
        <v>88</v>
      </c>
      <c r="D3443" t="s">
        <v>81</v>
      </c>
      <c r="E3443" s="77" t="s">
        <v>101</v>
      </c>
      <c r="F3443" s="77" t="s">
        <v>73</v>
      </c>
      <c r="G3443" s="77" t="s">
        <v>74</v>
      </c>
      <c r="H3443" s="77" t="s">
        <v>123</v>
      </c>
      <c r="I3443" s="77" t="s">
        <v>84</v>
      </c>
      <c r="J3443" s="76">
        <v>0</v>
      </c>
    </row>
    <row r="3444" spans="1:10" x14ac:dyDescent="0.35">
      <c r="A3444" t="s">
        <v>14</v>
      </c>
      <c r="B3444" t="s">
        <v>39</v>
      </c>
      <c r="C3444" s="77" t="s">
        <v>88</v>
      </c>
      <c r="D3444" t="s">
        <v>81</v>
      </c>
      <c r="E3444" s="77" t="s">
        <v>104</v>
      </c>
      <c r="F3444" s="77" t="s">
        <v>73</v>
      </c>
      <c r="G3444" s="77" t="s">
        <v>74</v>
      </c>
      <c r="H3444" s="77" t="s">
        <v>123</v>
      </c>
      <c r="I3444" s="77" t="s">
        <v>84</v>
      </c>
      <c r="J3444" s="76">
        <v>0</v>
      </c>
    </row>
    <row r="3445" spans="1:10" x14ac:dyDescent="0.35">
      <c r="A3445" t="s">
        <v>14</v>
      </c>
      <c r="B3445" t="s">
        <v>39</v>
      </c>
      <c r="C3445" s="77" t="s">
        <v>88</v>
      </c>
      <c r="D3445" t="s">
        <v>81</v>
      </c>
      <c r="E3445" s="77" t="s">
        <v>106</v>
      </c>
      <c r="F3445" s="77" t="s">
        <v>73</v>
      </c>
      <c r="G3445" s="77" t="s">
        <v>74</v>
      </c>
      <c r="H3445" s="77" t="s">
        <v>123</v>
      </c>
      <c r="I3445" s="77" t="s">
        <v>84</v>
      </c>
      <c r="J3445" s="76">
        <v>0</v>
      </c>
    </row>
    <row r="3446" spans="1:10" x14ac:dyDescent="0.35">
      <c r="A3446" t="s">
        <v>14</v>
      </c>
      <c r="B3446" t="s">
        <v>39</v>
      </c>
      <c r="C3446" s="77" t="s">
        <v>90</v>
      </c>
      <c r="D3446" t="s">
        <v>81</v>
      </c>
      <c r="E3446" s="77" t="s">
        <v>119</v>
      </c>
      <c r="F3446" s="77" t="s">
        <v>73</v>
      </c>
      <c r="G3446" s="77" t="s">
        <v>74</v>
      </c>
      <c r="H3446" s="77" t="s">
        <v>123</v>
      </c>
      <c r="I3446" s="77" t="s">
        <v>84</v>
      </c>
      <c r="J3446" s="76">
        <f>'SUT_EU27 total'!$M$56</f>
        <v>2.949251079979006E-2</v>
      </c>
    </row>
    <row r="3447" spans="1:10" x14ac:dyDescent="0.35">
      <c r="A3447" t="s">
        <v>14</v>
      </c>
      <c r="B3447" t="s">
        <v>39</v>
      </c>
      <c r="C3447" s="77" t="s">
        <v>90</v>
      </c>
      <c r="D3447" t="s">
        <v>81</v>
      </c>
      <c r="E3447" s="77" t="s">
        <v>124</v>
      </c>
      <c r="F3447" s="77" t="s">
        <v>73</v>
      </c>
      <c r="G3447" s="77" t="s">
        <v>74</v>
      </c>
      <c r="H3447" s="77" t="s">
        <v>123</v>
      </c>
      <c r="I3447" s="77" t="s">
        <v>84</v>
      </c>
      <c r="J3447" s="76" cm="1">
        <f t="array" ref="J3447:J3455">'SUT_EU27 total'!$L$60:$L$68</f>
        <v>2.1047443073980527E-5</v>
      </c>
    </row>
    <row r="3448" spans="1:10" x14ac:dyDescent="0.35">
      <c r="A3448" t="s">
        <v>14</v>
      </c>
      <c r="B3448" t="s">
        <v>39</v>
      </c>
      <c r="C3448" s="77" t="s">
        <v>90</v>
      </c>
      <c r="D3448" t="s">
        <v>81</v>
      </c>
      <c r="E3448" s="77" t="s">
        <v>117</v>
      </c>
      <c r="F3448" s="77" t="s">
        <v>73</v>
      </c>
      <c r="G3448" s="77" t="s">
        <v>74</v>
      </c>
      <c r="H3448" s="77" t="s">
        <v>123</v>
      </c>
      <c r="I3448" s="77" t="s">
        <v>84</v>
      </c>
      <c r="J3448" s="76">
        <v>5.8414015621608938E-3</v>
      </c>
    </row>
    <row r="3449" spans="1:10" x14ac:dyDescent="0.35">
      <c r="A3449" t="s">
        <v>14</v>
      </c>
      <c r="B3449" t="s">
        <v>39</v>
      </c>
      <c r="C3449" s="77" t="s">
        <v>90</v>
      </c>
      <c r="D3449" t="s">
        <v>81</v>
      </c>
      <c r="E3449" s="77" t="s">
        <v>82</v>
      </c>
      <c r="F3449" s="77" t="s">
        <v>73</v>
      </c>
      <c r="G3449" s="77" t="s">
        <v>74</v>
      </c>
      <c r="H3449" s="77" t="s">
        <v>123</v>
      </c>
      <c r="I3449" s="77" t="s">
        <v>84</v>
      </c>
      <c r="J3449" s="76">
        <v>1.4521138379047227E-3</v>
      </c>
    </row>
    <row r="3450" spans="1:10" x14ac:dyDescent="0.35">
      <c r="A3450" t="s">
        <v>14</v>
      </c>
      <c r="B3450" t="s">
        <v>39</v>
      </c>
      <c r="C3450" s="77" t="s">
        <v>90</v>
      </c>
      <c r="D3450" t="s">
        <v>81</v>
      </c>
      <c r="E3450" s="77" t="s">
        <v>125</v>
      </c>
      <c r="F3450" s="77" t="s">
        <v>73</v>
      </c>
      <c r="G3450" s="77" t="s">
        <v>74</v>
      </c>
      <c r="H3450" s="77" t="s">
        <v>123</v>
      </c>
      <c r="I3450" s="77" t="s">
        <v>84</v>
      </c>
      <c r="J3450" s="76">
        <v>6.5130870114372285E-5</v>
      </c>
    </row>
    <row r="3451" spans="1:10" x14ac:dyDescent="0.35">
      <c r="A3451" t="s">
        <v>14</v>
      </c>
      <c r="B3451" t="s">
        <v>39</v>
      </c>
      <c r="C3451" s="77" t="s">
        <v>90</v>
      </c>
      <c r="D3451" t="s">
        <v>81</v>
      </c>
      <c r="E3451" s="77" t="s">
        <v>122</v>
      </c>
      <c r="F3451" s="77" t="s">
        <v>73</v>
      </c>
      <c r="G3451" s="77" t="s">
        <v>74</v>
      </c>
      <c r="H3451" s="77" t="s">
        <v>123</v>
      </c>
      <c r="I3451" s="77" t="s">
        <v>84</v>
      </c>
      <c r="J3451" s="76">
        <v>7.9476813317479189E-4</v>
      </c>
    </row>
    <row r="3452" spans="1:10" x14ac:dyDescent="0.35">
      <c r="A3452" t="s">
        <v>14</v>
      </c>
      <c r="B3452" t="s">
        <v>39</v>
      </c>
      <c r="C3452" s="77" t="s">
        <v>90</v>
      </c>
      <c r="D3452" t="s">
        <v>81</v>
      </c>
      <c r="E3452" s="77" t="s">
        <v>126</v>
      </c>
      <c r="F3452" s="77" t="s">
        <v>73</v>
      </c>
      <c r="G3452" s="77" t="s">
        <v>74</v>
      </c>
      <c r="H3452" s="77" t="s">
        <v>123</v>
      </c>
      <c r="I3452" s="77" t="s">
        <v>84</v>
      </c>
      <c r="J3452" s="76">
        <v>8.4821183458843076E-3</v>
      </c>
    </row>
    <row r="3453" spans="1:10" x14ac:dyDescent="0.35">
      <c r="A3453" t="s">
        <v>14</v>
      </c>
      <c r="B3453" t="s">
        <v>39</v>
      </c>
      <c r="C3453" s="77" t="s">
        <v>90</v>
      </c>
      <c r="D3453" t="s">
        <v>81</v>
      </c>
      <c r="E3453" s="77" t="s">
        <v>101</v>
      </c>
      <c r="F3453" s="77" t="s">
        <v>73</v>
      </c>
      <c r="G3453" s="77" t="s">
        <v>74</v>
      </c>
      <c r="H3453" s="77" t="s">
        <v>123</v>
      </c>
      <c r="I3453" s="77" t="s">
        <v>84</v>
      </c>
      <c r="J3453" s="76">
        <v>0</v>
      </c>
    </row>
    <row r="3454" spans="1:10" x14ac:dyDescent="0.35">
      <c r="A3454" t="s">
        <v>14</v>
      </c>
      <c r="B3454" t="s">
        <v>39</v>
      </c>
      <c r="C3454" s="77" t="s">
        <v>90</v>
      </c>
      <c r="D3454" t="s">
        <v>81</v>
      </c>
      <c r="E3454" s="77" t="s">
        <v>104</v>
      </c>
      <c r="F3454" s="77" t="s">
        <v>73</v>
      </c>
      <c r="G3454" s="77" t="s">
        <v>74</v>
      </c>
      <c r="H3454" s="77" t="s">
        <v>123</v>
      </c>
      <c r="I3454" s="77" t="s">
        <v>84</v>
      </c>
      <c r="J3454" s="76">
        <v>0</v>
      </c>
    </row>
    <row r="3455" spans="1:10" x14ac:dyDescent="0.35">
      <c r="A3455" t="s">
        <v>14</v>
      </c>
      <c r="B3455" t="s">
        <v>39</v>
      </c>
      <c r="C3455" s="77" t="s">
        <v>90</v>
      </c>
      <c r="D3455" t="s">
        <v>81</v>
      </c>
      <c r="E3455" s="77" t="s">
        <v>106</v>
      </c>
      <c r="F3455" s="77" t="s">
        <v>73</v>
      </c>
      <c r="G3455" s="77" t="s">
        <v>74</v>
      </c>
      <c r="H3455" s="77" t="s">
        <v>123</v>
      </c>
      <c r="I3455" s="77" t="s">
        <v>84</v>
      </c>
      <c r="J3455" s="76">
        <v>0</v>
      </c>
    </row>
    <row r="3456" spans="1:10" x14ac:dyDescent="0.35">
      <c r="A3456" t="s">
        <v>14</v>
      </c>
      <c r="B3456" t="s">
        <v>39</v>
      </c>
      <c r="C3456" s="77" t="s">
        <v>91</v>
      </c>
      <c r="D3456" t="s">
        <v>81</v>
      </c>
      <c r="E3456" s="77" t="s">
        <v>119</v>
      </c>
      <c r="F3456" s="77" t="s">
        <v>73</v>
      </c>
      <c r="G3456" s="77" t="s">
        <v>74</v>
      </c>
      <c r="H3456" s="77" t="s">
        <v>123</v>
      </c>
      <c r="I3456" s="77" t="s">
        <v>84</v>
      </c>
      <c r="J3456" s="76">
        <f>'SUT_EU27 total'!$L$73</f>
        <v>0.15097500908393557</v>
      </c>
    </row>
    <row r="3457" spans="1:10" x14ac:dyDescent="0.35">
      <c r="A3457" t="s">
        <v>14</v>
      </c>
      <c r="B3457" t="s">
        <v>39</v>
      </c>
      <c r="C3457" s="77" t="s">
        <v>91</v>
      </c>
      <c r="D3457" t="s">
        <v>81</v>
      </c>
      <c r="E3457" s="77" t="s">
        <v>124</v>
      </c>
      <c r="F3457" s="77" t="s">
        <v>73</v>
      </c>
      <c r="G3457" s="77" t="s">
        <v>74</v>
      </c>
      <c r="H3457" s="77" t="s">
        <v>123</v>
      </c>
      <c r="I3457" s="77" t="s">
        <v>84</v>
      </c>
      <c r="J3457" s="76" cm="1">
        <f t="array" ref="J3457:J3465">'SUT_EU27 total'!$L$77:$L$85</f>
        <v>6.7728942399646885E-5</v>
      </c>
    </row>
    <row r="3458" spans="1:10" x14ac:dyDescent="0.35">
      <c r="A3458" t="s">
        <v>14</v>
      </c>
      <c r="B3458" t="s">
        <v>39</v>
      </c>
      <c r="C3458" s="77" t="s">
        <v>91</v>
      </c>
      <c r="D3458" t="s">
        <v>81</v>
      </c>
      <c r="E3458" s="77" t="s">
        <v>117</v>
      </c>
      <c r="F3458" s="77" t="s">
        <v>73</v>
      </c>
      <c r="G3458" s="77" t="s">
        <v>74</v>
      </c>
      <c r="H3458" s="77" t="s">
        <v>123</v>
      </c>
      <c r="I3458" s="77" t="s">
        <v>84</v>
      </c>
      <c r="J3458" s="76">
        <v>5.6233849622410815E-3</v>
      </c>
    </row>
    <row r="3459" spans="1:10" x14ac:dyDescent="0.35">
      <c r="A3459" t="s">
        <v>14</v>
      </c>
      <c r="B3459" t="s">
        <v>39</v>
      </c>
      <c r="C3459" s="77" t="s">
        <v>91</v>
      </c>
      <c r="D3459" t="s">
        <v>81</v>
      </c>
      <c r="E3459" s="77" t="s">
        <v>82</v>
      </c>
      <c r="F3459" s="77" t="s">
        <v>73</v>
      </c>
      <c r="G3459" s="77" t="s">
        <v>74</v>
      </c>
      <c r="H3459" s="77" t="s">
        <v>123</v>
      </c>
      <c r="I3459" s="77" t="s">
        <v>84</v>
      </c>
      <c r="J3459" s="76">
        <v>1.8068055269127655E-3</v>
      </c>
    </row>
    <row r="3460" spans="1:10" x14ac:dyDescent="0.35">
      <c r="A3460" t="s">
        <v>14</v>
      </c>
      <c r="B3460" t="s">
        <v>39</v>
      </c>
      <c r="C3460" s="77" t="s">
        <v>91</v>
      </c>
      <c r="D3460" t="s">
        <v>81</v>
      </c>
      <c r="E3460" s="77" t="s">
        <v>125</v>
      </c>
      <c r="F3460" s="77" t="s">
        <v>73</v>
      </c>
      <c r="G3460" s="77" t="s">
        <v>74</v>
      </c>
      <c r="H3460" s="77" t="s">
        <v>123</v>
      </c>
      <c r="I3460" s="77" t="s">
        <v>84</v>
      </c>
      <c r="J3460" s="76">
        <v>5.6492118062760293E-6</v>
      </c>
    </row>
    <row r="3461" spans="1:10" x14ac:dyDescent="0.35">
      <c r="A3461" t="s">
        <v>14</v>
      </c>
      <c r="B3461" t="s">
        <v>39</v>
      </c>
      <c r="C3461" s="77" t="s">
        <v>91</v>
      </c>
      <c r="D3461" t="s">
        <v>81</v>
      </c>
      <c r="E3461" s="77" t="s">
        <v>122</v>
      </c>
      <c r="F3461" s="77" t="s">
        <v>73</v>
      </c>
      <c r="G3461" s="77" t="s">
        <v>74</v>
      </c>
      <c r="H3461" s="77" t="s">
        <v>123</v>
      </c>
      <c r="I3461" s="77" t="s">
        <v>84</v>
      </c>
      <c r="J3461" s="76">
        <v>0</v>
      </c>
    </row>
    <row r="3462" spans="1:10" x14ac:dyDescent="0.35">
      <c r="A3462" t="s">
        <v>14</v>
      </c>
      <c r="B3462" t="s">
        <v>39</v>
      </c>
      <c r="C3462" s="77" t="s">
        <v>91</v>
      </c>
      <c r="D3462" t="s">
        <v>81</v>
      </c>
      <c r="E3462" s="77" t="s">
        <v>126</v>
      </c>
      <c r="F3462" s="77" t="s">
        <v>73</v>
      </c>
      <c r="G3462" s="77" t="s">
        <v>74</v>
      </c>
      <c r="H3462" s="77" t="s">
        <v>123</v>
      </c>
      <c r="I3462" s="77" t="s">
        <v>84</v>
      </c>
      <c r="J3462" s="76">
        <v>8.1093795177776388E-4</v>
      </c>
    </row>
    <row r="3463" spans="1:10" x14ac:dyDescent="0.35">
      <c r="A3463" t="s">
        <v>14</v>
      </c>
      <c r="B3463" t="s">
        <v>39</v>
      </c>
      <c r="C3463" s="77" t="s">
        <v>91</v>
      </c>
      <c r="D3463" t="s">
        <v>81</v>
      </c>
      <c r="E3463" s="77" t="s">
        <v>101</v>
      </c>
      <c r="F3463" s="77" t="s">
        <v>73</v>
      </c>
      <c r="G3463" s="77" t="s">
        <v>74</v>
      </c>
      <c r="H3463" s="77" t="s">
        <v>123</v>
      </c>
      <c r="I3463" s="77" t="s">
        <v>84</v>
      </c>
      <c r="J3463" s="76">
        <v>0</v>
      </c>
    </row>
    <row r="3464" spans="1:10" x14ac:dyDescent="0.35">
      <c r="A3464" t="s">
        <v>14</v>
      </c>
      <c r="B3464" t="s">
        <v>39</v>
      </c>
      <c r="C3464" s="77" t="s">
        <v>91</v>
      </c>
      <c r="D3464" t="s">
        <v>81</v>
      </c>
      <c r="E3464" s="77" t="s">
        <v>104</v>
      </c>
      <c r="F3464" s="77" t="s">
        <v>73</v>
      </c>
      <c r="G3464" s="77" t="s">
        <v>74</v>
      </c>
      <c r="H3464" s="77" t="s">
        <v>123</v>
      </c>
      <c r="I3464" s="77" t="s">
        <v>84</v>
      </c>
      <c r="J3464" s="76">
        <v>0</v>
      </c>
    </row>
    <row r="3465" spans="1:10" x14ac:dyDescent="0.35">
      <c r="A3465" t="s">
        <v>14</v>
      </c>
      <c r="B3465" t="s">
        <v>39</v>
      </c>
      <c r="C3465" s="77" t="s">
        <v>91</v>
      </c>
      <c r="D3465" t="s">
        <v>81</v>
      </c>
      <c r="E3465" s="77" t="s">
        <v>106</v>
      </c>
      <c r="F3465" s="77" t="s">
        <v>73</v>
      </c>
      <c r="G3465" s="77" t="s">
        <v>74</v>
      </c>
      <c r="H3465" s="77" t="s">
        <v>123</v>
      </c>
      <c r="I3465" s="77" t="s">
        <v>84</v>
      </c>
      <c r="J3465" s="76">
        <v>0</v>
      </c>
    </row>
    <row r="3466" spans="1:10" x14ac:dyDescent="0.35">
      <c r="A3466" t="s">
        <v>14</v>
      </c>
      <c r="B3466" t="s">
        <v>39</v>
      </c>
      <c r="C3466" s="77" t="s">
        <v>92</v>
      </c>
      <c r="D3466" t="s">
        <v>81</v>
      </c>
      <c r="E3466" s="77" t="s">
        <v>119</v>
      </c>
      <c r="F3466" s="77" t="s">
        <v>73</v>
      </c>
      <c r="G3466" s="77" t="s">
        <v>74</v>
      </c>
      <c r="H3466" s="77" t="s">
        <v>123</v>
      </c>
      <c r="I3466" s="77" t="s">
        <v>84</v>
      </c>
      <c r="J3466" s="76">
        <f>'SUT_EU27 total'!$L$90</f>
        <v>0.13886309499777949</v>
      </c>
    </row>
    <row r="3467" spans="1:10" x14ac:dyDescent="0.35">
      <c r="A3467" t="s">
        <v>14</v>
      </c>
      <c r="B3467" t="s">
        <v>39</v>
      </c>
      <c r="C3467" s="77" t="s">
        <v>92</v>
      </c>
      <c r="D3467" t="s">
        <v>81</v>
      </c>
      <c r="E3467" s="77" t="s">
        <v>124</v>
      </c>
      <c r="F3467" s="77" t="s">
        <v>73</v>
      </c>
      <c r="G3467" s="77" t="s">
        <v>74</v>
      </c>
      <c r="H3467" s="77" t="s">
        <v>123</v>
      </c>
      <c r="I3467" s="77" t="s">
        <v>84</v>
      </c>
      <c r="J3467" s="76" cm="1">
        <f t="array" ref="J3467:J3475">'SUT_EU27 total'!$L$94:$L$102</f>
        <v>9.2968907089085616E-5</v>
      </c>
    </row>
    <row r="3468" spans="1:10" x14ac:dyDescent="0.35">
      <c r="A3468" t="s">
        <v>14</v>
      </c>
      <c r="B3468" t="s">
        <v>39</v>
      </c>
      <c r="C3468" s="77" t="s">
        <v>92</v>
      </c>
      <c r="D3468" t="s">
        <v>81</v>
      </c>
      <c r="E3468" s="77" t="s">
        <v>117</v>
      </c>
      <c r="F3468" s="77" t="s">
        <v>73</v>
      </c>
      <c r="G3468" s="77" t="s">
        <v>74</v>
      </c>
      <c r="H3468" s="77" t="s">
        <v>123</v>
      </c>
      <c r="I3468" s="77" t="s">
        <v>84</v>
      </c>
      <c r="J3468" s="76">
        <v>0</v>
      </c>
    </row>
    <row r="3469" spans="1:10" x14ac:dyDescent="0.35">
      <c r="A3469" t="s">
        <v>14</v>
      </c>
      <c r="B3469" t="s">
        <v>39</v>
      </c>
      <c r="C3469" s="77" t="s">
        <v>92</v>
      </c>
      <c r="D3469" t="s">
        <v>81</v>
      </c>
      <c r="E3469" s="77" t="s">
        <v>82</v>
      </c>
      <c r="F3469" s="77" t="s">
        <v>73</v>
      </c>
      <c r="G3469" s="77" t="s">
        <v>74</v>
      </c>
      <c r="H3469" s="77" t="s">
        <v>123</v>
      </c>
      <c r="I3469" s="77" t="s">
        <v>84</v>
      </c>
      <c r="J3469" s="76">
        <v>1.1251392039595793E-3</v>
      </c>
    </row>
    <row r="3470" spans="1:10" x14ac:dyDescent="0.35">
      <c r="A3470" t="s">
        <v>14</v>
      </c>
      <c r="B3470" t="s">
        <v>39</v>
      </c>
      <c r="C3470" s="77" t="s">
        <v>92</v>
      </c>
      <c r="D3470" t="s">
        <v>81</v>
      </c>
      <c r="E3470" s="77" t="s">
        <v>125</v>
      </c>
      <c r="F3470" s="77" t="s">
        <v>73</v>
      </c>
      <c r="G3470" s="77" t="s">
        <v>74</v>
      </c>
      <c r="H3470" s="77" t="s">
        <v>123</v>
      </c>
      <c r="I3470" s="77" t="s">
        <v>84</v>
      </c>
      <c r="J3470" s="76">
        <v>5.0048817841215026E-7</v>
      </c>
    </row>
    <row r="3471" spans="1:10" x14ac:dyDescent="0.35">
      <c r="A3471" t="s">
        <v>14</v>
      </c>
      <c r="B3471" t="s">
        <v>39</v>
      </c>
      <c r="C3471" s="77" t="s">
        <v>92</v>
      </c>
      <c r="D3471" t="s">
        <v>81</v>
      </c>
      <c r="E3471" s="77" t="s">
        <v>122</v>
      </c>
      <c r="F3471" s="77" t="s">
        <v>73</v>
      </c>
      <c r="G3471" s="77" t="s">
        <v>74</v>
      </c>
      <c r="H3471" s="77" t="s">
        <v>123</v>
      </c>
      <c r="I3471" s="77" t="s">
        <v>84</v>
      </c>
      <c r="J3471" s="76">
        <v>0</v>
      </c>
    </row>
    <row r="3472" spans="1:10" x14ac:dyDescent="0.35">
      <c r="A3472" t="s">
        <v>14</v>
      </c>
      <c r="B3472" t="s">
        <v>39</v>
      </c>
      <c r="C3472" s="77" t="s">
        <v>92</v>
      </c>
      <c r="D3472" t="s">
        <v>81</v>
      </c>
      <c r="E3472" s="77" t="s">
        <v>126</v>
      </c>
      <c r="F3472" s="77" t="s">
        <v>73</v>
      </c>
      <c r="G3472" s="77" t="s">
        <v>74</v>
      </c>
      <c r="H3472" s="77" t="s">
        <v>123</v>
      </c>
      <c r="I3472" s="77" t="s">
        <v>84</v>
      </c>
      <c r="J3472" s="76">
        <v>0</v>
      </c>
    </row>
    <row r="3473" spans="1:10" x14ac:dyDescent="0.35">
      <c r="A3473" t="s">
        <v>14</v>
      </c>
      <c r="B3473" t="s">
        <v>39</v>
      </c>
      <c r="C3473" s="77" t="s">
        <v>92</v>
      </c>
      <c r="D3473" t="s">
        <v>81</v>
      </c>
      <c r="E3473" s="77" t="s">
        <v>101</v>
      </c>
      <c r="F3473" s="77" t="s">
        <v>73</v>
      </c>
      <c r="G3473" s="77" t="s">
        <v>74</v>
      </c>
      <c r="H3473" s="77" t="s">
        <v>123</v>
      </c>
      <c r="I3473" s="77" t="s">
        <v>84</v>
      </c>
      <c r="J3473" s="76">
        <v>0</v>
      </c>
    </row>
    <row r="3474" spans="1:10" x14ac:dyDescent="0.35">
      <c r="A3474" t="s">
        <v>14</v>
      </c>
      <c r="B3474" t="s">
        <v>39</v>
      </c>
      <c r="C3474" s="77" t="s">
        <v>92</v>
      </c>
      <c r="D3474" t="s">
        <v>81</v>
      </c>
      <c r="E3474" s="77" t="s">
        <v>104</v>
      </c>
      <c r="F3474" s="77" t="s">
        <v>73</v>
      </c>
      <c r="G3474" s="77" t="s">
        <v>74</v>
      </c>
      <c r="H3474" s="77" t="s">
        <v>123</v>
      </c>
      <c r="I3474" s="77" t="s">
        <v>84</v>
      </c>
      <c r="J3474" s="76">
        <v>0</v>
      </c>
    </row>
    <row r="3475" spans="1:10" x14ac:dyDescent="0.35">
      <c r="A3475" t="s">
        <v>14</v>
      </c>
      <c r="B3475" t="s">
        <v>39</v>
      </c>
      <c r="C3475" s="77" t="s">
        <v>92</v>
      </c>
      <c r="D3475" t="s">
        <v>81</v>
      </c>
      <c r="E3475" s="77" t="s">
        <v>106</v>
      </c>
      <c r="F3475" s="77" t="s">
        <v>73</v>
      </c>
      <c r="G3475" s="77" t="s">
        <v>74</v>
      </c>
      <c r="H3475" s="77" t="s">
        <v>123</v>
      </c>
      <c r="I3475" s="77" t="s">
        <v>84</v>
      </c>
      <c r="J3475" s="76">
        <v>0</v>
      </c>
    </row>
    <row r="3476" spans="1:10" x14ac:dyDescent="0.35">
      <c r="A3476" t="s">
        <v>14</v>
      </c>
      <c r="B3476" t="s">
        <v>39</v>
      </c>
      <c r="C3476" s="77" t="s">
        <v>93</v>
      </c>
      <c r="D3476" t="s">
        <v>81</v>
      </c>
      <c r="E3476" s="77" t="s">
        <v>119</v>
      </c>
      <c r="F3476" s="77" t="s">
        <v>73</v>
      </c>
      <c r="G3476" s="77" t="s">
        <v>74</v>
      </c>
      <c r="H3476" s="77" t="s">
        <v>123</v>
      </c>
      <c r="I3476" s="77" t="s">
        <v>84</v>
      </c>
      <c r="J3476" s="76">
        <f>'SUT_EU27 total'!$L$107</f>
        <v>1.0000807460939076</v>
      </c>
    </row>
    <row r="3477" spans="1:10" x14ac:dyDescent="0.35">
      <c r="A3477" t="s">
        <v>14</v>
      </c>
      <c r="B3477" t="s">
        <v>39</v>
      </c>
      <c r="C3477" s="77" t="s">
        <v>93</v>
      </c>
      <c r="D3477" t="s">
        <v>81</v>
      </c>
      <c r="E3477" s="77" t="s">
        <v>124</v>
      </c>
      <c r="F3477" s="77" t="s">
        <v>73</v>
      </c>
      <c r="G3477" s="77" t="s">
        <v>74</v>
      </c>
      <c r="H3477" s="77" t="s">
        <v>123</v>
      </c>
      <c r="I3477" s="77" t="s">
        <v>84</v>
      </c>
      <c r="J3477" s="76" cm="1">
        <f t="array" ref="J3477:J3485">'SUT_EU27 total'!$L$111:$L$119</f>
        <v>3.7052409430862396E-4</v>
      </c>
    </row>
    <row r="3478" spans="1:10" x14ac:dyDescent="0.35">
      <c r="A3478" t="s">
        <v>14</v>
      </c>
      <c r="B3478" t="s">
        <v>39</v>
      </c>
      <c r="C3478" s="77" t="s">
        <v>93</v>
      </c>
      <c r="D3478" t="s">
        <v>81</v>
      </c>
      <c r="E3478" s="77" t="s">
        <v>117</v>
      </c>
      <c r="F3478" s="77" t="s">
        <v>73</v>
      </c>
      <c r="G3478" s="77" t="s">
        <v>74</v>
      </c>
      <c r="H3478" s="77" t="s">
        <v>123</v>
      </c>
      <c r="I3478" s="77" t="s">
        <v>84</v>
      </c>
      <c r="J3478" s="76">
        <v>5.8414042458127093E-3</v>
      </c>
    </row>
    <row r="3479" spans="1:10" x14ac:dyDescent="0.35">
      <c r="A3479" t="s">
        <v>14</v>
      </c>
      <c r="B3479" t="s">
        <v>39</v>
      </c>
      <c r="C3479" s="77" t="s">
        <v>93</v>
      </c>
      <c r="D3479" t="s">
        <v>81</v>
      </c>
      <c r="E3479" s="77" t="s">
        <v>82</v>
      </c>
      <c r="F3479" s="77" t="s">
        <v>73</v>
      </c>
      <c r="G3479" s="77" t="s">
        <v>74</v>
      </c>
      <c r="H3479" s="77" t="s">
        <v>123</v>
      </c>
      <c r="I3479" s="77" t="s">
        <v>84</v>
      </c>
      <c r="J3479" s="76">
        <v>5.0319447308723453E-3</v>
      </c>
    </row>
    <row r="3480" spans="1:10" x14ac:dyDescent="0.35">
      <c r="A3480" t="s">
        <v>14</v>
      </c>
      <c r="B3480" t="s">
        <v>39</v>
      </c>
      <c r="C3480" s="77" t="s">
        <v>93</v>
      </c>
      <c r="D3480" t="s">
        <v>81</v>
      </c>
      <c r="E3480" s="77" t="s">
        <v>125</v>
      </c>
      <c r="F3480" s="77" t="s">
        <v>73</v>
      </c>
      <c r="G3480" s="77" t="s">
        <v>74</v>
      </c>
      <c r="H3480" s="77" t="s">
        <v>123</v>
      </c>
      <c r="I3480" s="77" t="s">
        <v>84</v>
      </c>
      <c r="J3480" s="76">
        <v>4.336096678710085E-4</v>
      </c>
    </row>
    <row r="3481" spans="1:10" x14ac:dyDescent="0.35">
      <c r="A3481" t="s">
        <v>14</v>
      </c>
      <c r="B3481" t="s">
        <v>39</v>
      </c>
      <c r="C3481" s="77" t="s">
        <v>93</v>
      </c>
      <c r="D3481" t="s">
        <v>81</v>
      </c>
      <c r="E3481" s="77" t="s">
        <v>122</v>
      </c>
      <c r="F3481" s="77" t="s">
        <v>73</v>
      </c>
      <c r="G3481" s="77" t="s">
        <v>74</v>
      </c>
      <c r="H3481" s="77" t="s">
        <v>123</v>
      </c>
      <c r="I3481" s="77" t="s">
        <v>84</v>
      </c>
      <c r="J3481" s="76">
        <v>2.7129607609988112E-3</v>
      </c>
    </row>
    <row r="3482" spans="1:10" x14ac:dyDescent="0.35">
      <c r="A3482" t="s">
        <v>14</v>
      </c>
      <c r="B3482" t="s">
        <v>39</v>
      </c>
      <c r="C3482" s="77" t="s">
        <v>93</v>
      </c>
      <c r="D3482" t="s">
        <v>81</v>
      </c>
      <c r="E3482" s="77" t="s">
        <v>126</v>
      </c>
      <c r="F3482" s="77" t="s">
        <v>73</v>
      </c>
      <c r="G3482" s="77" t="s">
        <v>74</v>
      </c>
      <c r="H3482" s="77" t="s">
        <v>123</v>
      </c>
      <c r="I3482" s="77" t="s">
        <v>84</v>
      </c>
      <c r="J3482" s="76">
        <v>4.3855511603587784E-2</v>
      </c>
    </row>
    <row r="3483" spans="1:10" x14ac:dyDescent="0.35">
      <c r="A3483" t="s">
        <v>14</v>
      </c>
      <c r="B3483" t="s">
        <v>39</v>
      </c>
      <c r="C3483" s="77" t="s">
        <v>93</v>
      </c>
      <c r="D3483" t="s">
        <v>81</v>
      </c>
      <c r="E3483" s="77" t="s">
        <v>101</v>
      </c>
      <c r="F3483" s="77" t="s">
        <v>73</v>
      </c>
      <c r="G3483" s="77" t="s">
        <v>74</v>
      </c>
      <c r="H3483" s="77" t="s">
        <v>123</v>
      </c>
      <c r="I3483" s="77" t="s">
        <v>84</v>
      </c>
      <c r="J3483" s="76">
        <v>0</v>
      </c>
    </row>
    <row r="3484" spans="1:10" x14ac:dyDescent="0.35">
      <c r="A3484" t="s">
        <v>14</v>
      </c>
      <c r="B3484" t="s">
        <v>39</v>
      </c>
      <c r="C3484" s="77" t="s">
        <v>93</v>
      </c>
      <c r="D3484" t="s">
        <v>81</v>
      </c>
      <c r="E3484" s="77" t="s">
        <v>104</v>
      </c>
      <c r="F3484" s="77" t="s">
        <v>73</v>
      </c>
      <c r="G3484" s="77" t="s">
        <v>74</v>
      </c>
      <c r="H3484" s="77" t="s">
        <v>123</v>
      </c>
      <c r="I3484" s="77" t="s">
        <v>84</v>
      </c>
      <c r="J3484" s="76">
        <v>0</v>
      </c>
    </row>
    <row r="3485" spans="1:10" x14ac:dyDescent="0.35">
      <c r="A3485" t="s">
        <v>14</v>
      </c>
      <c r="B3485" t="s">
        <v>39</v>
      </c>
      <c r="C3485" s="77" t="s">
        <v>93</v>
      </c>
      <c r="D3485" t="s">
        <v>81</v>
      </c>
      <c r="E3485" s="77" t="s">
        <v>106</v>
      </c>
      <c r="F3485" s="77" t="s">
        <v>73</v>
      </c>
      <c r="G3485" s="77" t="s">
        <v>74</v>
      </c>
      <c r="H3485" s="77" t="s">
        <v>123</v>
      </c>
      <c r="I3485" s="77" t="s">
        <v>84</v>
      </c>
      <c r="J3485" s="76">
        <v>0</v>
      </c>
    </row>
    <row r="3486" spans="1:10" x14ac:dyDescent="0.35">
      <c r="A3486" t="s">
        <v>14</v>
      </c>
      <c r="B3486" t="s">
        <v>39</v>
      </c>
      <c r="C3486" s="77" t="s">
        <v>73</v>
      </c>
      <c r="D3486" t="s">
        <v>81</v>
      </c>
      <c r="E3486" s="77" t="s">
        <v>119</v>
      </c>
      <c r="F3486" s="77" t="s">
        <v>73</v>
      </c>
      <c r="G3486" s="77" t="s">
        <v>74</v>
      </c>
      <c r="H3486" s="77" t="s">
        <v>127</v>
      </c>
      <c r="I3486" s="77" t="s">
        <v>84</v>
      </c>
      <c r="J3486" s="76">
        <f>'SUT_EU27 total'!$M$22</f>
        <v>1.9500181678711294E-2</v>
      </c>
    </row>
    <row r="3487" spans="1:10" x14ac:dyDescent="0.35">
      <c r="A3487" t="s">
        <v>14</v>
      </c>
      <c r="B3487" t="s">
        <v>39</v>
      </c>
      <c r="C3487" s="77" t="s">
        <v>73</v>
      </c>
      <c r="D3487" t="s">
        <v>81</v>
      </c>
      <c r="E3487" s="77" t="s">
        <v>124</v>
      </c>
      <c r="F3487" s="77" t="s">
        <v>73</v>
      </c>
      <c r="G3487" s="77" t="s">
        <v>74</v>
      </c>
      <c r="H3487" s="77" t="s">
        <v>127</v>
      </c>
      <c r="I3487" s="77" t="s">
        <v>84</v>
      </c>
      <c r="J3487" s="76" cm="1">
        <f t="array" ref="J3487:J3492">'SUT_EU27 total'!$M$26:$M$31</f>
        <v>1.9404661061278542E-3</v>
      </c>
    </row>
    <row r="3488" spans="1:10" x14ac:dyDescent="0.35">
      <c r="A3488" t="s">
        <v>14</v>
      </c>
      <c r="B3488" t="s">
        <v>39</v>
      </c>
      <c r="C3488" s="77" t="s">
        <v>73</v>
      </c>
      <c r="D3488" t="s">
        <v>81</v>
      </c>
      <c r="E3488" s="77" t="s">
        <v>117</v>
      </c>
      <c r="F3488" s="77" t="s">
        <v>73</v>
      </c>
      <c r="G3488" s="77" t="s">
        <v>74</v>
      </c>
      <c r="H3488" s="77" t="s">
        <v>127</v>
      </c>
      <c r="I3488" s="77" t="s">
        <v>84</v>
      </c>
      <c r="J3488" s="76">
        <v>5.8423628191201782E-3</v>
      </c>
    </row>
    <row r="3489" spans="1:10" x14ac:dyDescent="0.35">
      <c r="A3489" t="s">
        <v>14</v>
      </c>
      <c r="B3489" t="s">
        <v>39</v>
      </c>
      <c r="C3489" s="77" t="s">
        <v>73</v>
      </c>
      <c r="D3489" t="s">
        <v>81</v>
      </c>
      <c r="E3489" s="77" t="s">
        <v>82</v>
      </c>
      <c r="F3489" s="77" t="s">
        <v>73</v>
      </c>
      <c r="G3489" s="77" t="s">
        <v>74</v>
      </c>
      <c r="H3489" s="77" t="s">
        <v>127</v>
      </c>
      <c r="I3489" s="77" t="s">
        <v>84</v>
      </c>
      <c r="J3489" s="76">
        <v>4.8981233243967828E-4</v>
      </c>
    </row>
    <row r="3490" spans="1:10" x14ac:dyDescent="0.35">
      <c r="A3490" t="s">
        <v>14</v>
      </c>
      <c r="B3490" t="s">
        <v>39</v>
      </c>
      <c r="C3490" s="77" t="s">
        <v>73</v>
      </c>
      <c r="D3490" t="s">
        <v>81</v>
      </c>
      <c r="E3490" s="77" t="s">
        <v>125</v>
      </c>
      <c r="F3490" s="77" t="s">
        <v>73</v>
      </c>
      <c r="G3490" s="77" t="s">
        <v>74</v>
      </c>
      <c r="H3490" s="77" t="s">
        <v>127</v>
      </c>
      <c r="I3490" s="77" t="s">
        <v>84</v>
      </c>
      <c r="J3490" s="76">
        <v>2.4658201215687387E-3</v>
      </c>
    </row>
    <row r="3491" spans="1:10" x14ac:dyDescent="0.35">
      <c r="A3491" t="s">
        <v>14</v>
      </c>
      <c r="B3491" t="s">
        <v>39</v>
      </c>
      <c r="C3491" s="77" t="s">
        <v>73</v>
      </c>
      <c r="D3491" t="s">
        <v>81</v>
      </c>
      <c r="E3491" s="77" t="s">
        <v>122</v>
      </c>
      <c r="F3491" s="77" t="s">
        <v>73</v>
      </c>
      <c r="G3491" s="77" t="s">
        <v>74</v>
      </c>
      <c r="H3491" s="77" t="s">
        <v>127</v>
      </c>
      <c r="I3491" s="77" t="s">
        <v>84</v>
      </c>
      <c r="J3491" s="76">
        <v>4.922711058263972E-4</v>
      </c>
    </row>
    <row r="3492" spans="1:10" x14ac:dyDescent="0.35">
      <c r="A3492" t="s">
        <v>14</v>
      </c>
      <c r="B3492" t="s">
        <v>39</v>
      </c>
      <c r="C3492" s="77" t="s">
        <v>73</v>
      </c>
      <c r="D3492" t="s">
        <v>81</v>
      </c>
      <c r="E3492" s="77" t="s">
        <v>126</v>
      </c>
      <c r="F3492" s="77" t="s">
        <v>73</v>
      </c>
      <c r="G3492" s="77" t="s">
        <v>74</v>
      </c>
      <c r="H3492" s="77" t="s">
        <v>127</v>
      </c>
      <c r="I3492" s="77" t="s">
        <v>84</v>
      </c>
      <c r="J3492" s="76">
        <v>0</v>
      </c>
    </row>
    <row r="3493" spans="1:10" x14ac:dyDescent="0.35">
      <c r="A3493" t="s">
        <v>14</v>
      </c>
      <c r="B3493" t="s">
        <v>39</v>
      </c>
      <c r="C3493" s="77" t="s">
        <v>73</v>
      </c>
      <c r="D3493" t="s">
        <v>81</v>
      </c>
      <c r="E3493" s="77" t="s">
        <v>101</v>
      </c>
      <c r="F3493" s="77" t="s">
        <v>73</v>
      </c>
      <c r="G3493" s="77" t="s">
        <v>74</v>
      </c>
      <c r="H3493" s="77" t="s">
        <v>127</v>
      </c>
      <c r="I3493" s="77" t="s">
        <v>84</v>
      </c>
      <c r="J3493" s="471" cm="1">
        <f t="array" ref="J3493:J3495">Sensitivity!J95:J97</f>
        <v>1.4077232662383567E-3</v>
      </c>
    </row>
    <row r="3494" spans="1:10" x14ac:dyDescent="0.35">
      <c r="A3494" t="s">
        <v>14</v>
      </c>
      <c r="B3494" t="s">
        <v>39</v>
      </c>
      <c r="C3494" s="77" t="s">
        <v>73</v>
      </c>
      <c r="D3494" t="s">
        <v>81</v>
      </c>
      <c r="E3494" s="77" t="s">
        <v>104</v>
      </c>
      <c r="F3494" s="77" t="s">
        <v>73</v>
      </c>
      <c r="G3494" s="77" t="s">
        <v>74</v>
      </c>
      <c r="H3494" s="77" t="s">
        <v>127</v>
      </c>
      <c r="I3494" s="77" t="s">
        <v>84</v>
      </c>
      <c r="J3494" s="471">
        <v>8.0722908260373052E-4</v>
      </c>
    </row>
    <row r="3495" spans="1:10" x14ac:dyDescent="0.35">
      <c r="A3495" t="s">
        <v>14</v>
      </c>
      <c r="B3495" t="s">
        <v>39</v>
      </c>
      <c r="C3495" s="77" t="s">
        <v>73</v>
      </c>
      <c r="D3495" t="s">
        <v>81</v>
      </c>
      <c r="E3495" s="77" t="s">
        <v>106</v>
      </c>
      <c r="F3495" s="77" t="s">
        <v>73</v>
      </c>
      <c r="G3495" s="77" t="s">
        <v>74</v>
      </c>
      <c r="H3495" s="77" t="s">
        <v>127</v>
      </c>
      <c r="I3495" s="77" t="s">
        <v>84</v>
      </c>
      <c r="J3495" s="471">
        <v>1.1998476511579127E-3</v>
      </c>
    </row>
    <row r="3496" spans="1:10" x14ac:dyDescent="0.35">
      <c r="A3496" t="s">
        <v>14</v>
      </c>
      <c r="B3496" t="s">
        <v>39</v>
      </c>
      <c r="C3496" s="77" t="s">
        <v>88</v>
      </c>
      <c r="D3496" t="s">
        <v>81</v>
      </c>
      <c r="E3496" s="77" t="s">
        <v>119</v>
      </c>
      <c r="F3496" s="77" t="s">
        <v>73</v>
      </c>
      <c r="G3496" s="77" t="s">
        <v>74</v>
      </c>
      <c r="H3496" s="77" t="s">
        <v>127</v>
      </c>
      <c r="I3496" s="77" t="s">
        <v>84</v>
      </c>
      <c r="J3496" s="76">
        <f>'SUT_EU27 total'!$M$39</f>
        <v>0.16108845734587587</v>
      </c>
    </row>
    <row r="3497" spans="1:10" x14ac:dyDescent="0.35">
      <c r="A3497" t="s">
        <v>14</v>
      </c>
      <c r="B3497" t="s">
        <v>39</v>
      </c>
      <c r="C3497" s="77" t="s">
        <v>88</v>
      </c>
      <c r="D3497" t="s">
        <v>81</v>
      </c>
      <c r="E3497" s="77" t="s">
        <v>124</v>
      </c>
      <c r="F3497" s="77" t="s">
        <v>73</v>
      </c>
      <c r="G3497" s="77" t="s">
        <v>74</v>
      </c>
      <c r="H3497" s="77" t="s">
        <v>127</v>
      </c>
      <c r="I3497" s="77" t="s">
        <v>84</v>
      </c>
      <c r="J3497" s="76" cm="1">
        <f t="array" ref="J3497:J3505">'SUT_EU27 total'!$L$43:$L$51</f>
        <v>5.0558836222750793E-4</v>
      </c>
    </row>
    <row r="3498" spans="1:10" x14ac:dyDescent="0.35">
      <c r="A3498" t="s">
        <v>14</v>
      </c>
      <c r="B3498" t="s">
        <v>39</v>
      </c>
      <c r="C3498" s="77" t="s">
        <v>88</v>
      </c>
      <c r="D3498" t="s">
        <v>81</v>
      </c>
      <c r="E3498" s="77" t="s">
        <v>117</v>
      </c>
      <c r="F3498" s="77" t="s">
        <v>73</v>
      </c>
      <c r="G3498" s="77" t="s">
        <v>74</v>
      </c>
      <c r="H3498" s="77" t="s">
        <v>127</v>
      </c>
      <c r="I3498" s="77" t="s">
        <v>84</v>
      </c>
      <c r="J3498" s="76">
        <v>4.8514464106651379E-3</v>
      </c>
    </row>
    <row r="3499" spans="1:10" x14ac:dyDescent="0.35">
      <c r="A3499" t="s">
        <v>14</v>
      </c>
      <c r="B3499" t="s">
        <v>39</v>
      </c>
      <c r="C3499" s="77" t="s">
        <v>88</v>
      </c>
      <c r="D3499" t="s">
        <v>81</v>
      </c>
      <c r="E3499" s="77" t="s">
        <v>82</v>
      </c>
      <c r="F3499" s="77" t="s">
        <v>73</v>
      </c>
      <c r="G3499" s="77" t="s">
        <v>74</v>
      </c>
      <c r="H3499" s="77" t="s">
        <v>127</v>
      </c>
      <c r="I3499" s="77" t="s">
        <v>84</v>
      </c>
      <c r="J3499" s="76">
        <v>1.109418436791091E-2</v>
      </c>
    </row>
    <row r="3500" spans="1:10" x14ac:dyDescent="0.35">
      <c r="A3500" t="s">
        <v>14</v>
      </c>
      <c r="B3500" t="s">
        <v>39</v>
      </c>
      <c r="C3500" s="77" t="s">
        <v>88</v>
      </c>
      <c r="D3500" t="s">
        <v>81</v>
      </c>
      <c r="E3500" s="77" t="s">
        <v>125</v>
      </c>
      <c r="F3500" s="77" t="s">
        <v>73</v>
      </c>
      <c r="G3500" s="77" t="s">
        <v>74</v>
      </c>
      <c r="H3500" s="77" t="s">
        <v>127</v>
      </c>
      <c r="I3500" s="77" t="s">
        <v>84</v>
      </c>
      <c r="J3500" s="76">
        <v>2.890870278990243E-5</v>
      </c>
    </row>
    <row r="3501" spans="1:10" x14ac:dyDescent="0.35">
      <c r="A3501" t="s">
        <v>14</v>
      </c>
      <c r="B3501" t="s">
        <v>39</v>
      </c>
      <c r="C3501" s="77" t="s">
        <v>88</v>
      </c>
      <c r="D3501" t="s">
        <v>81</v>
      </c>
      <c r="E3501" s="77" t="s">
        <v>122</v>
      </c>
      <c r="F3501" s="77" t="s">
        <v>73</v>
      </c>
      <c r="G3501" s="77" t="s">
        <v>74</v>
      </c>
      <c r="H3501" s="77" t="s">
        <v>127</v>
      </c>
      <c r="I3501" s="77" t="s">
        <v>84</v>
      </c>
      <c r="J3501" s="76">
        <v>0</v>
      </c>
    </row>
    <row r="3502" spans="1:10" x14ac:dyDescent="0.35">
      <c r="A3502" t="s">
        <v>14</v>
      </c>
      <c r="B3502" t="s">
        <v>39</v>
      </c>
      <c r="C3502" s="77" t="s">
        <v>88</v>
      </c>
      <c r="D3502" t="s">
        <v>81</v>
      </c>
      <c r="E3502" s="77" t="s">
        <v>126</v>
      </c>
      <c r="F3502" s="77" t="s">
        <v>73</v>
      </c>
      <c r="G3502" s="77" t="s">
        <v>74</v>
      </c>
      <c r="H3502" s="77" t="s">
        <v>127</v>
      </c>
      <c r="I3502" s="77" t="s">
        <v>84</v>
      </c>
      <c r="J3502" s="76">
        <v>2.8514320987501449E-3</v>
      </c>
    </row>
    <row r="3503" spans="1:10" x14ac:dyDescent="0.35">
      <c r="A3503" t="s">
        <v>14</v>
      </c>
      <c r="B3503" t="s">
        <v>39</v>
      </c>
      <c r="C3503" s="77" t="s">
        <v>88</v>
      </c>
      <c r="D3503" t="s">
        <v>81</v>
      </c>
      <c r="E3503" s="77" t="s">
        <v>101</v>
      </c>
      <c r="F3503" s="77" t="s">
        <v>73</v>
      </c>
      <c r="G3503" s="77" t="s">
        <v>74</v>
      </c>
      <c r="H3503" s="77" t="s">
        <v>127</v>
      </c>
      <c r="I3503" s="77" t="s">
        <v>84</v>
      </c>
      <c r="J3503" s="76">
        <v>0</v>
      </c>
    </row>
    <row r="3504" spans="1:10" x14ac:dyDescent="0.35">
      <c r="A3504" t="s">
        <v>14</v>
      </c>
      <c r="B3504" t="s">
        <v>39</v>
      </c>
      <c r="C3504" s="77" t="s">
        <v>88</v>
      </c>
      <c r="D3504" t="s">
        <v>81</v>
      </c>
      <c r="E3504" s="77" t="s">
        <v>104</v>
      </c>
      <c r="F3504" s="77" t="s">
        <v>73</v>
      </c>
      <c r="G3504" s="77" t="s">
        <v>74</v>
      </c>
      <c r="H3504" s="77" t="s">
        <v>127</v>
      </c>
      <c r="I3504" s="77" t="s">
        <v>84</v>
      </c>
      <c r="J3504" s="76">
        <v>0</v>
      </c>
    </row>
    <row r="3505" spans="1:10" x14ac:dyDescent="0.35">
      <c r="A3505" t="s">
        <v>14</v>
      </c>
      <c r="B3505" t="s">
        <v>39</v>
      </c>
      <c r="C3505" s="77" t="s">
        <v>88</v>
      </c>
      <c r="D3505" t="s">
        <v>81</v>
      </c>
      <c r="E3505" s="77" t="s">
        <v>106</v>
      </c>
      <c r="F3505" s="77" t="s">
        <v>73</v>
      </c>
      <c r="G3505" s="77" t="s">
        <v>74</v>
      </c>
      <c r="H3505" s="77" t="s">
        <v>127</v>
      </c>
      <c r="I3505" s="77" t="s">
        <v>84</v>
      </c>
      <c r="J3505" s="76">
        <v>0</v>
      </c>
    </row>
    <row r="3506" spans="1:10" x14ac:dyDescent="0.35">
      <c r="A3506" t="s">
        <v>14</v>
      </c>
      <c r="B3506" t="s">
        <v>39</v>
      </c>
      <c r="C3506" s="77" t="s">
        <v>90</v>
      </c>
      <c r="D3506" t="s">
        <v>81</v>
      </c>
      <c r="E3506" s="77" t="s">
        <v>119</v>
      </c>
      <c r="F3506" s="77" t="s">
        <v>73</v>
      </c>
      <c r="G3506" s="77" t="s">
        <v>74</v>
      </c>
      <c r="H3506" s="77" t="s">
        <v>127</v>
      </c>
      <c r="I3506" s="77" t="s">
        <v>84</v>
      </c>
      <c r="J3506" s="76">
        <f>'SUT_EU27 total'!$M$56</f>
        <v>2.949251079979006E-2</v>
      </c>
    </row>
    <row r="3507" spans="1:10" x14ac:dyDescent="0.35">
      <c r="A3507" t="s">
        <v>14</v>
      </c>
      <c r="B3507" t="s">
        <v>39</v>
      </c>
      <c r="C3507" s="77" t="s">
        <v>90</v>
      </c>
      <c r="D3507" t="s">
        <v>81</v>
      </c>
      <c r="E3507" s="77" t="s">
        <v>124</v>
      </c>
      <c r="F3507" s="77" t="s">
        <v>73</v>
      </c>
      <c r="G3507" s="77" t="s">
        <v>74</v>
      </c>
      <c r="H3507" s="77" t="s">
        <v>127</v>
      </c>
      <c r="I3507" s="77" t="s">
        <v>84</v>
      </c>
      <c r="J3507" s="76" cm="1">
        <f t="array" ref="J3507:J3515">'SUT_EU27 total'!$M$60:$M$68</f>
        <v>2.1047443073980527E-5</v>
      </c>
    </row>
    <row r="3508" spans="1:10" x14ac:dyDescent="0.35">
      <c r="A3508" t="s">
        <v>14</v>
      </c>
      <c r="B3508" t="s">
        <v>39</v>
      </c>
      <c r="C3508" s="77" t="s">
        <v>90</v>
      </c>
      <c r="D3508" t="s">
        <v>81</v>
      </c>
      <c r="E3508" s="77" t="s">
        <v>117</v>
      </c>
      <c r="F3508" s="77" t="s">
        <v>73</v>
      </c>
      <c r="G3508" s="77" t="s">
        <v>74</v>
      </c>
      <c r="H3508" s="77" t="s">
        <v>127</v>
      </c>
      <c r="I3508" s="77" t="s">
        <v>84</v>
      </c>
      <c r="J3508" s="76">
        <v>5.8414015621608938E-3</v>
      </c>
    </row>
    <row r="3509" spans="1:10" x14ac:dyDescent="0.35">
      <c r="A3509" t="s">
        <v>14</v>
      </c>
      <c r="B3509" t="s">
        <v>39</v>
      </c>
      <c r="C3509" s="77" t="s">
        <v>90</v>
      </c>
      <c r="D3509" t="s">
        <v>81</v>
      </c>
      <c r="E3509" s="77" t="s">
        <v>82</v>
      </c>
      <c r="F3509" s="77" t="s">
        <v>73</v>
      </c>
      <c r="G3509" s="77" t="s">
        <v>74</v>
      </c>
      <c r="H3509" s="77" t="s">
        <v>127</v>
      </c>
      <c r="I3509" s="77" t="s">
        <v>84</v>
      </c>
      <c r="J3509" s="76">
        <v>1.4521138379047227E-3</v>
      </c>
    </row>
    <row r="3510" spans="1:10" x14ac:dyDescent="0.35">
      <c r="A3510" t="s">
        <v>14</v>
      </c>
      <c r="B3510" t="s">
        <v>39</v>
      </c>
      <c r="C3510" s="77" t="s">
        <v>90</v>
      </c>
      <c r="D3510" t="s">
        <v>81</v>
      </c>
      <c r="E3510" s="77" t="s">
        <v>125</v>
      </c>
      <c r="F3510" s="77" t="s">
        <v>73</v>
      </c>
      <c r="G3510" s="77" t="s">
        <v>74</v>
      </c>
      <c r="H3510" s="77" t="s">
        <v>127</v>
      </c>
      <c r="I3510" s="77" t="s">
        <v>84</v>
      </c>
      <c r="J3510" s="76">
        <v>6.5130870114372285E-5</v>
      </c>
    </row>
    <row r="3511" spans="1:10" x14ac:dyDescent="0.35">
      <c r="A3511" t="s">
        <v>14</v>
      </c>
      <c r="B3511" t="s">
        <v>39</v>
      </c>
      <c r="C3511" s="77" t="s">
        <v>90</v>
      </c>
      <c r="D3511" t="s">
        <v>81</v>
      </c>
      <c r="E3511" s="77" t="s">
        <v>122</v>
      </c>
      <c r="F3511" s="77" t="s">
        <v>73</v>
      </c>
      <c r="G3511" s="77" t="s">
        <v>74</v>
      </c>
      <c r="H3511" s="77" t="s">
        <v>127</v>
      </c>
      <c r="I3511" s="77" t="s">
        <v>84</v>
      </c>
      <c r="J3511" s="76">
        <v>7.9476813317479189E-4</v>
      </c>
    </row>
    <row r="3512" spans="1:10" x14ac:dyDescent="0.35">
      <c r="A3512" t="s">
        <v>14</v>
      </c>
      <c r="B3512" t="s">
        <v>39</v>
      </c>
      <c r="C3512" s="77" t="s">
        <v>90</v>
      </c>
      <c r="D3512" t="s">
        <v>81</v>
      </c>
      <c r="E3512" s="77" t="s">
        <v>126</v>
      </c>
      <c r="F3512" s="77" t="s">
        <v>73</v>
      </c>
      <c r="G3512" s="77" t="s">
        <v>74</v>
      </c>
      <c r="H3512" s="77" t="s">
        <v>127</v>
      </c>
      <c r="I3512" s="77" t="s">
        <v>84</v>
      </c>
      <c r="J3512" s="76">
        <v>8.4821183458843076E-3</v>
      </c>
    </row>
    <row r="3513" spans="1:10" x14ac:dyDescent="0.35">
      <c r="A3513" t="s">
        <v>14</v>
      </c>
      <c r="B3513" t="s">
        <v>39</v>
      </c>
      <c r="C3513" s="77" t="s">
        <v>90</v>
      </c>
      <c r="D3513" t="s">
        <v>81</v>
      </c>
      <c r="E3513" s="77" t="s">
        <v>101</v>
      </c>
      <c r="F3513" s="77" t="s">
        <v>73</v>
      </c>
      <c r="G3513" s="77" t="s">
        <v>74</v>
      </c>
      <c r="H3513" s="77" t="s">
        <v>127</v>
      </c>
      <c r="I3513" s="77" t="s">
        <v>84</v>
      </c>
      <c r="J3513" s="76">
        <v>0</v>
      </c>
    </row>
    <row r="3514" spans="1:10" x14ac:dyDescent="0.35">
      <c r="A3514" t="s">
        <v>14</v>
      </c>
      <c r="B3514" t="s">
        <v>39</v>
      </c>
      <c r="C3514" s="77" t="s">
        <v>90</v>
      </c>
      <c r="D3514" t="s">
        <v>81</v>
      </c>
      <c r="E3514" s="77" t="s">
        <v>104</v>
      </c>
      <c r="F3514" s="77" t="s">
        <v>73</v>
      </c>
      <c r="G3514" s="77" t="s">
        <v>74</v>
      </c>
      <c r="H3514" s="77" t="s">
        <v>127</v>
      </c>
      <c r="I3514" s="77" t="s">
        <v>84</v>
      </c>
      <c r="J3514" s="76">
        <v>0</v>
      </c>
    </row>
    <row r="3515" spans="1:10" x14ac:dyDescent="0.35">
      <c r="A3515" t="s">
        <v>14</v>
      </c>
      <c r="B3515" t="s">
        <v>39</v>
      </c>
      <c r="C3515" s="77" t="s">
        <v>90</v>
      </c>
      <c r="D3515" t="s">
        <v>81</v>
      </c>
      <c r="E3515" s="77" t="s">
        <v>106</v>
      </c>
      <c r="F3515" s="77" t="s">
        <v>73</v>
      </c>
      <c r="G3515" s="77" t="s">
        <v>74</v>
      </c>
      <c r="H3515" s="77" t="s">
        <v>127</v>
      </c>
      <c r="I3515" s="77" t="s">
        <v>84</v>
      </c>
      <c r="J3515" s="76">
        <v>0</v>
      </c>
    </row>
    <row r="3516" spans="1:10" x14ac:dyDescent="0.35">
      <c r="A3516" t="s">
        <v>14</v>
      </c>
      <c r="B3516" t="s">
        <v>39</v>
      </c>
      <c r="C3516" s="77" t="s">
        <v>91</v>
      </c>
      <c r="D3516" t="s">
        <v>81</v>
      </c>
      <c r="E3516" s="77" t="s">
        <v>119</v>
      </c>
      <c r="F3516" s="77" t="s">
        <v>73</v>
      </c>
      <c r="G3516" s="77" t="s">
        <v>74</v>
      </c>
      <c r="H3516" s="77" t="s">
        <v>127</v>
      </c>
      <c r="I3516" s="77" t="s">
        <v>84</v>
      </c>
      <c r="J3516" s="76">
        <f>'SUT_EU27 total'!$M$73</f>
        <v>0.15097500908393557</v>
      </c>
    </row>
    <row r="3517" spans="1:10" x14ac:dyDescent="0.35">
      <c r="A3517" t="s">
        <v>14</v>
      </c>
      <c r="B3517" t="s">
        <v>39</v>
      </c>
      <c r="C3517" s="77" t="s">
        <v>91</v>
      </c>
      <c r="D3517" t="s">
        <v>81</v>
      </c>
      <c r="E3517" s="77" t="s">
        <v>124</v>
      </c>
      <c r="F3517" s="77" t="s">
        <v>73</v>
      </c>
      <c r="G3517" s="77" t="s">
        <v>74</v>
      </c>
      <c r="H3517" s="77" t="s">
        <v>127</v>
      </c>
      <c r="I3517" s="77" t="s">
        <v>84</v>
      </c>
      <c r="J3517" s="76" cm="1">
        <f t="array" ref="J3517:J3525">'SUT_EU27 total'!$M$77:$M$85</f>
        <v>6.7728942399646885E-5</v>
      </c>
    </row>
    <row r="3518" spans="1:10" x14ac:dyDescent="0.35">
      <c r="A3518" t="s">
        <v>14</v>
      </c>
      <c r="B3518" t="s">
        <v>39</v>
      </c>
      <c r="C3518" s="77" t="s">
        <v>91</v>
      </c>
      <c r="D3518" t="s">
        <v>81</v>
      </c>
      <c r="E3518" s="77" t="s">
        <v>117</v>
      </c>
      <c r="F3518" s="77" t="s">
        <v>73</v>
      </c>
      <c r="G3518" s="77" t="s">
        <v>74</v>
      </c>
      <c r="H3518" s="77" t="s">
        <v>127</v>
      </c>
      <c r="I3518" s="77" t="s">
        <v>84</v>
      </c>
      <c r="J3518" s="76">
        <v>5.6233849622410815E-3</v>
      </c>
    </row>
    <row r="3519" spans="1:10" x14ac:dyDescent="0.35">
      <c r="A3519" t="s">
        <v>14</v>
      </c>
      <c r="B3519" t="s">
        <v>39</v>
      </c>
      <c r="C3519" s="77" t="s">
        <v>91</v>
      </c>
      <c r="D3519" t="s">
        <v>81</v>
      </c>
      <c r="E3519" s="77" t="s">
        <v>82</v>
      </c>
      <c r="F3519" s="77" t="s">
        <v>73</v>
      </c>
      <c r="G3519" s="77" t="s">
        <v>74</v>
      </c>
      <c r="H3519" s="77" t="s">
        <v>127</v>
      </c>
      <c r="I3519" s="77" t="s">
        <v>84</v>
      </c>
      <c r="J3519" s="76">
        <v>1.8068055269127655E-3</v>
      </c>
    </row>
    <row r="3520" spans="1:10" x14ac:dyDescent="0.35">
      <c r="A3520" t="s">
        <v>14</v>
      </c>
      <c r="B3520" t="s">
        <v>39</v>
      </c>
      <c r="C3520" s="77" t="s">
        <v>91</v>
      </c>
      <c r="D3520" t="s">
        <v>81</v>
      </c>
      <c r="E3520" s="77" t="s">
        <v>125</v>
      </c>
      <c r="F3520" s="77" t="s">
        <v>73</v>
      </c>
      <c r="G3520" s="77" t="s">
        <v>74</v>
      </c>
      <c r="H3520" s="77" t="s">
        <v>127</v>
      </c>
      <c r="I3520" s="77" t="s">
        <v>84</v>
      </c>
      <c r="J3520" s="76">
        <v>5.6492118062760293E-6</v>
      </c>
    </row>
    <row r="3521" spans="1:10" x14ac:dyDescent="0.35">
      <c r="A3521" t="s">
        <v>14</v>
      </c>
      <c r="B3521" t="s">
        <v>39</v>
      </c>
      <c r="C3521" s="77" t="s">
        <v>91</v>
      </c>
      <c r="D3521" t="s">
        <v>81</v>
      </c>
      <c r="E3521" s="77" t="s">
        <v>122</v>
      </c>
      <c r="F3521" s="77" t="s">
        <v>73</v>
      </c>
      <c r="G3521" s="77" t="s">
        <v>74</v>
      </c>
      <c r="H3521" s="77" t="s">
        <v>127</v>
      </c>
      <c r="I3521" s="77" t="s">
        <v>84</v>
      </c>
      <c r="J3521" s="76">
        <v>0</v>
      </c>
    </row>
    <row r="3522" spans="1:10" x14ac:dyDescent="0.35">
      <c r="A3522" t="s">
        <v>14</v>
      </c>
      <c r="B3522" t="s">
        <v>39</v>
      </c>
      <c r="C3522" s="77" t="s">
        <v>91</v>
      </c>
      <c r="D3522" t="s">
        <v>81</v>
      </c>
      <c r="E3522" s="77" t="s">
        <v>126</v>
      </c>
      <c r="F3522" s="77" t="s">
        <v>73</v>
      </c>
      <c r="G3522" s="77" t="s">
        <v>74</v>
      </c>
      <c r="H3522" s="77" t="s">
        <v>127</v>
      </c>
      <c r="I3522" s="77" t="s">
        <v>84</v>
      </c>
      <c r="J3522" s="76">
        <v>8.1093795177776388E-4</v>
      </c>
    </row>
    <row r="3523" spans="1:10" x14ac:dyDescent="0.35">
      <c r="A3523" t="s">
        <v>14</v>
      </c>
      <c r="B3523" t="s">
        <v>39</v>
      </c>
      <c r="C3523" s="77" t="s">
        <v>91</v>
      </c>
      <c r="D3523" t="s">
        <v>81</v>
      </c>
      <c r="E3523" s="77" t="s">
        <v>101</v>
      </c>
      <c r="F3523" s="77" t="s">
        <v>73</v>
      </c>
      <c r="G3523" s="77" t="s">
        <v>74</v>
      </c>
      <c r="H3523" s="77" t="s">
        <v>127</v>
      </c>
      <c r="I3523" s="77" t="s">
        <v>84</v>
      </c>
      <c r="J3523" s="76">
        <v>0</v>
      </c>
    </row>
    <row r="3524" spans="1:10" x14ac:dyDescent="0.35">
      <c r="A3524" t="s">
        <v>14</v>
      </c>
      <c r="B3524" t="s">
        <v>39</v>
      </c>
      <c r="C3524" s="77" t="s">
        <v>91</v>
      </c>
      <c r="D3524" t="s">
        <v>81</v>
      </c>
      <c r="E3524" s="77" t="s">
        <v>104</v>
      </c>
      <c r="F3524" s="77" t="s">
        <v>73</v>
      </c>
      <c r="G3524" s="77" t="s">
        <v>74</v>
      </c>
      <c r="H3524" s="77" t="s">
        <v>127</v>
      </c>
      <c r="I3524" s="77" t="s">
        <v>84</v>
      </c>
      <c r="J3524" s="76">
        <v>0</v>
      </c>
    </row>
    <row r="3525" spans="1:10" x14ac:dyDescent="0.35">
      <c r="A3525" t="s">
        <v>14</v>
      </c>
      <c r="B3525" t="s">
        <v>39</v>
      </c>
      <c r="C3525" s="77" t="s">
        <v>91</v>
      </c>
      <c r="D3525" t="s">
        <v>81</v>
      </c>
      <c r="E3525" s="77" t="s">
        <v>106</v>
      </c>
      <c r="F3525" s="77" t="s">
        <v>73</v>
      </c>
      <c r="G3525" s="77" t="s">
        <v>74</v>
      </c>
      <c r="H3525" s="77" t="s">
        <v>127</v>
      </c>
      <c r="I3525" s="77" t="s">
        <v>84</v>
      </c>
      <c r="J3525" s="76">
        <v>0</v>
      </c>
    </row>
    <row r="3526" spans="1:10" x14ac:dyDescent="0.35">
      <c r="A3526" t="s">
        <v>14</v>
      </c>
      <c r="B3526" t="s">
        <v>39</v>
      </c>
      <c r="C3526" s="77" t="s">
        <v>92</v>
      </c>
      <c r="D3526" t="s">
        <v>81</v>
      </c>
      <c r="E3526" s="77" t="s">
        <v>119</v>
      </c>
      <c r="F3526" s="77" t="s">
        <v>73</v>
      </c>
      <c r="G3526" s="77" t="s">
        <v>74</v>
      </c>
      <c r="H3526" s="77" t="s">
        <v>127</v>
      </c>
      <c r="I3526" s="77" t="s">
        <v>84</v>
      </c>
      <c r="J3526" s="76">
        <f>'SUT_EU27 total'!$M$90</f>
        <v>0.13886309499777949</v>
      </c>
    </row>
    <row r="3527" spans="1:10" x14ac:dyDescent="0.35">
      <c r="A3527" t="s">
        <v>14</v>
      </c>
      <c r="B3527" t="s">
        <v>39</v>
      </c>
      <c r="C3527" s="77" t="s">
        <v>92</v>
      </c>
      <c r="D3527" t="s">
        <v>81</v>
      </c>
      <c r="E3527" s="77" t="s">
        <v>124</v>
      </c>
      <c r="F3527" s="77" t="s">
        <v>73</v>
      </c>
      <c r="G3527" s="77" t="s">
        <v>74</v>
      </c>
      <c r="H3527" s="77" t="s">
        <v>127</v>
      </c>
      <c r="I3527" s="77" t="s">
        <v>84</v>
      </c>
      <c r="J3527" s="76" cm="1">
        <f t="array" ref="J3527:J3535">'SUT_EU27 total'!$M$94:$M$102</f>
        <v>9.2968907089085616E-5</v>
      </c>
    </row>
    <row r="3528" spans="1:10" x14ac:dyDescent="0.35">
      <c r="A3528" t="s">
        <v>14</v>
      </c>
      <c r="B3528" t="s">
        <v>39</v>
      </c>
      <c r="C3528" s="77" t="s">
        <v>92</v>
      </c>
      <c r="D3528" t="s">
        <v>81</v>
      </c>
      <c r="E3528" s="77" t="s">
        <v>117</v>
      </c>
      <c r="F3528" s="77" t="s">
        <v>73</v>
      </c>
      <c r="G3528" s="77" t="s">
        <v>74</v>
      </c>
      <c r="H3528" s="77" t="s">
        <v>127</v>
      </c>
      <c r="I3528" s="77" t="s">
        <v>84</v>
      </c>
      <c r="J3528" s="76">
        <v>0</v>
      </c>
    </row>
    <row r="3529" spans="1:10" x14ac:dyDescent="0.35">
      <c r="A3529" t="s">
        <v>14</v>
      </c>
      <c r="B3529" t="s">
        <v>39</v>
      </c>
      <c r="C3529" s="77" t="s">
        <v>92</v>
      </c>
      <c r="D3529" t="s">
        <v>81</v>
      </c>
      <c r="E3529" s="77" t="s">
        <v>82</v>
      </c>
      <c r="F3529" s="77" t="s">
        <v>73</v>
      </c>
      <c r="G3529" s="77" t="s">
        <v>74</v>
      </c>
      <c r="H3529" s="77" t="s">
        <v>127</v>
      </c>
      <c r="I3529" s="77" t="s">
        <v>84</v>
      </c>
      <c r="J3529" s="76">
        <v>1.1251392039595793E-3</v>
      </c>
    </row>
    <row r="3530" spans="1:10" x14ac:dyDescent="0.35">
      <c r="A3530" t="s">
        <v>14</v>
      </c>
      <c r="B3530" t="s">
        <v>39</v>
      </c>
      <c r="C3530" s="77" t="s">
        <v>92</v>
      </c>
      <c r="D3530" t="s">
        <v>81</v>
      </c>
      <c r="E3530" s="77" t="s">
        <v>125</v>
      </c>
      <c r="F3530" s="77" t="s">
        <v>73</v>
      </c>
      <c r="G3530" s="77" t="s">
        <v>74</v>
      </c>
      <c r="H3530" s="77" t="s">
        <v>127</v>
      </c>
      <c r="I3530" s="77" t="s">
        <v>84</v>
      </c>
      <c r="J3530" s="76">
        <v>5.0048817841215026E-7</v>
      </c>
    </row>
    <row r="3531" spans="1:10" x14ac:dyDescent="0.35">
      <c r="A3531" t="s">
        <v>14</v>
      </c>
      <c r="B3531" t="s">
        <v>39</v>
      </c>
      <c r="C3531" s="77" t="s">
        <v>92</v>
      </c>
      <c r="D3531" t="s">
        <v>81</v>
      </c>
      <c r="E3531" s="77" t="s">
        <v>122</v>
      </c>
      <c r="F3531" s="77" t="s">
        <v>73</v>
      </c>
      <c r="G3531" s="77" t="s">
        <v>74</v>
      </c>
      <c r="H3531" s="77" t="s">
        <v>127</v>
      </c>
      <c r="I3531" s="77" t="s">
        <v>84</v>
      </c>
      <c r="J3531" s="76">
        <v>0</v>
      </c>
    </row>
    <row r="3532" spans="1:10" x14ac:dyDescent="0.35">
      <c r="A3532" t="s">
        <v>14</v>
      </c>
      <c r="B3532" t="s">
        <v>39</v>
      </c>
      <c r="C3532" s="77" t="s">
        <v>92</v>
      </c>
      <c r="D3532" t="s">
        <v>81</v>
      </c>
      <c r="E3532" s="77" t="s">
        <v>126</v>
      </c>
      <c r="F3532" s="77" t="s">
        <v>73</v>
      </c>
      <c r="G3532" s="77" t="s">
        <v>74</v>
      </c>
      <c r="H3532" s="77" t="s">
        <v>127</v>
      </c>
      <c r="I3532" s="77" t="s">
        <v>84</v>
      </c>
      <c r="J3532" s="76">
        <v>0</v>
      </c>
    </row>
    <row r="3533" spans="1:10" x14ac:dyDescent="0.35">
      <c r="A3533" t="s">
        <v>14</v>
      </c>
      <c r="B3533" t="s">
        <v>39</v>
      </c>
      <c r="C3533" s="77" t="s">
        <v>92</v>
      </c>
      <c r="D3533" t="s">
        <v>81</v>
      </c>
      <c r="E3533" s="77" t="s">
        <v>101</v>
      </c>
      <c r="F3533" s="77" t="s">
        <v>73</v>
      </c>
      <c r="G3533" s="77" t="s">
        <v>74</v>
      </c>
      <c r="H3533" s="77" t="s">
        <v>127</v>
      </c>
      <c r="I3533" s="77" t="s">
        <v>84</v>
      </c>
      <c r="J3533" s="76">
        <v>0</v>
      </c>
    </row>
    <row r="3534" spans="1:10" x14ac:dyDescent="0.35">
      <c r="A3534" t="s">
        <v>14</v>
      </c>
      <c r="B3534" t="s">
        <v>39</v>
      </c>
      <c r="C3534" s="77" t="s">
        <v>92</v>
      </c>
      <c r="D3534" t="s">
        <v>81</v>
      </c>
      <c r="E3534" s="77" t="s">
        <v>104</v>
      </c>
      <c r="F3534" s="77" t="s">
        <v>73</v>
      </c>
      <c r="G3534" s="77" t="s">
        <v>74</v>
      </c>
      <c r="H3534" s="77" t="s">
        <v>127</v>
      </c>
      <c r="I3534" s="77" t="s">
        <v>84</v>
      </c>
      <c r="J3534" s="76">
        <v>0</v>
      </c>
    </row>
    <row r="3535" spans="1:10" x14ac:dyDescent="0.35">
      <c r="A3535" t="s">
        <v>14</v>
      </c>
      <c r="B3535" t="s">
        <v>39</v>
      </c>
      <c r="C3535" s="77" t="s">
        <v>92</v>
      </c>
      <c r="D3535" t="s">
        <v>81</v>
      </c>
      <c r="E3535" s="77" t="s">
        <v>106</v>
      </c>
      <c r="F3535" s="77" t="s">
        <v>73</v>
      </c>
      <c r="G3535" s="77" t="s">
        <v>74</v>
      </c>
      <c r="H3535" s="77" t="s">
        <v>127</v>
      </c>
      <c r="I3535" s="77" t="s">
        <v>84</v>
      </c>
      <c r="J3535" s="76">
        <v>0</v>
      </c>
    </row>
    <row r="3536" spans="1:10" x14ac:dyDescent="0.35">
      <c r="A3536" t="s">
        <v>14</v>
      </c>
      <c r="B3536" t="s">
        <v>39</v>
      </c>
      <c r="C3536" s="77" t="s">
        <v>93</v>
      </c>
      <c r="D3536" t="s">
        <v>81</v>
      </c>
      <c r="E3536" s="77" t="s">
        <v>119</v>
      </c>
      <c r="F3536" s="77" t="s">
        <v>73</v>
      </c>
      <c r="G3536" s="77" t="s">
        <v>74</v>
      </c>
      <c r="H3536" s="77" t="s">
        <v>127</v>
      </c>
      <c r="I3536" s="77" t="s">
        <v>84</v>
      </c>
      <c r="J3536" s="76">
        <f>'SUT_EU27 total'!$M$107</f>
        <v>1.0000807460939076</v>
      </c>
    </row>
    <row r="3537" spans="1:10" x14ac:dyDescent="0.35">
      <c r="A3537" t="s">
        <v>14</v>
      </c>
      <c r="B3537" t="s">
        <v>39</v>
      </c>
      <c r="C3537" s="77" t="s">
        <v>93</v>
      </c>
      <c r="D3537" t="s">
        <v>81</v>
      </c>
      <c r="E3537" s="77" t="s">
        <v>124</v>
      </c>
      <c r="F3537" s="77" t="s">
        <v>73</v>
      </c>
      <c r="G3537" s="77" t="s">
        <v>74</v>
      </c>
      <c r="H3537" s="77" t="s">
        <v>127</v>
      </c>
      <c r="I3537" s="77" t="s">
        <v>84</v>
      </c>
      <c r="J3537" s="76" cm="1">
        <f t="array" ref="J3537:J3545">'SUT_EU27 total'!$M$111:$M$119</f>
        <v>3.7052409430862396E-4</v>
      </c>
    </row>
    <row r="3538" spans="1:10" x14ac:dyDescent="0.35">
      <c r="A3538" t="s">
        <v>14</v>
      </c>
      <c r="B3538" t="s">
        <v>39</v>
      </c>
      <c r="C3538" s="77" t="s">
        <v>93</v>
      </c>
      <c r="D3538" t="s">
        <v>81</v>
      </c>
      <c r="E3538" s="77" t="s">
        <v>117</v>
      </c>
      <c r="F3538" s="77" t="s">
        <v>73</v>
      </c>
      <c r="G3538" s="77" t="s">
        <v>74</v>
      </c>
      <c r="H3538" s="77" t="s">
        <v>127</v>
      </c>
      <c r="I3538" s="77" t="s">
        <v>84</v>
      </c>
      <c r="J3538" s="76">
        <v>5.8414042458127093E-3</v>
      </c>
    </row>
    <row r="3539" spans="1:10" x14ac:dyDescent="0.35">
      <c r="A3539" t="s">
        <v>14</v>
      </c>
      <c r="B3539" t="s">
        <v>39</v>
      </c>
      <c r="C3539" s="77" t="s">
        <v>93</v>
      </c>
      <c r="D3539" t="s">
        <v>81</v>
      </c>
      <c r="E3539" s="77" t="s">
        <v>82</v>
      </c>
      <c r="F3539" s="77" t="s">
        <v>73</v>
      </c>
      <c r="G3539" s="77" t="s">
        <v>74</v>
      </c>
      <c r="H3539" s="77" t="s">
        <v>127</v>
      </c>
      <c r="I3539" s="77" t="s">
        <v>84</v>
      </c>
      <c r="J3539" s="76">
        <v>5.0319447308723453E-3</v>
      </c>
    </row>
    <row r="3540" spans="1:10" x14ac:dyDescent="0.35">
      <c r="A3540" t="s">
        <v>14</v>
      </c>
      <c r="B3540" t="s">
        <v>39</v>
      </c>
      <c r="C3540" s="77" t="s">
        <v>93</v>
      </c>
      <c r="D3540" t="s">
        <v>81</v>
      </c>
      <c r="E3540" s="77" t="s">
        <v>125</v>
      </c>
      <c r="F3540" s="77" t="s">
        <v>73</v>
      </c>
      <c r="G3540" s="77" t="s">
        <v>74</v>
      </c>
      <c r="H3540" s="77" t="s">
        <v>127</v>
      </c>
      <c r="I3540" s="77" t="s">
        <v>84</v>
      </c>
      <c r="J3540" s="76">
        <v>4.336096678710085E-4</v>
      </c>
    </row>
    <row r="3541" spans="1:10" x14ac:dyDescent="0.35">
      <c r="A3541" t="s">
        <v>14</v>
      </c>
      <c r="B3541" t="s">
        <v>39</v>
      </c>
      <c r="C3541" s="77" t="s">
        <v>93</v>
      </c>
      <c r="D3541" t="s">
        <v>81</v>
      </c>
      <c r="E3541" s="77" t="s">
        <v>122</v>
      </c>
      <c r="F3541" s="77" t="s">
        <v>73</v>
      </c>
      <c r="G3541" s="77" t="s">
        <v>74</v>
      </c>
      <c r="H3541" s="77" t="s">
        <v>127</v>
      </c>
      <c r="I3541" s="77" t="s">
        <v>84</v>
      </c>
      <c r="J3541" s="76">
        <v>2.7129607609988112E-3</v>
      </c>
    </row>
    <row r="3542" spans="1:10" x14ac:dyDescent="0.35">
      <c r="A3542" t="s">
        <v>14</v>
      </c>
      <c r="B3542" t="s">
        <v>39</v>
      </c>
      <c r="C3542" s="77" t="s">
        <v>93</v>
      </c>
      <c r="D3542" t="s">
        <v>81</v>
      </c>
      <c r="E3542" s="77" t="s">
        <v>126</v>
      </c>
      <c r="F3542" s="77" t="s">
        <v>73</v>
      </c>
      <c r="G3542" s="77" t="s">
        <v>74</v>
      </c>
      <c r="H3542" s="77" t="s">
        <v>127</v>
      </c>
      <c r="I3542" s="77" t="s">
        <v>84</v>
      </c>
      <c r="J3542" s="76">
        <v>4.3855511603587784E-2</v>
      </c>
    </row>
    <row r="3543" spans="1:10" x14ac:dyDescent="0.35">
      <c r="A3543" t="s">
        <v>14</v>
      </c>
      <c r="B3543" t="s">
        <v>39</v>
      </c>
      <c r="C3543" s="77" t="s">
        <v>93</v>
      </c>
      <c r="D3543" t="s">
        <v>81</v>
      </c>
      <c r="E3543" s="77" t="s">
        <v>101</v>
      </c>
      <c r="F3543" s="77" t="s">
        <v>73</v>
      </c>
      <c r="G3543" s="77" t="s">
        <v>74</v>
      </c>
      <c r="H3543" s="77" t="s">
        <v>127</v>
      </c>
      <c r="I3543" s="77" t="s">
        <v>84</v>
      </c>
      <c r="J3543" s="76">
        <v>0</v>
      </c>
    </row>
    <row r="3544" spans="1:10" x14ac:dyDescent="0.35">
      <c r="A3544" t="s">
        <v>14</v>
      </c>
      <c r="B3544" t="s">
        <v>39</v>
      </c>
      <c r="C3544" s="77" t="s">
        <v>93</v>
      </c>
      <c r="D3544" t="s">
        <v>81</v>
      </c>
      <c r="E3544" s="77" t="s">
        <v>104</v>
      </c>
      <c r="F3544" s="77" t="s">
        <v>73</v>
      </c>
      <c r="G3544" s="77" t="s">
        <v>74</v>
      </c>
      <c r="H3544" s="77" t="s">
        <v>127</v>
      </c>
      <c r="I3544" s="77" t="s">
        <v>84</v>
      </c>
      <c r="J3544" s="76">
        <v>0</v>
      </c>
    </row>
    <row r="3545" spans="1:10" x14ac:dyDescent="0.35">
      <c r="A3545" t="s">
        <v>14</v>
      </c>
      <c r="B3545" t="s">
        <v>39</v>
      </c>
      <c r="C3545" s="77" t="s">
        <v>93</v>
      </c>
      <c r="D3545" t="s">
        <v>81</v>
      </c>
      <c r="E3545" s="77" t="s">
        <v>106</v>
      </c>
      <c r="F3545" s="77" t="s">
        <v>73</v>
      </c>
      <c r="G3545" s="77" t="s">
        <v>74</v>
      </c>
      <c r="H3545" s="77" t="s">
        <v>127</v>
      </c>
      <c r="I3545" s="77" t="s">
        <v>84</v>
      </c>
      <c r="J3545" s="76">
        <v>0</v>
      </c>
    </row>
    <row r="3546" spans="1:10" x14ac:dyDescent="0.35">
      <c r="A3546" t="s">
        <v>14</v>
      </c>
      <c r="B3546" t="s">
        <v>39</v>
      </c>
      <c r="C3546" s="77" t="s">
        <v>73</v>
      </c>
      <c r="D3546" t="s">
        <v>81</v>
      </c>
      <c r="E3546" s="77" t="s">
        <v>82</v>
      </c>
      <c r="F3546" s="77" t="s">
        <v>73</v>
      </c>
      <c r="G3546" s="77" t="s">
        <v>74</v>
      </c>
      <c r="H3546" s="77" t="s">
        <v>128</v>
      </c>
      <c r="I3546" s="77" t="s">
        <v>84</v>
      </c>
      <c r="J3546" s="76" cm="1">
        <f t="array" ref="J3546:J3569">z_2030_GS!$I$514:$I$537</f>
        <v>1.4658301341380521E-2</v>
      </c>
    </row>
    <row r="3547" spans="1:10" x14ac:dyDescent="0.35">
      <c r="A3547" t="s">
        <v>14</v>
      </c>
      <c r="B3547" t="s">
        <v>39</v>
      </c>
      <c r="C3547" s="77" t="s">
        <v>73</v>
      </c>
      <c r="D3547" t="s">
        <v>81</v>
      </c>
      <c r="E3547" s="77" t="s">
        <v>86</v>
      </c>
      <c r="F3547" s="77" t="s">
        <v>73</v>
      </c>
      <c r="G3547" s="77" t="s">
        <v>74</v>
      </c>
      <c r="H3547" s="77" t="s">
        <v>128</v>
      </c>
      <c r="I3547" s="77" t="s">
        <v>84</v>
      </c>
      <c r="J3547" s="76">
        <v>3.0740776778828832E-3</v>
      </c>
    </row>
    <row r="3548" spans="1:10" x14ac:dyDescent="0.35">
      <c r="A3548" t="s">
        <v>14</v>
      </c>
      <c r="B3548" t="s">
        <v>39</v>
      </c>
      <c r="C3548" s="77" t="s">
        <v>88</v>
      </c>
      <c r="D3548" t="s">
        <v>81</v>
      </c>
      <c r="E3548" s="77" t="s">
        <v>82</v>
      </c>
      <c r="F3548" s="77" t="s">
        <v>73</v>
      </c>
      <c r="G3548" s="77" t="s">
        <v>74</v>
      </c>
      <c r="H3548" s="77" t="s">
        <v>128</v>
      </c>
      <c r="I3548" s="77" t="s">
        <v>84</v>
      </c>
      <c r="J3548" s="76">
        <v>9.2276548594747033E-3</v>
      </c>
    </row>
    <row r="3549" spans="1:10" x14ac:dyDescent="0.35">
      <c r="A3549" t="s">
        <v>14</v>
      </c>
      <c r="B3549" t="s">
        <v>39</v>
      </c>
      <c r="C3549" s="77" t="s">
        <v>88</v>
      </c>
      <c r="D3549" t="s">
        <v>81</v>
      </c>
      <c r="E3549" s="77" t="s">
        <v>86</v>
      </c>
      <c r="F3549" s="77" t="s">
        <v>73</v>
      </c>
      <c r="G3549" s="77" t="s">
        <v>74</v>
      </c>
      <c r="H3549" s="77" t="s">
        <v>128</v>
      </c>
      <c r="I3549" s="77" t="s">
        <v>84</v>
      </c>
      <c r="J3549" s="76">
        <v>6.9627451701437512E-2</v>
      </c>
    </row>
    <row r="3550" spans="1:10" x14ac:dyDescent="0.35">
      <c r="A3550" t="s">
        <v>14</v>
      </c>
      <c r="B3550" t="s">
        <v>39</v>
      </c>
      <c r="C3550" s="77" t="s">
        <v>90</v>
      </c>
      <c r="D3550" t="s">
        <v>81</v>
      </c>
      <c r="E3550" s="77" t="s">
        <v>82</v>
      </c>
      <c r="F3550" s="77" t="s">
        <v>73</v>
      </c>
      <c r="G3550" s="77" t="s">
        <v>74</v>
      </c>
      <c r="H3550" s="77" t="s">
        <v>128</v>
      </c>
      <c r="I3550" s="77" t="s">
        <v>84</v>
      </c>
      <c r="J3550" s="76">
        <v>2.2200107734217647E-6</v>
      </c>
    </row>
    <row r="3551" spans="1:10" x14ac:dyDescent="0.35">
      <c r="A3551" t="s">
        <v>14</v>
      </c>
      <c r="B3551" t="s">
        <v>39</v>
      </c>
      <c r="C3551" s="77" t="s">
        <v>90</v>
      </c>
      <c r="D3551" t="s">
        <v>81</v>
      </c>
      <c r="E3551" s="77" t="s">
        <v>86</v>
      </c>
      <c r="F3551" s="77" t="s">
        <v>73</v>
      </c>
      <c r="G3551" s="77" t="s">
        <v>74</v>
      </c>
      <c r="H3551" s="77" t="s">
        <v>128</v>
      </c>
      <c r="I3551" s="77" t="s">
        <v>84</v>
      </c>
      <c r="J3551" s="76">
        <v>9.1135123377023061E-3</v>
      </c>
    </row>
    <row r="3552" spans="1:10" x14ac:dyDescent="0.35">
      <c r="A3552" t="s">
        <v>14</v>
      </c>
      <c r="B3552" t="s">
        <v>39</v>
      </c>
      <c r="C3552" s="77" t="s">
        <v>91</v>
      </c>
      <c r="D3552" t="s">
        <v>81</v>
      </c>
      <c r="E3552" s="77" t="s">
        <v>82</v>
      </c>
      <c r="F3552" s="77" t="s">
        <v>73</v>
      </c>
      <c r="G3552" s="77" t="s">
        <v>74</v>
      </c>
      <c r="H3552" s="77" t="s">
        <v>128</v>
      </c>
      <c r="I3552" s="77" t="s">
        <v>84</v>
      </c>
      <c r="J3552" s="76">
        <v>4.3195382907628159E-4</v>
      </c>
    </row>
    <row r="3553" spans="1:10" x14ac:dyDescent="0.35">
      <c r="A3553" t="s">
        <v>14</v>
      </c>
      <c r="B3553" t="s">
        <v>39</v>
      </c>
      <c r="C3553" s="77" t="s">
        <v>91</v>
      </c>
      <c r="D3553" t="s">
        <v>81</v>
      </c>
      <c r="E3553" s="77" t="s">
        <v>86</v>
      </c>
      <c r="F3553" s="77" t="s">
        <v>73</v>
      </c>
      <c r="G3553" s="77" t="s">
        <v>74</v>
      </c>
      <c r="H3553" s="77" t="s">
        <v>128</v>
      </c>
      <c r="I3553" s="77" t="s">
        <v>84</v>
      </c>
      <c r="J3553" s="76">
        <v>1.1339568587203704E-2</v>
      </c>
    </row>
    <row r="3554" spans="1:10" x14ac:dyDescent="0.35">
      <c r="A3554" t="s">
        <v>14</v>
      </c>
      <c r="B3554" t="s">
        <v>39</v>
      </c>
      <c r="C3554" s="77" t="s">
        <v>92</v>
      </c>
      <c r="D3554" t="s">
        <v>81</v>
      </c>
      <c r="E3554" s="77" t="s">
        <v>82</v>
      </c>
      <c r="F3554" s="77" t="s">
        <v>73</v>
      </c>
      <c r="G3554" s="77" t="s">
        <v>74</v>
      </c>
      <c r="H3554" s="77" t="s">
        <v>128</v>
      </c>
      <c r="I3554" s="77" t="s">
        <v>84</v>
      </c>
      <c r="J3554" s="76">
        <v>5.9963902402539811E-4</v>
      </c>
    </row>
    <row r="3555" spans="1:10" x14ac:dyDescent="0.35">
      <c r="A3555" t="s">
        <v>14</v>
      </c>
      <c r="B3555" t="s">
        <v>39</v>
      </c>
      <c r="C3555" s="77" t="s">
        <v>92</v>
      </c>
      <c r="D3555" t="s">
        <v>81</v>
      </c>
      <c r="E3555" s="77" t="s">
        <v>86</v>
      </c>
      <c r="F3555" s="77" t="s">
        <v>73</v>
      </c>
      <c r="G3555" s="77" t="s">
        <v>74</v>
      </c>
      <c r="H3555" s="77" t="s">
        <v>128</v>
      </c>
      <c r="I3555" s="77" t="s">
        <v>84</v>
      </c>
      <c r="J3555" s="76">
        <v>7.0614092017150581E-3</v>
      </c>
    </row>
    <row r="3556" spans="1:10" x14ac:dyDescent="0.35">
      <c r="A3556" t="s">
        <v>14</v>
      </c>
      <c r="B3556" t="s">
        <v>39</v>
      </c>
      <c r="C3556" s="77" t="s">
        <v>93</v>
      </c>
      <c r="D3556" t="s">
        <v>81</v>
      </c>
      <c r="E3556" s="77" t="s">
        <v>82</v>
      </c>
      <c r="F3556" s="77" t="s">
        <v>73</v>
      </c>
      <c r="G3556" s="77" t="s">
        <v>74</v>
      </c>
      <c r="H3556" s="77" t="s">
        <v>128</v>
      </c>
      <c r="I3556" s="77" t="s">
        <v>84</v>
      </c>
      <c r="J3556" s="76">
        <v>2.4854239602480213E-3</v>
      </c>
    </row>
    <row r="3557" spans="1:10" x14ac:dyDescent="0.35">
      <c r="A3557" t="s">
        <v>14</v>
      </c>
      <c r="B3557" t="s">
        <v>39</v>
      </c>
      <c r="C3557" s="77" t="s">
        <v>93</v>
      </c>
      <c r="D3557" t="s">
        <v>81</v>
      </c>
      <c r="E3557" s="77" t="s">
        <v>86</v>
      </c>
      <c r="F3557" s="77" t="s">
        <v>73</v>
      </c>
      <c r="G3557" s="77" t="s">
        <v>74</v>
      </c>
      <c r="H3557" s="77" t="s">
        <v>128</v>
      </c>
      <c r="I3557" s="77" t="s">
        <v>84</v>
      </c>
      <c r="J3557" s="76">
        <v>3.1580644155014347E-2</v>
      </c>
    </row>
    <row r="3558" spans="1:10" x14ac:dyDescent="0.35">
      <c r="A3558" t="s">
        <v>14</v>
      </c>
      <c r="B3558" t="s">
        <v>39</v>
      </c>
      <c r="C3558" s="77" t="s">
        <v>73</v>
      </c>
      <c r="D3558" t="s">
        <v>81</v>
      </c>
      <c r="E3558" s="77" t="s">
        <v>82</v>
      </c>
      <c r="F3558" s="77" t="s">
        <v>73</v>
      </c>
      <c r="G3558" s="77" t="s">
        <v>74</v>
      </c>
      <c r="H3558" s="77" t="s">
        <v>129</v>
      </c>
      <c r="I3558" s="77" t="s">
        <v>84</v>
      </c>
      <c r="J3558" s="76">
        <v>1.4658301341380521E-2</v>
      </c>
    </row>
    <row r="3559" spans="1:10" x14ac:dyDescent="0.35">
      <c r="A3559" t="s">
        <v>14</v>
      </c>
      <c r="B3559" t="s">
        <v>39</v>
      </c>
      <c r="C3559" s="77" t="s">
        <v>73</v>
      </c>
      <c r="D3559" t="s">
        <v>81</v>
      </c>
      <c r="E3559" s="77" t="s">
        <v>86</v>
      </c>
      <c r="F3559" s="77" t="s">
        <v>73</v>
      </c>
      <c r="G3559" s="77" t="s">
        <v>74</v>
      </c>
      <c r="H3559" s="77" t="s">
        <v>129</v>
      </c>
      <c r="I3559" s="77" t="s">
        <v>84</v>
      </c>
      <c r="J3559" s="76">
        <v>3.0740776778828832E-3</v>
      </c>
    </row>
    <row r="3560" spans="1:10" x14ac:dyDescent="0.35">
      <c r="A3560" t="s">
        <v>14</v>
      </c>
      <c r="B3560" t="s">
        <v>39</v>
      </c>
      <c r="C3560" s="77" t="s">
        <v>88</v>
      </c>
      <c r="D3560" t="s">
        <v>81</v>
      </c>
      <c r="E3560" s="77" t="s">
        <v>82</v>
      </c>
      <c r="F3560" s="77" t="s">
        <v>73</v>
      </c>
      <c r="G3560" s="77" t="s">
        <v>74</v>
      </c>
      <c r="H3560" s="77" t="s">
        <v>129</v>
      </c>
      <c r="I3560" s="77" t="s">
        <v>84</v>
      </c>
      <c r="J3560" s="76">
        <v>9.2276548594747033E-3</v>
      </c>
    </row>
    <row r="3561" spans="1:10" x14ac:dyDescent="0.35">
      <c r="A3561" t="s">
        <v>14</v>
      </c>
      <c r="B3561" t="s">
        <v>39</v>
      </c>
      <c r="C3561" s="77" t="s">
        <v>88</v>
      </c>
      <c r="D3561" t="s">
        <v>81</v>
      </c>
      <c r="E3561" s="77" t="s">
        <v>86</v>
      </c>
      <c r="F3561" s="77" t="s">
        <v>73</v>
      </c>
      <c r="G3561" s="77" t="s">
        <v>74</v>
      </c>
      <c r="H3561" s="77" t="s">
        <v>129</v>
      </c>
      <c r="I3561" s="77" t="s">
        <v>84</v>
      </c>
      <c r="J3561" s="76">
        <v>6.9627451701437512E-2</v>
      </c>
    </row>
    <row r="3562" spans="1:10" x14ac:dyDescent="0.35">
      <c r="A3562" t="s">
        <v>14</v>
      </c>
      <c r="B3562" t="s">
        <v>39</v>
      </c>
      <c r="C3562" s="77" t="s">
        <v>90</v>
      </c>
      <c r="D3562" t="s">
        <v>81</v>
      </c>
      <c r="E3562" s="77" t="s">
        <v>82</v>
      </c>
      <c r="F3562" s="77" t="s">
        <v>73</v>
      </c>
      <c r="G3562" s="77" t="s">
        <v>74</v>
      </c>
      <c r="H3562" s="77" t="s">
        <v>129</v>
      </c>
      <c r="I3562" s="77" t="s">
        <v>84</v>
      </c>
      <c r="J3562" s="76">
        <v>2.2200107734217647E-6</v>
      </c>
    </row>
    <row r="3563" spans="1:10" x14ac:dyDescent="0.35">
      <c r="A3563" t="s">
        <v>14</v>
      </c>
      <c r="B3563" t="s">
        <v>39</v>
      </c>
      <c r="C3563" s="77" t="s">
        <v>90</v>
      </c>
      <c r="D3563" t="s">
        <v>81</v>
      </c>
      <c r="E3563" s="77" t="s">
        <v>86</v>
      </c>
      <c r="F3563" s="77" t="s">
        <v>73</v>
      </c>
      <c r="G3563" s="77" t="s">
        <v>74</v>
      </c>
      <c r="H3563" s="77" t="s">
        <v>129</v>
      </c>
      <c r="I3563" s="77" t="s">
        <v>84</v>
      </c>
      <c r="J3563" s="76">
        <v>9.1135123377023061E-3</v>
      </c>
    </row>
    <row r="3564" spans="1:10" x14ac:dyDescent="0.35">
      <c r="A3564" t="s">
        <v>14</v>
      </c>
      <c r="B3564" t="s">
        <v>39</v>
      </c>
      <c r="C3564" s="77" t="s">
        <v>91</v>
      </c>
      <c r="D3564" t="s">
        <v>81</v>
      </c>
      <c r="E3564" s="77" t="s">
        <v>82</v>
      </c>
      <c r="F3564" s="77" t="s">
        <v>73</v>
      </c>
      <c r="G3564" s="77" t="s">
        <v>74</v>
      </c>
      <c r="H3564" s="77" t="s">
        <v>129</v>
      </c>
      <c r="I3564" s="77" t="s">
        <v>84</v>
      </c>
      <c r="J3564" s="76">
        <v>4.3195382907628159E-4</v>
      </c>
    </row>
    <row r="3565" spans="1:10" x14ac:dyDescent="0.35">
      <c r="A3565" t="s">
        <v>14</v>
      </c>
      <c r="B3565" t="s">
        <v>39</v>
      </c>
      <c r="C3565" s="77" t="s">
        <v>91</v>
      </c>
      <c r="D3565" t="s">
        <v>81</v>
      </c>
      <c r="E3565" s="77" t="s">
        <v>86</v>
      </c>
      <c r="F3565" s="77" t="s">
        <v>73</v>
      </c>
      <c r="G3565" s="77" t="s">
        <v>74</v>
      </c>
      <c r="H3565" s="77" t="s">
        <v>129</v>
      </c>
      <c r="I3565" s="77" t="s">
        <v>84</v>
      </c>
      <c r="J3565" s="76">
        <v>1.1339568587203704E-2</v>
      </c>
    </row>
    <row r="3566" spans="1:10" x14ac:dyDescent="0.35">
      <c r="A3566" t="s">
        <v>14</v>
      </c>
      <c r="B3566" t="s">
        <v>39</v>
      </c>
      <c r="C3566" s="77" t="s">
        <v>92</v>
      </c>
      <c r="D3566" t="s">
        <v>81</v>
      </c>
      <c r="E3566" s="77" t="s">
        <v>82</v>
      </c>
      <c r="F3566" s="77" t="s">
        <v>73</v>
      </c>
      <c r="G3566" s="77" t="s">
        <v>74</v>
      </c>
      <c r="H3566" s="77" t="s">
        <v>129</v>
      </c>
      <c r="I3566" s="77" t="s">
        <v>84</v>
      </c>
      <c r="J3566" s="76">
        <v>5.9963902402539811E-4</v>
      </c>
    </row>
    <row r="3567" spans="1:10" x14ac:dyDescent="0.35">
      <c r="A3567" t="s">
        <v>14</v>
      </c>
      <c r="B3567" t="s">
        <v>39</v>
      </c>
      <c r="C3567" s="77" t="s">
        <v>92</v>
      </c>
      <c r="D3567" t="s">
        <v>81</v>
      </c>
      <c r="E3567" s="77" t="s">
        <v>86</v>
      </c>
      <c r="F3567" s="77" t="s">
        <v>73</v>
      </c>
      <c r="G3567" s="77" t="s">
        <v>74</v>
      </c>
      <c r="H3567" s="77" t="s">
        <v>129</v>
      </c>
      <c r="I3567" s="77" t="s">
        <v>84</v>
      </c>
      <c r="J3567" s="76">
        <v>7.0614092017150581E-3</v>
      </c>
    </row>
    <row r="3568" spans="1:10" x14ac:dyDescent="0.35">
      <c r="A3568" t="s">
        <v>14</v>
      </c>
      <c r="B3568" t="s">
        <v>39</v>
      </c>
      <c r="C3568" s="77" t="s">
        <v>93</v>
      </c>
      <c r="D3568" t="s">
        <v>81</v>
      </c>
      <c r="E3568" s="77" t="s">
        <v>82</v>
      </c>
      <c r="F3568" s="77" t="s">
        <v>73</v>
      </c>
      <c r="G3568" s="77" t="s">
        <v>74</v>
      </c>
      <c r="H3568" s="77" t="s">
        <v>129</v>
      </c>
      <c r="I3568" s="77" t="s">
        <v>84</v>
      </c>
      <c r="J3568" s="76">
        <v>2.4854239602480213E-3</v>
      </c>
    </row>
    <row r="3569" spans="1:10" x14ac:dyDescent="0.35">
      <c r="A3569" t="s">
        <v>14</v>
      </c>
      <c r="B3569" t="s">
        <v>39</v>
      </c>
      <c r="C3569" s="77" t="s">
        <v>93</v>
      </c>
      <c r="D3569" t="s">
        <v>81</v>
      </c>
      <c r="E3569" s="77" t="s">
        <v>86</v>
      </c>
      <c r="F3569" s="77" t="s">
        <v>73</v>
      </c>
      <c r="G3569" s="77" t="s">
        <v>74</v>
      </c>
      <c r="H3569" s="77" t="s">
        <v>129</v>
      </c>
      <c r="I3569" s="77" t="s">
        <v>84</v>
      </c>
      <c r="J3569" s="76">
        <v>3.1580644155014347E-2</v>
      </c>
    </row>
    <row r="3570" spans="1:10" x14ac:dyDescent="0.35">
      <c r="A3570" t="s">
        <v>14</v>
      </c>
      <c r="B3570" t="s">
        <v>39</v>
      </c>
      <c r="C3570" s="77" t="s">
        <v>73</v>
      </c>
      <c r="D3570" t="s">
        <v>81</v>
      </c>
      <c r="E3570" s="77" t="s">
        <v>82</v>
      </c>
      <c r="F3570" s="77" t="s">
        <v>73</v>
      </c>
      <c r="G3570" s="77" t="s">
        <v>74</v>
      </c>
      <c r="H3570" s="77" t="s">
        <v>130</v>
      </c>
      <c r="I3570" s="77" t="s">
        <v>84</v>
      </c>
      <c r="J3570" s="76">
        <f>'SUT_EU27 total'!$Q$28</f>
        <v>7.0611384178638645E-2</v>
      </c>
    </row>
    <row r="3571" spans="1:10" x14ac:dyDescent="0.35">
      <c r="A3571" t="s">
        <v>14</v>
      </c>
      <c r="B3571" t="s">
        <v>39</v>
      </c>
      <c r="C3571" s="77" t="s">
        <v>88</v>
      </c>
      <c r="D3571" t="s">
        <v>81</v>
      </c>
      <c r="E3571" s="77" t="s">
        <v>82</v>
      </c>
      <c r="F3571" s="77" t="s">
        <v>73</v>
      </c>
      <c r="G3571" s="77" t="s">
        <v>74</v>
      </c>
      <c r="H3571" s="77" t="s">
        <v>130</v>
      </c>
      <c r="I3571" s="77" t="s">
        <v>84</v>
      </c>
      <c r="J3571" s="76">
        <f>'SUT_EU27 total'!$Q$45</f>
        <v>4.4451090694311274E-2</v>
      </c>
    </row>
    <row r="3572" spans="1:10" x14ac:dyDescent="0.35">
      <c r="A3572" t="s">
        <v>14</v>
      </c>
      <c r="B3572" t="s">
        <v>39</v>
      </c>
      <c r="C3572" s="77" t="s">
        <v>90</v>
      </c>
      <c r="D3572" t="s">
        <v>81</v>
      </c>
      <c r="E3572" s="77" t="s">
        <v>82</v>
      </c>
      <c r="F3572" s="77" t="s">
        <v>73</v>
      </c>
      <c r="G3572" s="77" t="s">
        <v>74</v>
      </c>
      <c r="H3572" s="77" t="s">
        <v>130</v>
      </c>
      <c r="I3572" s="77" t="s">
        <v>84</v>
      </c>
      <c r="J3572" s="76">
        <f>'SUT_EU27 total'!$Q$62</f>
        <v>1.0694147292515508E-5</v>
      </c>
    </row>
    <row r="3573" spans="1:10" x14ac:dyDescent="0.35">
      <c r="A3573" t="s">
        <v>14</v>
      </c>
      <c r="B3573" t="s">
        <v>39</v>
      </c>
      <c r="C3573" s="77" t="s">
        <v>91</v>
      </c>
      <c r="D3573" t="s">
        <v>81</v>
      </c>
      <c r="E3573" s="77" t="s">
        <v>82</v>
      </c>
      <c r="F3573" s="77" t="s">
        <v>73</v>
      </c>
      <c r="G3573" s="77" t="s">
        <v>74</v>
      </c>
      <c r="H3573" s="77" t="s">
        <v>130</v>
      </c>
      <c r="I3573" s="77" t="s">
        <v>84</v>
      </c>
      <c r="J3573" s="76">
        <f>'SUT_EU27 total'!$Q$79</f>
        <v>2.0807907452574416E-3</v>
      </c>
    </row>
    <row r="3574" spans="1:10" x14ac:dyDescent="0.35">
      <c r="A3574" t="s">
        <v>14</v>
      </c>
      <c r="B3574" t="s">
        <v>39</v>
      </c>
      <c r="C3574" s="77" t="s">
        <v>92</v>
      </c>
      <c r="D3574" t="s">
        <v>81</v>
      </c>
      <c r="E3574" s="77" t="s">
        <v>82</v>
      </c>
      <c r="F3574" s="77" t="s">
        <v>73</v>
      </c>
      <c r="G3574" s="77" t="s">
        <v>74</v>
      </c>
      <c r="H3574" s="77" t="s">
        <v>130</v>
      </c>
      <c r="I3574" s="77" t="s">
        <v>84</v>
      </c>
      <c r="J3574" s="76">
        <f>'SUT_EU27 total'!$Q$96</f>
        <v>2.8885571737041122E-3</v>
      </c>
    </row>
    <row r="3575" spans="1:10" x14ac:dyDescent="0.35">
      <c r="A3575" t="s">
        <v>14</v>
      </c>
      <c r="B3575" t="s">
        <v>39</v>
      </c>
      <c r="C3575" s="77" t="s">
        <v>93</v>
      </c>
      <c r="D3575" t="s">
        <v>81</v>
      </c>
      <c r="E3575" s="77" t="s">
        <v>82</v>
      </c>
      <c r="F3575" s="77" t="s">
        <v>73</v>
      </c>
      <c r="G3575" s="77" t="s">
        <v>74</v>
      </c>
      <c r="H3575" s="77" t="s">
        <v>130</v>
      </c>
      <c r="I3575" s="77" t="s">
        <v>84</v>
      </c>
      <c r="J3575" s="76">
        <f>'SUT_EU27 total'!$Q$113</f>
        <v>1.1972685102906883E-2</v>
      </c>
    </row>
    <row r="3576" spans="1:10" x14ac:dyDescent="0.35">
      <c r="A3576" t="s">
        <v>14</v>
      </c>
      <c r="B3576" t="s">
        <v>39</v>
      </c>
      <c r="C3576" s="77" t="s">
        <v>73</v>
      </c>
      <c r="D3576" t="s">
        <v>81</v>
      </c>
      <c r="E3576" s="77" t="s">
        <v>131</v>
      </c>
      <c r="F3576" s="77" t="s">
        <v>73</v>
      </c>
      <c r="G3576" s="77" t="s">
        <v>74</v>
      </c>
      <c r="H3576" s="77" t="s">
        <v>112</v>
      </c>
      <c r="I3576" s="77" t="s">
        <v>84</v>
      </c>
      <c r="J3576" s="76">
        <f>'SUT_EU27 total'!$R$24</f>
        <v>4.0146105919003111E-8</v>
      </c>
    </row>
    <row r="3577" spans="1:10" x14ac:dyDescent="0.35">
      <c r="A3577" t="s">
        <v>14</v>
      </c>
      <c r="B3577" t="s">
        <v>39</v>
      </c>
      <c r="C3577" s="77" t="s">
        <v>73</v>
      </c>
      <c r="D3577" t="s">
        <v>81</v>
      </c>
      <c r="E3577" s="77" t="s">
        <v>122</v>
      </c>
      <c r="F3577" s="77" t="s">
        <v>73</v>
      </c>
      <c r="G3577" s="77" t="s">
        <v>74</v>
      </c>
      <c r="H3577" s="77" t="s">
        <v>112</v>
      </c>
      <c r="I3577" s="77" t="s">
        <v>84</v>
      </c>
      <c r="J3577" s="76">
        <f>'SUT_EU27 total'!$R$30</f>
        <v>3.9708116569218732E-4</v>
      </c>
    </row>
    <row r="3578" spans="1:10" x14ac:dyDescent="0.35">
      <c r="A3578" t="s">
        <v>14</v>
      </c>
      <c r="B3578" t="s">
        <v>39</v>
      </c>
      <c r="C3578" s="77" t="s">
        <v>73</v>
      </c>
      <c r="D3578" t="s">
        <v>81</v>
      </c>
      <c r="E3578" s="77" t="s">
        <v>101</v>
      </c>
      <c r="F3578" s="77" t="s">
        <v>73</v>
      </c>
      <c r="G3578" s="77" t="s">
        <v>74</v>
      </c>
      <c r="H3578" s="77" t="s">
        <v>112</v>
      </c>
      <c r="I3578" s="77" t="s">
        <v>84</v>
      </c>
      <c r="J3578" s="471" cm="1">
        <f t="array" ref="J3578:J3580">Sensitivity!J98:J100</f>
        <v>4.6878208830362335E-7</v>
      </c>
    </row>
    <row r="3579" spans="1:10" x14ac:dyDescent="0.35">
      <c r="A3579" t="s">
        <v>14</v>
      </c>
      <c r="B3579" t="s">
        <v>39</v>
      </c>
      <c r="C3579" s="77" t="s">
        <v>73</v>
      </c>
      <c r="D3579" t="s">
        <v>81</v>
      </c>
      <c r="E3579" s="77" t="s">
        <v>104</v>
      </c>
      <c r="F3579" s="77" t="s">
        <v>73</v>
      </c>
      <c r="G3579" s="77" t="s">
        <v>74</v>
      </c>
      <c r="H3579" s="77" t="s">
        <v>112</v>
      </c>
      <c r="I3579" s="77" t="s">
        <v>84</v>
      </c>
      <c r="J3579" s="471">
        <v>2.6881315678867343E-7</v>
      </c>
    </row>
    <row r="3580" spans="1:10" x14ac:dyDescent="0.35">
      <c r="A3580" t="s">
        <v>14</v>
      </c>
      <c r="B3580" t="s">
        <v>39</v>
      </c>
      <c r="C3580" s="77" t="s">
        <v>73</v>
      </c>
      <c r="D3580" t="s">
        <v>81</v>
      </c>
      <c r="E3580" s="77" t="s">
        <v>106</v>
      </c>
      <c r="F3580" s="77" t="s">
        <v>73</v>
      </c>
      <c r="G3580" s="77" t="s">
        <v>74</v>
      </c>
      <c r="H3580" s="77" t="s">
        <v>112</v>
      </c>
      <c r="I3580" s="77" t="s">
        <v>84</v>
      </c>
      <c r="J3580" s="471">
        <v>3.99557996266552E-7</v>
      </c>
    </row>
    <row r="3581" spans="1:10" x14ac:dyDescent="0.35">
      <c r="A3581" t="s">
        <v>14</v>
      </c>
      <c r="B3581" t="s">
        <v>39</v>
      </c>
      <c r="C3581" s="77" t="s">
        <v>88</v>
      </c>
      <c r="D3581" t="s">
        <v>81</v>
      </c>
      <c r="E3581" s="77" t="s">
        <v>131</v>
      </c>
      <c r="F3581" s="77" t="s">
        <v>73</v>
      </c>
      <c r="G3581" s="77" t="s">
        <v>74</v>
      </c>
      <c r="H3581" s="77" t="s">
        <v>112</v>
      </c>
      <c r="I3581" s="77" t="s">
        <v>84</v>
      </c>
      <c r="J3581" s="76">
        <f>'SUT_EU27 total'!$R$41</f>
        <v>0</v>
      </c>
    </row>
    <row r="3582" spans="1:10" x14ac:dyDescent="0.35">
      <c r="A3582" t="s">
        <v>14</v>
      </c>
      <c r="B3582" t="s">
        <v>39</v>
      </c>
      <c r="C3582" s="77" t="s">
        <v>88</v>
      </c>
      <c r="D3582" t="s">
        <v>81</v>
      </c>
      <c r="E3582" s="77" t="s">
        <v>122</v>
      </c>
      <c r="F3582" s="77" t="s">
        <v>73</v>
      </c>
      <c r="G3582" s="77" t="s">
        <v>74</v>
      </c>
      <c r="H3582" s="77" t="s">
        <v>112</v>
      </c>
      <c r="I3582" s="77" t="s">
        <v>84</v>
      </c>
      <c r="J3582" s="76">
        <f>'SUT_EU27 total'!$R$47</f>
        <v>0</v>
      </c>
    </row>
    <row r="3583" spans="1:10" x14ac:dyDescent="0.35">
      <c r="A3583" t="s">
        <v>14</v>
      </c>
      <c r="B3583" t="s">
        <v>39</v>
      </c>
      <c r="C3583" s="77" t="s">
        <v>88</v>
      </c>
      <c r="D3583" t="s">
        <v>81</v>
      </c>
      <c r="E3583" s="77" t="s">
        <v>101</v>
      </c>
      <c r="F3583" s="77" t="s">
        <v>73</v>
      </c>
      <c r="G3583" s="77" t="s">
        <v>74</v>
      </c>
      <c r="H3583" s="77" t="s">
        <v>112</v>
      </c>
      <c r="I3583" s="77" t="s">
        <v>84</v>
      </c>
      <c r="J3583" s="76" cm="1">
        <f t="array" ref="J3583:J3585">'SUT_EU27 total'!$R$49:$R$51</f>
        <v>0</v>
      </c>
    </row>
    <row r="3584" spans="1:10" x14ac:dyDescent="0.35">
      <c r="A3584" t="s">
        <v>14</v>
      </c>
      <c r="B3584" t="s">
        <v>39</v>
      </c>
      <c r="C3584" s="77" t="s">
        <v>88</v>
      </c>
      <c r="D3584" t="s">
        <v>81</v>
      </c>
      <c r="E3584" s="77" t="s">
        <v>104</v>
      </c>
      <c r="F3584" s="77" t="s">
        <v>73</v>
      </c>
      <c r="G3584" s="77" t="s">
        <v>74</v>
      </c>
      <c r="H3584" s="77" t="s">
        <v>112</v>
      </c>
      <c r="I3584" s="77" t="s">
        <v>84</v>
      </c>
      <c r="J3584" s="76">
        <v>0</v>
      </c>
    </row>
    <row r="3585" spans="1:10" x14ac:dyDescent="0.35">
      <c r="A3585" t="s">
        <v>14</v>
      </c>
      <c r="B3585" t="s">
        <v>39</v>
      </c>
      <c r="C3585" s="77" t="s">
        <v>88</v>
      </c>
      <c r="D3585" t="s">
        <v>81</v>
      </c>
      <c r="E3585" s="77" t="s">
        <v>106</v>
      </c>
      <c r="F3585" s="77" t="s">
        <v>73</v>
      </c>
      <c r="G3585" s="77" t="s">
        <v>74</v>
      </c>
      <c r="H3585" s="77" t="s">
        <v>112</v>
      </c>
      <c r="I3585" s="77" t="s">
        <v>84</v>
      </c>
      <c r="J3585" s="76">
        <v>0</v>
      </c>
    </row>
    <row r="3586" spans="1:10" x14ac:dyDescent="0.35">
      <c r="A3586" t="s">
        <v>14</v>
      </c>
      <c r="B3586" t="s">
        <v>39</v>
      </c>
      <c r="C3586" s="77" t="s">
        <v>90</v>
      </c>
      <c r="D3586" t="s">
        <v>81</v>
      </c>
      <c r="E3586" s="77" t="s">
        <v>131</v>
      </c>
      <c r="F3586" s="77" t="s">
        <v>73</v>
      </c>
      <c r="G3586" s="77" t="s">
        <v>74</v>
      </c>
      <c r="H3586" s="77" t="s">
        <v>112</v>
      </c>
      <c r="I3586" s="77" t="s">
        <v>84</v>
      </c>
      <c r="J3586" s="76">
        <f>'SUT_EU27 total'!$R$58</f>
        <v>0</v>
      </c>
    </row>
    <row r="3587" spans="1:10" x14ac:dyDescent="0.35">
      <c r="A3587" t="s">
        <v>14</v>
      </c>
      <c r="B3587" t="s">
        <v>39</v>
      </c>
      <c r="C3587" s="77" t="s">
        <v>90</v>
      </c>
      <c r="D3587" t="s">
        <v>81</v>
      </c>
      <c r="E3587" s="77" t="s">
        <v>122</v>
      </c>
      <c r="F3587" s="77" t="s">
        <v>73</v>
      </c>
      <c r="G3587" s="77" t="s">
        <v>74</v>
      </c>
      <c r="H3587" s="77" t="s">
        <v>112</v>
      </c>
      <c r="I3587" s="77" t="s">
        <v>84</v>
      </c>
      <c r="J3587" s="76">
        <f>'SUT_EU27 total'!$R$64</f>
        <v>6.4108466461028498E-4</v>
      </c>
    </row>
    <row r="3588" spans="1:10" x14ac:dyDescent="0.35">
      <c r="A3588" t="s">
        <v>14</v>
      </c>
      <c r="B3588" t="s">
        <v>39</v>
      </c>
      <c r="C3588" s="77" t="s">
        <v>90</v>
      </c>
      <c r="D3588" t="s">
        <v>81</v>
      </c>
      <c r="E3588" s="77" t="s">
        <v>101</v>
      </c>
      <c r="F3588" s="77" t="s">
        <v>73</v>
      </c>
      <c r="G3588" s="77" t="s">
        <v>74</v>
      </c>
      <c r="H3588" s="77" t="s">
        <v>112</v>
      </c>
      <c r="I3588" s="77" t="s">
        <v>84</v>
      </c>
      <c r="J3588" s="76" cm="1">
        <f t="array" ref="J3588:J3590">'SUT_EU27 total'!$R$66:$R$68</f>
        <v>0</v>
      </c>
    </row>
    <row r="3589" spans="1:10" x14ac:dyDescent="0.35">
      <c r="A3589" t="s">
        <v>14</v>
      </c>
      <c r="B3589" t="s">
        <v>39</v>
      </c>
      <c r="C3589" s="77" t="s">
        <v>90</v>
      </c>
      <c r="D3589" t="s">
        <v>81</v>
      </c>
      <c r="E3589" s="77" t="s">
        <v>104</v>
      </c>
      <c r="F3589" s="77" t="s">
        <v>73</v>
      </c>
      <c r="G3589" s="77" t="s">
        <v>74</v>
      </c>
      <c r="H3589" s="77" t="s">
        <v>112</v>
      </c>
      <c r="I3589" s="77" t="s">
        <v>84</v>
      </c>
      <c r="J3589" s="76">
        <v>0</v>
      </c>
    </row>
    <row r="3590" spans="1:10" x14ac:dyDescent="0.35">
      <c r="A3590" t="s">
        <v>14</v>
      </c>
      <c r="B3590" t="s">
        <v>39</v>
      </c>
      <c r="C3590" s="77" t="s">
        <v>90</v>
      </c>
      <c r="D3590" t="s">
        <v>81</v>
      </c>
      <c r="E3590" s="77" t="s">
        <v>106</v>
      </c>
      <c r="F3590" s="77" t="s">
        <v>73</v>
      </c>
      <c r="G3590" s="77" t="s">
        <v>74</v>
      </c>
      <c r="H3590" s="77" t="s">
        <v>112</v>
      </c>
      <c r="I3590" s="77" t="s">
        <v>84</v>
      </c>
      <c r="J3590" s="76">
        <v>0</v>
      </c>
    </row>
    <row r="3591" spans="1:10" x14ac:dyDescent="0.35">
      <c r="A3591" t="s">
        <v>14</v>
      </c>
      <c r="B3591" t="s">
        <v>39</v>
      </c>
      <c r="C3591" s="77" t="s">
        <v>91</v>
      </c>
      <c r="D3591" t="s">
        <v>81</v>
      </c>
      <c r="E3591" s="77" t="s">
        <v>131</v>
      </c>
      <c r="F3591" s="77" t="s">
        <v>73</v>
      </c>
      <c r="G3591" s="77" t="s">
        <v>74</v>
      </c>
      <c r="H3591" s="77" t="s">
        <v>112</v>
      </c>
      <c r="I3591" s="77" t="s">
        <v>84</v>
      </c>
      <c r="J3591" s="76">
        <f>'SUT_EU27 total'!$R$75</f>
        <v>0</v>
      </c>
    </row>
    <row r="3592" spans="1:10" x14ac:dyDescent="0.35">
      <c r="A3592" t="s">
        <v>14</v>
      </c>
      <c r="B3592" t="s">
        <v>39</v>
      </c>
      <c r="C3592" s="77" t="s">
        <v>91</v>
      </c>
      <c r="D3592" t="s">
        <v>81</v>
      </c>
      <c r="E3592" s="77" t="s">
        <v>122</v>
      </c>
      <c r="F3592" s="77" t="s">
        <v>73</v>
      </c>
      <c r="G3592" s="77" t="s">
        <v>74</v>
      </c>
      <c r="H3592" s="77" t="s">
        <v>112</v>
      </c>
      <c r="I3592" s="77" t="s">
        <v>84</v>
      </c>
      <c r="J3592" s="76">
        <f>'SUT_EU27 total'!$R$81</f>
        <v>0</v>
      </c>
    </row>
    <row r="3593" spans="1:10" x14ac:dyDescent="0.35">
      <c r="A3593" t="s">
        <v>14</v>
      </c>
      <c r="B3593" t="s">
        <v>39</v>
      </c>
      <c r="C3593" s="77" t="s">
        <v>91</v>
      </c>
      <c r="D3593" t="s">
        <v>81</v>
      </c>
      <c r="E3593" s="77" t="s">
        <v>101</v>
      </c>
      <c r="F3593" s="77" t="s">
        <v>73</v>
      </c>
      <c r="G3593" s="77" t="s">
        <v>74</v>
      </c>
      <c r="H3593" s="77" t="s">
        <v>112</v>
      </c>
      <c r="I3593" s="77" t="s">
        <v>84</v>
      </c>
      <c r="J3593" s="76" cm="1">
        <f t="array" ref="J3593:J3595">'SUT_EU27 total'!$R$83:$R$85</f>
        <v>0</v>
      </c>
    </row>
    <row r="3594" spans="1:10" x14ac:dyDescent="0.35">
      <c r="A3594" t="s">
        <v>14</v>
      </c>
      <c r="B3594" t="s">
        <v>39</v>
      </c>
      <c r="C3594" s="77" t="s">
        <v>91</v>
      </c>
      <c r="D3594" t="s">
        <v>81</v>
      </c>
      <c r="E3594" s="77" t="s">
        <v>104</v>
      </c>
      <c r="F3594" s="77" t="s">
        <v>73</v>
      </c>
      <c r="G3594" s="77" t="s">
        <v>74</v>
      </c>
      <c r="H3594" s="77" t="s">
        <v>112</v>
      </c>
      <c r="I3594" s="77" t="s">
        <v>84</v>
      </c>
      <c r="J3594" s="76">
        <v>0</v>
      </c>
    </row>
    <row r="3595" spans="1:10" x14ac:dyDescent="0.35">
      <c r="A3595" t="s">
        <v>14</v>
      </c>
      <c r="B3595" t="s">
        <v>39</v>
      </c>
      <c r="C3595" s="77" t="s">
        <v>91</v>
      </c>
      <c r="D3595" t="s">
        <v>81</v>
      </c>
      <c r="E3595" s="77" t="s">
        <v>106</v>
      </c>
      <c r="F3595" s="77" t="s">
        <v>73</v>
      </c>
      <c r="G3595" s="77" t="s">
        <v>74</v>
      </c>
      <c r="H3595" s="77" t="s">
        <v>112</v>
      </c>
      <c r="I3595" s="77" t="s">
        <v>84</v>
      </c>
      <c r="J3595" s="76">
        <v>0</v>
      </c>
    </row>
    <row r="3596" spans="1:10" x14ac:dyDescent="0.35">
      <c r="A3596" t="s">
        <v>14</v>
      </c>
      <c r="B3596" t="s">
        <v>39</v>
      </c>
      <c r="C3596" s="77" t="s">
        <v>92</v>
      </c>
      <c r="D3596" t="s">
        <v>81</v>
      </c>
      <c r="E3596" s="77" t="s">
        <v>131</v>
      </c>
      <c r="F3596" s="77" t="s">
        <v>73</v>
      </c>
      <c r="G3596" s="77" t="s">
        <v>74</v>
      </c>
      <c r="H3596" s="77" t="s">
        <v>112</v>
      </c>
      <c r="I3596" s="77" t="s">
        <v>84</v>
      </c>
      <c r="J3596" s="76">
        <f>'SUT_EU27 total'!$R$92</f>
        <v>0</v>
      </c>
    </row>
    <row r="3597" spans="1:10" x14ac:dyDescent="0.35">
      <c r="A3597" t="s">
        <v>14</v>
      </c>
      <c r="B3597" t="s">
        <v>39</v>
      </c>
      <c r="C3597" s="77" t="s">
        <v>92</v>
      </c>
      <c r="D3597" t="s">
        <v>81</v>
      </c>
      <c r="E3597" s="77" t="s">
        <v>122</v>
      </c>
      <c r="F3597" s="77" t="s">
        <v>73</v>
      </c>
      <c r="G3597" s="77" t="s">
        <v>74</v>
      </c>
      <c r="H3597" s="77" t="s">
        <v>112</v>
      </c>
      <c r="I3597" s="77" t="s">
        <v>84</v>
      </c>
      <c r="J3597" s="76">
        <f>'SUT_EU27 total'!$R$98</f>
        <v>0</v>
      </c>
    </row>
    <row r="3598" spans="1:10" x14ac:dyDescent="0.35">
      <c r="A3598" t="s">
        <v>14</v>
      </c>
      <c r="B3598" t="s">
        <v>39</v>
      </c>
      <c r="C3598" s="77" t="s">
        <v>92</v>
      </c>
      <c r="D3598" t="s">
        <v>81</v>
      </c>
      <c r="E3598" s="77" t="s">
        <v>101</v>
      </c>
      <c r="F3598" s="77" t="s">
        <v>73</v>
      </c>
      <c r="G3598" s="77" t="s">
        <v>74</v>
      </c>
      <c r="H3598" s="77" t="s">
        <v>112</v>
      </c>
      <c r="I3598" s="77" t="s">
        <v>84</v>
      </c>
      <c r="J3598" s="76" cm="1">
        <f t="array" ref="J3598:J3600">'SUT_EU27 total'!$R$100:$R$102</f>
        <v>0</v>
      </c>
    </row>
    <row r="3599" spans="1:10" x14ac:dyDescent="0.35">
      <c r="A3599" t="s">
        <v>14</v>
      </c>
      <c r="B3599" t="s">
        <v>39</v>
      </c>
      <c r="C3599" s="77" t="s">
        <v>92</v>
      </c>
      <c r="D3599" t="s">
        <v>81</v>
      </c>
      <c r="E3599" s="77" t="s">
        <v>104</v>
      </c>
      <c r="F3599" s="77" t="s">
        <v>73</v>
      </c>
      <c r="G3599" s="77" t="s">
        <v>74</v>
      </c>
      <c r="H3599" s="77" t="s">
        <v>112</v>
      </c>
      <c r="I3599" s="77" t="s">
        <v>84</v>
      </c>
      <c r="J3599" s="76">
        <v>0</v>
      </c>
    </row>
    <row r="3600" spans="1:10" x14ac:dyDescent="0.35">
      <c r="A3600" t="s">
        <v>14</v>
      </c>
      <c r="B3600" t="s">
        <v>39</v>
      </c>
      <c r="C3600" s="77" t="s">
        <v>92</v>
      </c>
      <c r="D3600" t="s">
        <v>81</v>
      </c>
      <c r="E3600" s="77" t="s">
        <v>106</v>
      </c>
      <c r="F3600" s="77" t="s">
        <v>73</v>
      </c>
      <c r="G3600" s="77" t="s">
        <v>74</v>
      </c>
      <c r="H3600" s="77" t="s">
        <v>112</v>
      </c>
      <c r="I3600" s="77" t="s">
        <v>84</v>
      </c>
      <c r="J3600" s="76">
        <v>0</v>
      </c>
    </row>
    <row r="3601" spans="1:10" x14ac:dyDescent="0.35">
      <c r="A3601" t="s">
        <v>14</v>
      </c>
      <c r="B3601" t="s">
        <v>39</v>
      </c>
      <c r="C3601" s="77" t="s">
        <v>93</v>
      </c>
      <c r="D3601" t="s">
        <v>81</v>
      </c>
      <c r="E3601" s="77" t="s">
        <v>131</v>
      </c>
      <c r="F3601" s="77" t="s">
        <v>73</v>
      </c>
      <c r="G3601" s="77" t="s">
        <v>74</v>
      </c>
      <c r="H3601" s="77" t="s">
        <v>112</v>
      </c>
      <c r="I3601" s="77" t="s">
        <v>84</v>
      </c>
      <c r="J3601" s="76">
        <f>'SUT_EU27 total'!$R$109</f>
        <v>0</v>
      </c>
    </row>
    <row r="3602" spans="1:10" x14ac:dyDescent="0.35">
      <c r="A3602" t="s">
        <v>14</v>
      </c>
      <c r="B3602" t="s">
        <v>39</v>
      </c>
      <c r="C3602" s="77" t="s">
        <v>93</v>
      </c>
      <c r="D3602" t="s">
        <v>81</v>
      </c>
      <c r="E3602" s="77" t="s">
        <v>122</v>
      </c>
      <c r="F3602" s="77" t="s">
        <v>73</v>
      </c>
      <c r="G3602" s="77" t="s">
        <v>74</v>
      </c>
      <c r="H3602" s="77" t="s">
        <v>112</v>
      </c>
      <c r="I3602" s="77" t="s">
        <v>84</v>
      </c>
      <c r="J3602" s="76">
        <f>'SUT_EU27 total'!$R$115</f>
        <v>2.188358424259166E-3</v>
      </c>
    </row>
    <row r="3603" spans="1:10" x14ac:dyDescent="0.35">
      <c r="A3603" t="s">
        <v>14</v>
      </c>
      <c r="B3603" t="s">
        <v>39</v>
      </c>
      <c r="C3603" s="77" t="s">
        <v>93</v>
      </c>
      <c r="D3603" t="s">
        <v>81</v>
      </c>
      <c r="E3603" s="77" t="s">
        <v>101</v>
      </c>
      <c r="F3603" s="77" t="s">
        <v>73</v>
      </c>
      <c r="G3603" s="77" t="s">
        <v>74</v>
      </c>
      <c r="H3603" s="77" t="s">
        <v>112</v>
      </c>
      <c r="I3603" s="77" t="s">
        <v>84</v>
      </c>
      <c r="J3603" s="76" cm="1">
        <f t="array" ref="J3603:J3605">'SUT_EU27 total'!$R$117:$R$119</f>
        <v>0</v>
      </c>
    </row>
    <row r="3604" spans="1:10" x14ac:dyDescent="0.35">
      <c r="A3604" t="s">
        <v>14</v>
      </c>
      <c r="B3604" t="s">
        <v>39</v>
      </c>
      <c r="C3604" s="77" t="s">
        <v>93</v>
      </c>
      <c r="D3604" t="s">
        <v>81</v>
      </c>
      <c r="E3604" s="77" t="s">
        <v>104</v>
      </c>
      <c r="F3604" s="77" t="s">
        <v>73</v>
      </c>
      <c r="G3604" s="77" t="s">
        <v>74</v>
      </c>
      <c r="H3604" s="77" t="s">
        <v>112</v>
      </c>
      <c r="I3604" s="77" t="s">
        <v>84</v>
      </c>
      <c r="J3604" s="76">
        <v>0</v>
      </c>
    </row>
    <row r="3605" spans="1:10" x14ac:dyDescent="0.35">
      <c r="A3605" t="s">
        <v>14</v>
      </c>
      <c r="B3605" t="s">
        <v>39</v>
      </c>
      <c r="C3605" s="77" t="s">
        <v>93</v>
      </c>
      <c r="D3605" t="s">
        <v>81</v>
      </c>
      <c r="E3605" s="77" t="s">
        <v>106</v>
      </c>
      <c r="F3605" s="77" t="s">
        <v>73</v>
      </c>
      <c r="G3605" s="77" t="s">
        <v>74</v>
      </c>
      <c r="H3605" s="77" t="s">
        <v>112</v>
      </c>
      <c r="I3605" s="77" t="s">
        <v>84</v>
      </c>
      <c r="J3605" s="76">
        <v>0</v>
      </c>
    </row>
    <row r="3606" spans="1:10" x14ac:dyDescent="0.35">
      <c r="A3606" t="s">
        <v>14</v>
      </c>
      <c r="B3606" t="s">
        <v>39</v>
      </c>
      <c r="C3606" s="77" t="s">
        <v>73</v>
      </c>
      <c r="D3606" t="s">
        <v>81</v>
      </c>
      <c r="E3606" s="77" t="s">
        <v>131</v>
      </c>
      <c r="F3606" s="77" t="s">
        <v>73</v>
      </c>
      <c r="G3606" s="77" t="s">
        <v>74</v>
      </c>
      <c r="H3606" s="77" t="s">
        <v>113</v>
      </c>
      <c r="I3606" s="77" t="s">
        <v>84</v>
      </c>
      <c r="J3606" s="76">
        <f>'SUT_EU27 total'!$S$24</f>
        <v>5.0294789999999994E-8</v>
      </c>
    </row>
    <row r="3607" spans="1:10" x14ac:dyDescent="0.35">
      <c r="A3607" t="s">
        <v>14</v>
      </c>
      <c r="B3607" t="s">
        <v>39</v>
      </c>
      <c r="C3607" s="77" t="s">
        <v>73</v>
      </c>
      <c r="D3607" t="s">
        <v>81</v>
      </c>
      <c r="E3607" s="77" t="s">
        <v>101</v>
      </c>
      <c r="F3607" s="77" t="s">
        <v>73</v>
      </c>
      <c r="G3607" s="77" t="s">
        <v>74</v>
      </c>
      <c r="H3607" s="77" t="s">
        <v>113</v>
      </c>
      <c r="I3607" s="77" t="s">
        <v>84</v>
      </c>
      <c r="J3607" s="471" cm="1">
        <f t="array" ref="J3607:J3609">Sensitivity!J101:J103</f>
        <v>6.8810429691480707E-5</v>
      </c>
    </row>
    <row r="3608" spans="1:10" x14ac:dyDescent="0.35">
      <c r="A3608" t="s">
        <v>14</v>
      </c>
      <c r="B3608" t="s">
        <v>39</v>
      </c>
      <c r="C3608" s="77" t="s">
        <v>73</v>
      </c>
      <c r="D3608" t="s">
        <v>81</v>
      </c>
      <c r="E3608" s="77" t="s">
        <v>104</v>
      </c>
      <c r="F3608" s="77" t="s">
        <v>73</v>
      </c>
      <c r="G3608" s="77" t="s">
        <v>74</v>
      </c>
      <c r="H3608" s="77" t="s">
        <v>113</v>
      </c>
      <c r="I3608" s="77" t="s">
        <v>84</v>
      </c>
      <c r="J3608" s="471">
        <v>3.9457883069482079E-5</v>
      </c>
    </row>
    <row r="3609" spans="1:10" x14ac:dyDescent="0.35">
      <c r="A3609" t="s">
        <v>14</v>
      </c>
      <c r="B3609" t="s">
        <v>39</v>
      </c>
      <c r="C3609" s="77" t="s">
        <v>73</v>
      </c>
      <c r="D3609" t="s">
        <v>81</v>
      </c>
      <c r="E3609" s="77" t="s">
        <v>106</v>
      </c>
      <c r="F3609" s="77" t="s">
        <v>73</v>
      </c>
      <c r="G3609" s="77" t="s">
        <v>74</v>
      </c>
      <c r="H3609" s="77" t="s">
        <v>113</v>
      </c>
      <c r="I3609" s="77" t="s">
        <v>84</v>
      </c>
      <c r="J3609" s="471">
        <v>5.8649334297860749E-5</v>
      </c>
    </row>
    <row r="3610" spans="1:10" x14ac:dyDescent="0.35">
      <c r="A3610" t="s">
        <v>14</v>
      </c>
      <c r="B3610" t="s">
        <v>39</v>
      </c>
      <c r="C3610" s="77" t="s">
        <v>88</v>
      </c>
      <c r="D3610" t="s">
        <v>81</v>
      </c>
      <c r="E3610" s="77" t="s">
        <v>131</v>
      </c>
      <c r="F3610" s="77" t="s">
        <v>73</v>
      </c>
      <c r="G3610" s="77" t="s">
        <v>74</v>
      </c>
      <c r="H3610" s="77" t="s">
        <v>113</v>
      </c>
      <c r="I3610" s="77" t="s">
        <v>84</v>
      </c>
      <c r="J3610" s="76">
        <f>'SUT_EU27 total'!$S$41</f>
        <v>0</v>
      </c>
    </row>
    <row r="3611" spans="1:10" x14ac:dyDescent="0.35">
      <c r="A3611" t="s">
        <v>14</v>
      </c>
      <c r="B3611" t="s">
        <v>39</v>
      </c>
      <c r="C3611" s="77" t="s">
        <v>88</v>
      </c>
      <c r="D3611" t="s">
        <v>81</v>
      </c>
      <c r="E3611" s="77" t="s">
        <v>101</v>
      </c>
      <c r="F3611" s="77" t="s">
        <v>73</v>
      </c>
      <c r="G3611" s="77" t="s">
        <v>74</v>
      </c>
      <c r="H3611" s="77" t="s">
        <v>113</v>
      </c>
      <c r="I3611" s="77" t="s">
        <v>84</v>
      </c>
      <c r="J3611" s="76" cm="1">
        <f t="array" ref="J3611:J3613">'SUT_EU27 total'!$S$49:$S$51</f>
        <v>0</v>
      </c>
    </row>
    <row r="3612" spans="1:10" x14ac:dyDescent="0.35">
      <c r="A3612" t="s">
        <v>14</v>
      </c>
      <c r="B3612" t="s">
        <v>39</v>
      </c>
      <c r="C3612" s="77" t="s">
        <v>88</v>
      </c>
      <c r="D3612" t="s">
        <v>81</v>
      </c>
      <c r="E3612" s="77" t="s">
        <v>104</v>
      </c>
      <c r="F3612" s="77" t="s">
        <v>73</v>
      </c>
      <c r="G3612" s="77" t="s">
        <v>74</v>
      </c>
      <c r="H3612" s="77" t="s">
        <v>113</v>
      </c>
      <c r="I3612" s="77" t="s">
        <v>84</v>
      </c>
      <c r="J3612" s="76">
        <v>0</v>
      </c>
    </row>
    <row r="3613" spans="1:10" x14ac:dyDescent="0.35">
      <c r="A3613" t="s">
        <v>14</v>
      </c>
      <c r="B3613" t="s">
        <v>39</v>
      </c>
      <c r="C3613" s="77" t="s">
        <v>88</v>
      </c>
      <c r="D3613" t="s">
        <v>81</v>
      </c>
      <c r="E3613" s="77" t="s">
        <v>106</v>
      </c>
      <c r="F3613" s="77" t="s">
        <v>73</v>
      </c>
      <c r="G3613" s="77" t="s">
        <v>74</v>
      </c>
      <c r="H3613" s="77" t="s">
        <v>113</v>
      </c>
      <c r="I3613" s="77" t="s">
        <v>84</v>
      </c>
      <c r="J3613" s="76">
        <v>0</v>
      </c>
    </row>
    <row r="3614" spans="1:10" x14ac:dyDescent="0.35">
      <c r="A3614" t="s">
        <v>14</v>
      </c>
      <c r="B3614" t="s">
        <v>39</v>
      </c>
      <c r="C3614" s="77" t="s">
        <v>90</v>
      </c>
      <c r="D3614" t="s">
        <v>81</v>
      </c>
      <c r="E3614" s="77" t="s">
        <v>131</v>
      </c>
      <c r="F3614" s="77" t="s">
        <v>73</v>
      </c>
      <c r="G3614" s="77" t="s">
        <v>74</v>
      </c>
      <c r="H3614" s="77" t="s">
        <v>113</v>
      </c>
      <c r="I3614" s="77" t="s">
        <v>84</v>
      </c>
      <c r="J3614" s="76">
        <f>'SUT_EU27 total'!$S$58</f>
        <v>0</v>
      </c>
    </row>
    <row r="3615" spans="1:10" x14ac:dyDescent="0.35">
      <c r="A3615" t="s">
        <v>14</v>
      </c>
      <c r="B3615" t="s">
        <v>39</v>
      </c>
      <c r="C3615" s="77" t="s">
        <v>90</v>
      </c>
      <c r="D3615" t="s">
        <v>81</v>
      </c>
      <c r="E3615" s="77" t="s">
        <v>101</v>
      </c>
      <c r="F3615" s="77" t="s">
        <v>73</v>
      </c>
      <c r="G3615" s="77" t="s">
        <v>74</v>
      </c>
      <c r="H3615" s="77" t="s">
        <v>113</v>
      </c>
      <c r="I3615" s="77" t="s">
        <v>84</v>
      </c>
      <c r="J3615" s="76" cm="1">
        <f t="array" ref="J3615:J3617">'SUT_EU27 total'!$S$66:$S$68</f>
        <v>0</v>
      </c>
    </row>
    <row r="3616" spans="1:10" x14ac:dyDescent="0.35">
      <c r="A3616" t="s">
        <v>14</v>
      </c>
      <c r="B3616" t="s">
        <v>39</v>
      </c>
      <c r="C3616" s="77" t="s">
        <v>90</v>
      </c>
      <c r="D3616" t="s">
        <v>81</v>
      </c>
      <c r="E3616" s="77" t="s">
        <v>104</v>
      </c>
      <c r="F3616" s="77" t="s">
        <v>73</v>
      </c>
      <c r="G3616" s="77" t="s">
        <v>74</v>
      </c>
      <c r="H3616" s="77" t="s">
        <v>113</v>
      </c>
      <c r="I3616" s="77" t="s">
        <v>84</v>
      </c>
      <c r="J3616" s="76">
        <v>0</v>
      </c>
    </row>
    <row r="3617" spans="1:10" x14ac:dyDescent="0.35">
      <c r="A3617" t="s">
        <v>14</v>
      </c>
      <c r="B3617" t="s">
        <v>39</v>
      </c>
      <c r="C3617" s="77" t="s">
        <v>90</v>
      </c>
      <c r="D3617" t="s">
        <v>81</v>
      </c>
      <c r="E3617" s="77" t="s">
        <v>106</v>
      </c>
      <c r="F3617" s="77" t="s">
        <v>73</v>
      </c>
      <c r="G3617" s="77" t="s">
        <v>74</v>
      </c>
      <c r="H3617" s="77" t="s">
        <v>113</v>
      </c>
      <c r="I3617" s="77" t="s">
        <v>84</v>
      </c>
      <c r="J3617" s="76">
        <v>0</v>
      </c>
    </row>
    <row r="3618" spans="1:10" x14ac:dyDescent="0.35">
      <c r="A3618" t="s">
        <v>14</v>
      </c>
      <c r="B3618" t="s">
        <v>39</v>
      </c>
      <c r="C3618" s="77" t="s">
        <v>91</v>
      </c>
      <c r="D3618" t="s">
        <v>81</v>
      </c>
      <c r="E3618" s="77" t="s">
        <v>131</v>
      </c>
      <c r="F3618" s="77" t="s">
        <v>73</v>
      </c>
      <c r="G3618" s="77" t="s">
        <v>74</v>
      </c>
      <c r="H3618" s="77" t="s">
        <v>113</v>
      </c>
      <c r="I3618" s="77" t="s">
        <v>84</v>
      </c>
      <c r="J3618" s="76">
        <f>'SUT_EU27 total'!$S$75</f>
        <v>0</v>
      </c>
    </row>
    <row r="3619" spans="1:10" x14ac:dyDescent="0.35">
      <c r="A3619" t="s">
        <v>14</v>
      </c>
      <c r="B3619" t="s">
        <v>39</v>
      </c>
      <c r="C3619" s="77" t="s">
        <v>91</v>
      </c>
      <c r="D3619" t="s">
        <v>81</v>
      </c>
      <c r="E3619" s="77" t="s">
        <v>101</v>
      </c>
      <c r="F3619" s="77" t="s">
        <v>73</v>
      </c>
      <c r="G3619" s="77" t="s">
        <v>74</v>
      </c>
      <c r="H3619" s="77" t="s">
        <v>113</v>
      </c>
      <c r="I3619" s="77" t="s">
        <v>84</v>
      </c>
      <c r="J3619" s="76" cm="1">
        <f t="array" ref="J3619:J3621">'SUT_EU27 total'!$S$83:$S$85</f>
        <v>0</v>
      </c>
    </row>
    <row r="3620" spans="1:10" x14ac:dyDescent="0.35">
      <c r="A3620" t="s">
        <v>14</v>
      </c>
      <c r="B3620" t="s">
        <v>39</v>
      </c>
      <c r="C3620" s="77" t="s">
        <v>91</v>
      </c>
      <c r="D3620" t="s">
        <v>81</v>
      </c>
      <c r="E3620" s="77" t="s">
        <v>104</v>
      </c>
      <c r="F3620" s="77" t="s">
        <v>73</v>
      </c>
      <c r="G3620" s="77" t="s">
        <v>74</v>
      </c>
      <c r="H3620" s="77" t="s">
        <v>113</v>
      </c>
      <c r="I3620" s="77" t="s">
        <v>84</v>
      </c>
      <c r="J3620" s="76">
        <v>0</v>
      </c>
    </row>
    <row r="3621" spans="1:10" x14ac:dyDescent="0.35">
      <c r="A3621" t="s">
        <v>14</v>
      </c>
      <c r="B3621" t="s">
        <v>39</v>
      </c>
      <c r="C3621" s="77" t="s">
        <v>91</v>
      </c>
      <c r="D3621" t="s">
        <v>81</v>
      </c>
      <c r="E3621" s="77" t="s">
        <v>106</v>
      </c>
      <c r="F3621" s="77" t="s">
        <v>73</v>
      </c>
      <c r="G3621" s="77" t="s">
        <v>74</v>
      </c>
      <c r="H3621" s="77" t="s">
        <v>113</v>
      </c>
      <c r="I3621" s="77" t="s">
        <v>84</v>
      </c>
      <c r="J3621" s="76">
        <v>0</v>
      </c>
    </row>
    <row r="3622" spans="1:10" x14ac:dyDescent="0.35">
      <c r="A3622" t="s">
        <v>14</v>
      </c>
      <c r="B3622" t="s">
        <v>39</v>
      </c>
      <c r="C3622" s="77" t="s">
        <v>92</v>
      </c>
      <c r="D3622" t="s">
        <v>81</v>
      </c>
      <c r="E3622" s="77" t="s">
        <v>131</v>
      </c>
      <c r="F3622" s="77" t="s">
        <v>73</v>
      </c>
      <c r="G3622" s="77" t="s">
        <v>74</v>
      </c>
      <c r="H3622" s="77" t="s">
        <v>113</v>
      </c>
      <c r="I3622" s="77" t="s">
        <v>84</v>
      </c>
      <c r="J3622" s="76">
        <f>'SUT_EU27 total'!$S$92</f>
        <v>0</v>
      </c>
    </row>
    <row r="3623" spans="1:10" x14ac:dyDescent="0.35">
      <c r="A3623" t="s">
        <v>14</v>
      </c>
      <c r="B3623" t="s">
        <v>39</v>
      </c>
      <c r="C3623" s="77" t="s">
        <v>92</v>
      </c>
      <c r="D3623" t="s">
        <v>81</v>
      </c>
      <c r="E3623" s="77" t="s">
        <v>101</v>
      </c>
      <c r="F3623" s="77" t="s">
        <v>73</v>
      </c>
      <c r="G3623" s="77" t="s">
        <v>74</v>
      </c>
      <c r="H3623" s="77" t="s">
        <v>113</v>
      </c>
      <c r="I3623" s="77" t="s">
        <v>84</v>
      </c>
      <c r="J3623" s="76" cm="1">
        <f t="array" ref="J3623:J3625">'SUT_EU27 total'!$S$100:$S$102</f>
        <v>0</v>
      </c>
    </row>
    <row r="3624" spans="1:10" x14ac:dyDescent="0.35">
      <c r="A3624" t="s">
        <v>14</v>
      </c>
      <c r="B3624" t="s">
        <v>39</v>
      </c>
      <c r="C3624" s="77" t="s">
        <v>92</v>
      </c>
      <c r="D3624" t="s">
        <v>81</v>
      </c>
      <c r="E3624" s="77" t="s">
        <v>104</v>
      </c>
      <c r="F3624" s="77" t="s">
        <v>73</v>
      </c>
      <c r="G3624" s="77" t="s">
        <v>74</v>
      </c>
      <c r="H3624" s="77" t="s">
        <v>113</v>
      </c>
      <c r="I3624" s="77" t="s">
        <v>84</v>
      </c>
      <c r="J3624" s="76">
        <v>0</v>
      </c>
    </row>
    <row r="3625" spans="1:10" x14ac:dyDescent="0.35">
      <c r="A3625" t="s">
        <v>14</v>
      </c>
      <c r="B3625" t="s">
        <v>39</v>
      </c>
      <c r="C3625" s="77" t="s">
        <v>92</v>
      </c>
      <c r="D3625" t="s">
        <v>81</v>
      </c>
      <c r="E3625" s="77" t="s">
        <v>106</v>
      </c>
      <c r="F3625" s="77" t="s">
        <v>73</v>
      </c>
      <c r="G3625" s="77" t="s">
        <v>74</v>
      </c>
      <c r="H3625" s="77" t="s">
        <v>113</v>
      </c>
      <c r="I3625" s="77" t="s">
        <v>84</v>
      </c>
      <c r="J3625" s="76">
        <v>0</v>
      </c>
    </row>
    <row r="3626" spans="1:10" x14ac:dyDescent="0.35">
      <c r="A3626" t="s">
        <v>14</v>
      </c>
      <c r="B3626" t="s">
        <v>39</v>
      </c>
      <c r="C3626" s="77" t="s">
        <v>93</v>
      </c>
      <c r="D3626" t="s">
        <v>81</v>
      </c>
      <c r="E3626" s="77" t="s">
        <v>131</v>
      </c>
      <c r="F3626" s="77" t="s">
        <v>73</v>
      </c>
      <c r="G3626" s="77" t="s">
        <v>74</v>
      </c>
      <c r="H3626" s="77" t="s">
        <v>113</v>
      </c>
      <c r="I3626" s="77" t="s">
        <v>84</v>
      </c>
      <c r="J3626" s="76">
        <f>'SUT_EU27 total'!$S$109</f>
        <v>0</v>
      </c>
    </row>
    <row r="3627" spans="1:10" x14ac:dyDescent="0.35">
      <c r="A3627" t="s">
        <v>14</v>
      </c>
      <c r="B3627" t="s">
        <v>39</v>
      </c>
      <c r="C3627" s="77" t="s">
        <v>93</v>
      </c>
      <c r="D3627" t="s">
        <v>81</v>
      </c>
      <c r="E3627" s="77" t="s">
        <v>101</v>
      </c>
      <c r="F3627" s="77" t="s">
        <v>73</v>
      </c>
      <c r="G3627" s="77" t="s">
        <v>74</v>
      </c>
      <c r="H3627" s="77" t="s">
        <v>113</v>
      </c>
      <c r="I3627" s="77" t="s">
        <v>84</v>
      </c>
      <c r="J3627" s="76" cm="1">
        <f t="array" ref="J3627:J3629">'SUT_EU27 total'!$S$117:$S$119</f>
        <v>0</v>
      </c>
    </row>
    <row r="3628" spans="1:10" x14ac:dyDescent="0.35">
      <c r="A3628" t="s">
        <v>14</v>
      </c>
      <c r="B3628" t="s">
        <v>39</v>
      </c>
      <c r="C3628" s="77" t="s">
        <v>93</v>
      </c>
      <c r="D3628" t="s">
        <v>81</v>
      </c>
      <c r="E3628" s="77" t="s">
        <v>104</v>
      </c>
      <c r="F3628" s="77" t="s">
        <v>73</v>
      </c>
      <c r="G3628" s="77" t="s">
        <v>74</v>
      </c>
      <c r="H3628" s="77" t="s">
        <v>113</v>
      </c>
      <c r="I3628" s="77" t="s">
        <v>84</v>
      </c>
      <c r="J3628" s="76">
        <v>0</v>
      </c>
    </row>
    <row r="3629" spans="1:10" x14ac:dyDescent="0.35">
      <c r="A3629" t="s">
        <v>14</v>
      </c>
      <c r="B3629" t="s">
        <v>39</v>
      </c>
      <c r="C3629" s="77" t="s">
        <v>93</v>
      </c>
      <c r="D3629" t="s">
        <v>81</v>
      </c>
      <c r="E3629" s="77" t="s">
        <v>106</v>
      </c>
      <c r="F3629" s="77" t="s">
        <v>73</v>
      </c>
      <c r="G3629" s="77" t="s">
        <v>74</v>
      </c>
      <c r="H3629" s="77" t="s">
        <v>113</v>
      </c>
      <c r="I3629" s="77" t="s">
        <v>84</v>
      </c>
      <c r="J3629" s="76">
        <v>0</v>
      </c>
    </row>
    <row r="3630" spans="1:10" x14ac:dyDescent="0.35">
      <c r="A3630" t="s">
        <v>14</v>
      </c>
      <c r="B3630" t="s">
        <v>39</v>
      </c>
      <c r="C3630" s="77" t="s">
        <v>73</v>
      </c>
      <c r="D3630" t="s">
        <v>74</v>
      </c>
      <c r="E3630" s="77" t="s">
        <v>123</v>
      </c>
      <c r="F3630" s="77" t="s">
        <v>73</v>
      </c>
      <c r="G3630" s="77" t="s">
        <v>81</v>
      </c>
      <c r="H3630" s="77" t="s">
        <v>115</v>
      </c>
      <c r="I3630" s="77" t="s">
        <v>84</v>
      </c>
      <c r="J3630" s="76" cm="1">
        <f t="array" ref="J3630:J3636">TRANSPOSE('2030 pathways'!$C$9:$I$9)</f>
        <v>5.8999999999999997E-2</v>
      </c>
    </row>
    <row r="3631" spans="1:10" x14ac:dyDescent="0.35">
      <c r="A3631" t="s">
        <v>14</v>
      </c>
      <c r="B3631" t="s">
        <v>39</v>
      </c>
      <c r="C3631" s="77" t="s">
        <v>73</v>
      </c>
      <c r="D3631" t="s">
        <v>74</v>
      </c>
      <c r="E3631" s="77" t="s">
        <v>127</v>
      </c>
      <c r="F3631" s="77" t="s">
        <v>73</v>
      </c>
      <c r="G3631" s="77" t="s">
        <v>81</v>
      </c>
      <c r="H3631" s="77" t="s">
        <v>115</v>
      </c>
      <c r="I3631" s="77" t="s">
        <v>84</v>
      </c>
      <c r="J3631" s="76">
        <v>5.8999999999999999E-3</v>
      </c>
    </row>
    <row r="3632" spans="1:10" x14ac:dyDescent="0.35">
      <c r="A3632" t="s">
        <v>14</v>
      </c>
      <c r="B3632" t="s">
        <v>39</v>
      </c>
      <c r="C3632" s="77" t="s">
        <v>73</v>
      </c>
      <c r="D3632" t="s">
        <v>74</v>
      </c>
      <c r="E3632" s="77" t="s">
        <v>128</v>
      </c>
      <c r="F3632" s="77" t="s">
        <v>73</v>
      </c>
      <c r="G3632" s="77" t="s">
        <v>81</v>
      </c>
      <c r="H3632" s="77" t="s">
        <v>115</v>
      </c>
      <c r="I3632" s="77" t="s">
        <v>84</v>
      </c>
      <c r="J3632" s="76">
        <v>1.18E-2</v>
      </c>
    </row>
    <row r="3633" spans="1:10" x14ac:dyDescent="0.35">
      <c r="A3633" t="s">
        <v>14</v>
      </c>
      <c r="B3633" t="s">
        <v>39</v>
      </c>
      <c r="C3633" s="77" t="s">
        <v>73</v>
      </c>
      <c r="D3633" t="s">
        <v>74</v>
      </c>
      <c r="E3633" s="77" t="s">
        <v>129</v>
      </c>
      <c r="F3633" s="77" t="s">
        <v>73</v>
      </c>
      <c r="G3633" s="77" t="s">
        <v>81</v>
      </c>
      <c r="H3633" s="77" t="s">
        <v>115</v>
      </c>
      <c r="I3633" s="77" t="s">
        <v>84</v>
      </c>
      <c r="J3633" s="76">
        <v>3.5399999999999994E-2</v>
      </c>
    </row>
    <row r="3634" spans="1:10" x14ac:dyDescent="0.35">
      <c r="A3634" t="s">
        <v>14</v>
      </c>
      <c r="B3634" t="s">
        <v>39</v>
      </c>
      <c r="C3634" s="77" t="s">
        <v>73</v>
      </c>
      <c r="D3634" t="s">
        <v>74</v>
      </c>
      <c r="E3634" s="77" t="s">
        <v>77</v>
      </c>
      <c r="F3634" s="77" t="s">
        <v>73</v>
      </c>
      <c r="G3634" s="77" t="s">
        <v>81</v>
      </c>
      <c r="H3634" s="77" t="s">
        <v>115</v>
      </c>
      <c r="I3634" s="77" t="s">
        <v>84</v>
      </c>
      <c r="J3634" s="76">
        <v>1.7699999999999997E-2</v>
      </c>
    </row>
    <row r="3635" spans="1:10" x14ac:dyDescent="0.35">
      <c r="A3635" t="s">
        <v>14</v>
      </c>
      <c r="B3635" t="s">
        <v>39</v>
      </c>
      <c r="C3635" s="77" t="s">
        <v>73</v>
      </c>
      <c r="D3635" t="s">
        <v>74</v>
      </c>
      <c r="E3635" s="77" t="s">
        <v>130</v>
      </c>
      <c r="F3635" s="77" t="s">
        <v>73</v>
      </c>
      <c r="G3635" s="77" t="s">
        <v>81</v>
      </c>
      <c r="H3635" s="77" t="s">
        <v>115</v>
      </c>
      <c r="I3635" s="77" t="s">
        <v>84</v>
      </c>
      <c r="J3635" s="76">
        <v>0.4602</v>
      </c>
    </row>
    <row r="3636" spans="1:10" x14ac:dyDescent="0.35">
      <c r="A3636" t="s">
        <v>14</v>
      </c>
      <c r="B3636" t="s">
        <v>39</v>
      </c>
      <c r="C3636" s="77" t="s">
        <v>73</v>
      </c>
      <c r="D3636" t="s">
        <v>74</v>
      </c>
      <c r="E3636" s="77" t="s">
        <v>132</v>
      </c>
      <c r="F3636" s="77" t="s">
        <v>73</v>
      </c>
      <c r="G3636" s="77" t="s">
        <v>81</v>
      </c>
      <c r="H3636" s="77" t="s">
        <v>115</v>
      </c>
      <c r="I3636" s="77" t="s">
        <v>84</v>
      </c>
      <c r="J3636" s="76">
        <v>0.41</v>
      </c>
    </row>
    <row r="3637" spans="1:10" x14ac:dyDescent="0.35">
      <c r="A3637" t="s">
        <v>14</v>
      </c>
      <c r="B3637" t="s">
        <v>39</v>
      </c>
      <c r="C3637" s="77" t="s">
        <v>73</v>
      </c>
      <c r="D3637" t="s">
        <v>74</v>
      </c>
      <c r="E3637" s="77" t="s">
        <v>133</v>
      </c>
      <c r="F3637" s="77" t="s">
        <v>73</v>
      </c>
      <c r="G3637" s="77" t="s">
        <v>81</v>
      </c>
      <c r="H3637" s="77" t="s">
        <v>115</v>
      </c>
      <c r="I3637" s="77" t="s">
        <v>84</v>
      </c>
      <c r="J3637" s="76">
        <v>0</v>
      </c>
    </row>
    <row r="3638" spans="1:10" x14ac:dyDescent="0.35">
      <c r="A3638" s="385" t="s">
        <v>15</v>
      </c>
      <c r="B3638" s="385" t="s">
        <v>33</v>
      </c>
      <c r="C3638" s="474" t="s">
        <v>73</v>
      </c>
      <c r="D3638" s="385" t="s">
        <v>81</v>
      </c>
      <c r="E3638" s="474" t="s">
        <v>115</v>
      </c>
      <c r="F3638" s="474" t="s">
        <v>73</v>
      </c>
      <c r="G3638" s="474" t="s">
        <v>74</v>
      </c>
      <c r="H3638" s="474" t="s">
        <v>102</v>
      </c>
      <c r="I3638" s="474" t="s">
        <v>84</v>
      </c>
      <c r="J3638" s="475" cm="1">
        <f t="array" ref="J3638:J3639">'SUT_EU27 total'!$J$19:$J$20</f>
        <v>11.828571428571427</v>
      </c>
    </row>
    <row r="3639" spans="1:10" x14ac:dyDescent="0.35">
      <c r="A3639" t="s">
        <v>15</v>
      </c>
      <c r="B3639" t="s">
        <v>33</v>
      </c>
      <c r="C3639" s="77" t="s">
        <v>73</v>
      </c>
      <c r="D3639" t="s">
        <v>81</v>
      </c>
      <c r="E3639" s="77" t="s">
        <v>116</v>
      </c>
      <c r="F3639" s="77" t="s">
        <v>73</v>
      </c>
      <c r="G3639" s="77" t="s">
        <v>74</v>
      </c>
      <c r="H3639" s="77" t="s">
        <v>102</v>
      </c>
      <c r="I3639" s="77" t="s">
        <v>84</v>
      </c>
      <c r="J3639" s="76">
        <v>3.3421988920214002E-2</v>
      </c>
    </row>
    <row r="3640" spans="1:10" x14ac:dyDescent="0.35">
      <c r="A3640" t="s">
        <v>15</v>
      </c>
      <c r="B3640" t="s">
        <v>33</v>
      </c>
      <c r="C3640" s="77" t="s">
        <v>73</v>
      </c>
      <c r="D3640" t="s">
        <v>81</v>
      </c>
      <c r="E3640" s="77" t="s">
        <v>117</v>
      </c>
      <c r="F3640" s="77" t="s">
        <v>73</v>
      </c>
      <c r="G3640" s="77" t="s">
        <v>74</v>
      </c>
      <c r="H3640" s="77" t="s">
        <v>102</v>
      </c>
      <c r="I3640" s="77" t="s">
        <v>84</v>
      </c>
      <c r="J3640" s="76">
        <f>'SUT_EU27 total'!$J$27</f>
        <v>20.996100000000002</v>
      </c>
    </row>
    <row r="3641" spans="1:10" x14ac:dyDescent="0.35">
      <c r="A3641" t="s">
        <v>15</v>
      </c>
      <c r="B3641" t="s">
        <v>33</v>
      </c>
      <c r="C3641" s="77" t="s">
        <v>73</v>
      </c>
      <c r="D3641" t="s">
        <v>81</v>
      </c>
      <c r="E3641" s="77" t="s">
        <v>101</v>
      </c>
      <c r="F3641" s="77" t="s">
        <v>73</v>
      </c>
      <c r="G3641" s="77" t="s">
        <v>74</v>
      </c>
      <c r="H3641" s="77" t="s">
        <v>102</v>
      </c>
      <c r="I3641" s="77" t="s">
        <v>84</v>
      </c>
      <c r="J3641" s="76" cm="1">
        <f t="array" ref="J3641:J3643">'SUT_EU27 total'!$J$32:$J$34</f>
        <v>0.13437998483817604</v>
      </c>
    </row>
    <row r="3642" spans="1:10" x14ac:dyDescent="0.35">
      <c r="A3642" t="s">
        <v>15</v>
      </c>
      <c r="B3642" t="s">
        <v>33</v>
      </c>
      <c r="C3642" s="77" t="s">
        <v>73</v>
      </c>
      <c r="D3642" t="s">
        <v>81</v>
      </c>
      <c r="E3642" s="77" t="s">
        <v>104</v>
      </c>
      <c r="F3642" s="77" t="s">
        <v>73</v>
      </c>
      <c r="G3642" s="77" t="s">
        <v>74</v>
      </c>
      <c r="H3642" s="77" t="s">
        <v>102</v>
      </c>
      <c r="I3642" s="77" t="s">
        <v>84</v>
      </c>
      <c r="J3642" s="76">
        <v>0.25443647306582401</v>
      </c>
    </row>
    <row r="3643" spans="1:10" x14ac:dyDescent="0.35">
      <c r="A3643" t="s">
        <v>15</v>
      </c>
      <c r="B3643" t="s">
        <v>33</v>
      </c>
      <c r="C3643" s="77" t="s">
        <v>73</v>
      </c>
      <c r="D3643" t="s">
        <v>81</v>
      </c>
      <c r="E3643" s="77" t="s">
        <v>106</v>
      </c>
      <c r="F3643" s="77" t="s">
        <v>73</v>
      </c>
      <c r="G3643" s="77" t="s">
        <v>74</v>
      </c>
      <c r="H3643" s="77" t="s">
        <v>102</v>
      </c>
      <c r="I3643" s="77" t="s">
        <v>84</v>
      </c>
      <c r="J3643" s="76">
        <v>0.86543018049599985</v>
      </c>
    </row>
    <row r="3644" spans="1:10" x14ac:dyDescent="0.35">
      <c r="A3644" t="s">
        <v>15</v>
      </c>
      <c r="B3644" t="s">
        <v>33</v>
      </c>
      <c r="C3644" s="77" t="s">
        <v>88</v>
      </c>
      <c r="D3644" t="s">
        <v>81</v>
      </c>
      <c r="E3644" s="77" t="s">
        <v>115</v>
      </c>
      <c r="F3644" s="77" t="s">
        <v>73</v>
      </c>
      <c r="G3644" s="77" t="s">
        <v>74</v>
      </c>
      <c r="H3644" s="77" t="s">
        <v>102</v>
      </c>
      <c r="I3644" s="77" t="s">
        <v>84</v>
      </c>
      <c r="J3644" s="76" cm="1">
        <f t="array" ref="J3644:J3645">'SUT_EU27 total'!$J$36:$J$37</f>
        <v>78.857142857142847</v>
      </c>
    </row>
    <row r="3645" spans="1:10" x14ac:dyDescent="0.35">
      <c r="A3645" t="s">
        <v>15</v>
      </c>
      <c r="B3645" t="s">
        <v>33</v>
      </c>
      <c r="C3645" s="77" t="s">
        <v>88</v>
      </c>
      <c r="D3645" t="s">
        <v>81</v>
      </c>
      <c r="E3645" s="77" t="s">
        <v>116</v>
      </c>
      <c r="F3645" s="77" t="s">
        <v>73</v>
      </c>
      <c r="G3645" s="77" t="s">
        <v>74</v>
      </c>
      <c r="H3645" s="77" t="s">
        <v>102</v>
      </c>
      <c r="I3645" s="77" t="s">
        <v>84</v>
      </c>
      <c r="J3645" s="76">
        <v>0.7862213561563367</v>
      </c>
    </row>
    <row r="3646" spans="1:10" x14ac:dyDescent="0.35">
      <c r="A3646" t="s">
        <v>15</v>
      </c>
      <c r="B3646" t="s">
        <v>33</v>
      </c>
      <c r="C3646" s="77" t="s">
        <v>88</v>
      </c>
      <c r="D3646" t="s">
        <v>81</v>
      </c>
      <c r="E3646" s="77" t="s">
        <v>117</v>
      </c>
      <c r="F3646" s="77" t="s">
        <v>73</v>
      </c>
      <c r="G3646" s="77" t="s">
        <v>74</v>
      </c>
      <c r="H3646" s="77" t="s">
        <v>102</v>
      </c>
      <c r="I3646" s="77" t="s">
        <v>84</v>
      </c>
      <c r="J3646" s="76">
        <f>'SUT_EU27 total'!$J$44</f>
        <v>286.26390000000004</v>
      </c>
    </row>
    <row r="3647" spans="1:10" x14ac:dyDescent="0.35">
      <c r="A3647" t="s">
        <v>15</v>
      </c>
      <c r="B3647" t="s">
        <v>33</v>
      </c>
      <c r="C3647" s="77" t="s">
        <v>88</v>
      </c>
      <c r="D3647" t="s">
        <v>81</v>
      </c>
      <c r="E3647" s="77" t="s">
        <v>101</v>
      </c>
      <c r="F3647" s="77" t="s">
        <v>73</v>
      </c>
      <c r="G3647" s="77" t="s">
        <v>74</v>
      </c>
      <c r="H3647" s="77" t="s">
        <v>102</v>
      </c>
      <c r="I3647" s="77" t="s">
        <v>84</v>
      </c>
      <c r="J3647" s="76" cm="1">
        <f t="array" ref="J3647:J3649">'SUT_EU27 total'!$J$49:$J$51</f>
        <v>0</v>
      </c>
    </row>
    <row r="3648" spans="1:10" x14ac:dyDescent="0.35">
      <c r="A3648" t="s">
        <v>15</v>
      </c>
      <c r="B3648" t="s">
        <v>33</v>
      </c>
      <c r="C3648" s="77" t="s">
        <v>88</v>
      </c>
      <c r="D3648" t="s">
        <v>81</v>
      </c>
      <c r="E3648" s="77" t="s">
        <v>104</v>
      </c>
      <c r="F3648" s="77" t="s">
        <v>73</v>
      </c>
      <c r="G3648" s="77" t="s">
        <v>74</v>
      </c>
      <c r="H3648" s="77" t="s">
        <v>102</v>
      </c>
      <c r="I3648" s="77" t="s">
        <v>84</v>
      </c>
      <c r="J3648" s="76">
        <v>0</v>
      </c>
    </row>
    <row r="3649" spans="1:10" x14ac:dyDescent="0.35">
      <c r="A3649" t="s">
        <v>15</v>
      </c>
      <c r="B3649" t="s">
        <v>33</v>
      </c>
      <c r="C3649" s="77" t="s">
        <v>88</v>
      </c>
      <c r="D3649" t="s">
        <v>81</v>
      </c>
      <c r="E3649" s="77" t="s">
        <v>106</v>
      </c>
      <c r="F3649" s="77" t="s">
        <v>73</v>
      </c>
      <c r="G3649" s="77" t="s">
        <v>74</v>
      </c>
      <c r="H3649" s="77" t="s">
        <v>102</v>
      </c>
      <c r="I3649" s="77" t="s">
        <v>84</v>
      </c>
      <c r="J3649" s="76">
        <v>0</v>
      </c>
    </row>
    <row r="3650" spans="1:10" x14ac:dyDescent="0.35">
      <c r="A3650" t="s">
        <v>15</v>
      </c>
      <c r="B3650" t="s">
        <v>33</v>
      </c>
      <c r="C3650" s="77" t="s">
        <v>90</v>
      </c>
      <c r="D3650" t="s">
        <v>81</v>
      </c>
      <c r="E3650" s="77" t="s">
        <v>115</v>
      </c>
      <c r="F3650" s="77" t="s">
        <v>73</v>
      </c>
      <c r="G3650" s="77" t="s">
        <v>74</v>
      </c>
      <c r="H3650" s="77" t="s">
        <v>102</v>
      </c>
      <c r="I3650" s="77" t="s">
        <v>84</v>
      </c>
      <c r="J3650" s="76" cm="1">
        <f t="array" ref="J3650:J3651">'SUT_EU27 total'!$J$53:$J$54</f>
        <v>7.7904761904761894</v>
      </c>
    </row>
    <row r="3651" spans="1:10" x14ac:dyDescent="0.35">
      <c r="A3651" t="s">
        <v>15</v>
      </c>
      <c r="B3651" t="s">
        <v>33</v>
      </c>
      <c r="C3651" s="77" t="s">
        <v>90</v>
      </c>
      <c r="D3651" t="s">
        <v>81</v>
      </c>
      <c r="E3651" s="77" t="s">
        <v>116</v>
      </c>
      <c r="F3651" s="77" t="s">
        <v>73</v>
      </c>
      <c r="G3651" s="77" t="s">
        <v>74</v>
      </c>
      <c r="H3651" s="77" t="s">
        <v>102</v>
      </c>
      <c r="I3651" s="77" t="s">
        <v>84</v>
      </c>
      <c r="J3651" s="76">
        <v>1.5473889063756709E-2</v>
      </c>
    </row>
    <row r="3652" spans="1:10" x14ac:dyDescent="0.35">
      <c r="A3652" t="s">
        <v>15</v>
      </c>
      <c r="B3652" t="s">
        <v>33</v>
      </c>
      <c r="C3652" s="77" t="s">
        <v>90</v>
      </c>
      <c r="D3652" t="s">
        <v>81</v>
      </c>
      <c r="E3652" s="77" t="s">
        <v>117</v>
      </c>
      <c r="F3652" s="77" t="s">
        <v>73</v>
      </c>
      <c r="G3652" s="77" t="s">
        <v>74</v>
      </c>
      <c r="H3652" s="77" t="s">
        <v>102</v>
      </c>
      <c r="I3652" s="77" t="s">
        <v>84</v>
      </c>
      <c r="J3652" s="76">
        <f>'SUT_EU27 total'!$J$61</f>
        <v>11.2662</v>
      </c>
    </row>
    <row r="3653" spans="1:10" x14ac:dyDescent="0.35">
      <c r="A3653" t="s">
        <v>15</v>
      </c>
      <c r="B3653" t="s">
        <v>33</v>
      </c>
      <c r="C3653" s="77" t="s">
        <v>90</v>
      </c>
      <c r="D3653" t="s">
        <v>81</v>
      </c>
      <c r="E3653" s="77" t="s">
        <v>101</v>
      </c>
      <c r="F3653" s="77" t="s">
        <v>73</v>
      </c>
      <c r="G3653" s="77" t="s">
        <v>74</v>
      </c>
      <c r="H3653" s="77" t="s">
        <v>102</v>
      </c>
      <c r="I3653" s="77" t="s">
        <v>84</v>
      </c>
      <c r="J3653" s="76" cm="1">
        <f t="array" ref="J3653:J3655">'SUT_EU27 total'!$J$66:$J$68</f>
        <v>0</v>
      </c>
    </row>
    <row r="3654" spans="1:10" x14ac:dyDescent="0.35">
      <c r="A3654" t="s">
        <v>15</v>
      </c>
      <c r="B3654" t="s">
        <v>33</v>
      </c>
      <c r="C3654" s="77" t="s">
        <v>90</v>
      </c>
      <c r="D3654" t="s">
        <v>81</v>
      </c>
      <c r="E3654" s="77" t="s">
        <v>104</v>
      </c>
      <c r="F3654" s="77" t="s">
        <v>73</v>
      </c>
      <c r="G3654" s="77" t="s">
        <v>74</v>
      </c>
      <c r="H3654" s="77" t="s">
        <v>102</v>
      </c>
      <c r="I3654" s="77" t="s">
        <v>84</v>
      </c>
      <c r="J3654" s="76">
        <v>0</v>
      </c>
    </row>
    <row r="3655" spans="1:10" x14ac:dyDescent="0.35">
      <c r="A3655" t="s">
        <v>15</v>
      </c>
      <c r="B3655" t="s">
        <v>33</v>
      </c>
      <c r="C3655" s="77" t="s">
        <v>90</v>
      </c>
      <c r="D3655" t="s">
        <v>81</v>
      </c>
      <c r="E3655" s="77" t="s">
        <v>106</v>
      </c>
      <c r="F3655" s="77" t="s">
        <v>73</v>
      </c>
      <c r="G3655" s="77" t="s">
        <v>74</v>
      </c>
      <c r="H3655" s="77" t="s">
        <v>102</v>
      </c>
      <c r="I3655" s="77" t="s">
        <v>84</v>
      </c>
      <c r="J3655" s="76">
        <v>0</v>
      </c>
    </row>
    <row r="3656" spans="1:10" x14ac:dyDescent="0.35">
      <c r="A3656" t="s">
        <v>15</v>
      </c>
      <c r="B3656" t="s">
        <v>33</v>
      </c>
      <c r="C3656" s="77" t="s">
        <v>91</v>
      </c>
      <c r="D3656" t="s">
        <v>81</v>
      </c>
      <c r="E3656" s="77" t="s">
        <v>115</v>
      </c>
      <c r="F3656" s="77" t="s">
        <v>73</v>
      </c>
      <c r="G3656" s="77" t="s">
        <v>74</v>
      </c>
      <c r="H3656" s="77" t="s">
        <v>102</v>
      </c>
      <c r="I3656" s="77" t="s">
        <v>84</v>
      </c>
      <c r="J3656" s="76" cm="1">
        <f t="array" ref="J3656:J3657">'SUT_EU27 total'!$J$70:$J$71</f>
        <v>15.771428571428569</v>
      </c>
    </row>
    <row r="3657" spans="1:10" x14ac:dyDescent="0.35">
      <c r="A3657" t="s">
        <v>15</v>
      </c>
      <c r="B3657" t="s">
        <v>33</v>
      </c>
      <c r="C3657" s="77" t="s">
        <v>91</v>
      </c>
      <c r="D3657" t="s">
        <v>81</v>
      </c>
      <c r="E3657" s="77" t="s">
        <v>116</v>
      </c>
      <c r="F3657" s="77" t="s">
        <v>73</v>
      </c>
      <c r="G3657" s="77" t="s">
        <v>74</v>
      </c>
      <c r="H3657" s="77" t="s">
        <v>102</v>
      </c>
      <c r="I3657" s="77" t="s">
        <v>84</v>
      </c>
      <c r="J3657" s="76">
        <v>8.7507175559917313E-2</v>
      </c>
    </row>
    <row r="3658" spans="1:10" x14ac:dyDescent="0.35">
      <c r="A3658" t="s">
        <v>15</v>
      </c>
      <c r="B3658" t="s">
        <v>33</v>
      </c>
      <c r="C3658" s="77" t="s">
        <v>91</v>
      </c>
      <c r="D3658" t="s">
        <v>81</v>
      </c>
      <c r="E3658" s="77" t="s">
        <v>117</v>
      </c>
      <c r="F3658" s="77" t="s">
        <v>73</v>
      </c>
      <c r="G3658" s="77" t="s">
        <v>74</v>
      </c>
      <c r="H3658" s="77" t="s">
        <v>102</v>
      </c>
      <c r="I3658" s="77" t="s">
        <v>84</v>
      </c>
      <c r="J3658" s="76">
        <f>'SUT_EU27 total'!$J$78</f>
        <v>41.4801</v>
      </c>
    </row>
    <row r="3659" spans="1:10" x14ac:dyDescent="0.35">
      <c r="A3659" t="s">
        <v>15</v>
      </c>
      <c r="B3659" t="s">
        <v>33</v>
      </c>
      <c r="C3659" s="77" t="s">
        <v>91</v>
      </c>
      <c r="D3659" t="s">
        <v>81</v>
      </c>
      <c r="E3659" s="77" t="s">
        <v>101</v>
      </c>
      <c r="F3659" s="77" t="s">
        <v>73</v>
      </c>
      <c r="G3659" s="77" t="s">
        <v>74</v>
      </c>
      <c r="H3659" s="77" t="s">
        <v>102</v>
      </c>
      <c r="I3659" s="77" t="s">
        <v>84</v>
      </c>
      <c r="J3659" s="76" cm="1">
        <f t="array" ref="J3659:J3661">'SUT_EU27 total'!$J$83:$J$85</f>
        <v>0</v>
      </c>
    </row>
    <row r="3660" spans="1:10" x14ac:dyDescent="0.35">
      <c r="A3660" t="s">
        <v>15</v>
      </c>
      <c r="B3660" t="s">
        <v>33</v>
      </c>
      <c r="C3660" s="77" t="s">
        <v>91</v>
      </c>
      <c r="D3660" t="s">
        <v>81</v>
      </c>
      <c r="E3660" s="77" t="s">
        <v>104</v>
      </c>
      <c r="F3660" s="77" t="s">
        <v>73</v>
      </c>
      <c r="G3660" s="77" t="s">
        <v>74</v>
      </c>
      <c r="H3660" s="77" t="s">
        <v>102</v>
      </c>
      <c r="I3660" s="77" t="s">
        <v>84</v>
      </c>
      <c r="J3660" s="76">
        <v>0</v>
      </c>
    </row>
    <row r="3661" spans="1:10" x14ac:dyDescent="0.35">
      <c r="A3661" t="s">
        <v>15</v>
      </c>
      <c r="B3661" t="s">
        <v>33</v>
      </c>
      <c r="C3661" s="77" t="s">
        <v>91</v>
      </c>
      <c r="D3661" t="s">
        <v>81</v>
      </c>
      <c r="E3661" s="77" t="s">
        <v>106</v>
      </c>
      <c r="F3661" s="77" t="s">
        <v>73</v>
      </c>
      <c r="G3661" s="77" t="s">
        <v>74</v>
      </c>
      <c r="H3661" s="77" t="s">
        <v>102</v>
      </c>
      <c r="I3661" s="77" t="s">
        <v>84</v>
      </c>
      <c r="J3661" s="76">
        <v>0</v>
      </c>
    </row>
    <row r="3662" spans="1:10" x14ac:dyDescent="0.35">
      <c r="A3662" t="s">
        <v>15</v>
      </c>
      <c r="B3662" t="s">
        <v>33</v>
      </c>
      <c r="C3662" s="77" t="s">
        <v>92</v>
      </c>
      <c r="D3662" t="s">
        <v>81</v>
      </c>
      <c r="E3662" s="77" t="s">
        <v>115</v>
      </c>
      <c r="F3662" s="77" t="s">
        <v>73</v>
      </c>
      <c r="G3662" s="77" t="s">
        <v>74</v>
      </c>
      <c r="H3662" s="77" t="s">
        <v>102</v>
      </c>
      <c r="I3662" s="77" t="s">
        <v>84</v>
      </c>
      <c r="J3662" s="76" cm="1">
        <f t="array" ref="J3662:J3663">'SUT_EU27 total'!$J$87:$J$88</f>
        <v>6.6239999999999997</v>
      </c>
    </row>
    <row r="3663" spans="1:10" x14ac:dyDescent="0.35">
      <c r="A3663" t="s">
        <v>15</v>
      </c>
      <c r="B3663" t="s">
        <v>33</v>
      </c>
      <c r="C3663" s="77" t="s">
        <v>92</v>
      </c>
      <c r="D3663" t="s">
        <v>81</v>
      </c>
      <c r="E3663" s="77" t="s">
        <v>116</v>
      </c>
      <c r="F3663" s="77" t="s">
        <v>73</v>
      </c>
      <c r="G3663" s="77" t="s">
        <v>74</v>
      </c>
      <c r="H3663" s="77" t="s">
        <v>102</v>
      </c>
      <c r="I3663" s="77" t="s">
        <v>84</v>
      </c>
      <c r="J3663" s="76">
        <v>6.0040746268656714E-2</v>
      </c>
    </row>
    <row r="3664" spans="1:10" x14ac:dyDescent="0.35">
      <c r="A3664" t="s">
        <v>15</v>
      </c>
      <c r="B3664" t="s">
        <v>33</v>
      </c>
      <c r="C3664" s="77" t="s">
        <v>92</v>
      </c>
      <c r="D3664" t="s">
        <v>81</v>
      </c>
      <c r="E3664" s="77" t="s">
        <v>117</v>
      </c>
      <c r="F3664" s="77" t="s">
        <v>73</v>
      </c>
      <c r="G3664" s="77" t="s">
        <v>74</v>
      </c>
      <c r="H3664" s="77" t="s">
        <v>102</v>
      </c>
      <c r="I3664" s="77" t="s">
        <v>84</v>
      </c>
      <c r="J3664" s="76">
        <f>'SUT_EU27 total'!$J$95</f>
        <v>13.3146</v>
      </c>
    </row>
    <row r="3665" spans="1:10" x14ac:dyDescent="0.35">
      <c r="A3665" t="s">
        <v>15</v>
      </c>
      <c r="B3665" t="s">
        <v>33</v>
      </c>
      <c r="C3665" s="77" t="s">
        <v>92</v>
      </c>
      <c r="D3665" t="s">
        <v>81</v>
      </c>
      <c r="E3665" s="77" t="s">
        <v>101</v>
      </c>
      <c r="F3665" s="77" t="s">
        <v>73</v>
      </c>
      <c r="G3665" s="77" t="s">
        <v>74</v>
      </c>
      <c r="H3665" s="77" t="s">
        <v>102</v>
      </c>
      <c r="I3665" s="77" t="s">
        <v>84</v>
      </c>
      <c r="J3665" s="76" cm="1">
        <f t="array" ref="J3665:J3667">'SUT_EU27 total'!$J$100:$J$102</f>
        <v>0</v>
      </c>
    </row>
    <row r="3666" spans="1:10" x14ac:dyDescent="0.35">
      <c r="A3666" t="s">
        <v>15</v>
      </c>
      <c r="B3666" t="s">
        <v>33</v>
      </c>
      <c r="C3666" s="77" t="s">
        <v>92</v>
      </c>
      <c r="D3666" t="s">
        <v>81</v>
      </c>
      <c r="E3666" s="77" t="s">
        <v>104</v>
      </c>
      <c r="F3666" s="77" t="s">
        <v>73</v>
      </c>
      <c r="G3666" s="77" t="s">
        <v>74</v>
      </c>
      <c r="H3666" s="77" t="s">
        <v>102</v>
      </c>
      <c r="I3666" s="77" t="s">
        <v>84</v>
      </c>
      <c r="J3666" s="76">
        <v>0</v>
      </c>
    </row>
    <row r="3667" spans="1:10" x14ac:dyDescent="0.35">
      <c r="A3667" t="s">
        <v>15</v>
      </c>
      <c r="B3667" t="s">
        <v>33</v>
      </c>
      <c r="C3667" s="77" t="s">
        <v>92</v>
      </c>
      <c r="D3667" t="s">
        <v>81</v>
      </c>
      <c r="E3667" s="77" t="s">
        <v>106</v>
      </c>
      <c r="F3667" s="77" t="s">
        <v>73</v>
      </c>
      <c r="G3667" s="77" t="s">
        <v>74</v>
      </c>
      <c r="H3667" s="77" t="s">
        <v>102</v>
      </c>
      <c r="I3667" s="77" t="s">
        <v>84</v>
      </c>
      <c r="J3667" s="76">
        <v>0</v>
      </c>
    </row>
    <row r="3668" spans="1:10" x14ac:dyDescent="0.35">
      <c r="A3668" t="s">
        <v>15</v>
      </c>
      <c r="B3668" t="s">
        <v>33</v>
      </c>
      <c r="C3668" s="77" t="s">
        <v>93</v>
      </c>
      <c r="D3668" t="s">
        <v>81</v>
      </c>
      <c r="E3668" s="77" t="s">
        <v>115</v>
      </c>
      <c r="F3668" s="77" t="s">
        <v>73</v>
      </c>
      <c r="G3668" s="77" t="s">
        <v>74</v>
      </c>
      <c r="H3668" s="77" t="s">
        <v>102</v>
      </c>
      <c r="I3668" s="77" t="s">
        <v>84</v>
      </c>
      <c r="J3668" s="76" cm="1">
        <f t="array" ref="J3668:J3669">'SUT_EU27 total'!$J$104:$J$105</f>
        <v>44.633142857142865</v>
      </c>
    </row>
    <row r="3669" spans="1:10" x14ac:dyDescent="0.35">
      <c r="A3669" t="s">
        <v>15</v>
      </c>
      <c r="B3669" t="s">
        <v>33</v>
      </c>
      <c r="C3669" s="77" t="s">
        <v>93</v>
      </c>
      <c r="D3669" t="s">
        <v>81</v>
      </c>
      <c r="E3669" s="77" t="s">
        <v>116</v>
      </c>
      <c r="F3669" s="77" t="s">
        <v>73</v>
      </c>
      <c r="G3669" s="77" t="s">
        <v>74</v>
      </c>
      <c r="H3669" s="77" t="s">
        <v>102</v>
      </c>
      <c r="I3669" s="77" t="s">
        <v>84</v>
      </c>
      <c r="J3669" s="76">
        <v>0.3673348440311186</v>
      </c>
    </row>
    <row r="3670" spans="1:10" x14ac:dyDescent="0.35">
      <c r="A3670" t="s">
        <v>15</v>
      </c>
      <c r="B3670" t="s">
        <v>33</v>
      </c>
      <c r="C3670" s="77" t="s">
        <v>93</v>
      </c>
      <c r="D3670" t="s">
        <v>81</v>
      </c>
      <c r="E3670" s="77" t="s">
        <v>117</v>
      </c>
      <c r="F3670" s="77" t="s">
        <v>73</v>
      </c>
      <c r="G3670" s="77" t="s">
        <v>74</v>
      </c>
      <c r="H3670" s="77" t="s">
        <v>102</v>
      </c>
      <c r="I3670" s="77" t="s">
        <v>84</v>
      </c>
      <c r="J3670" s="76">
        <f>'SUT_EU27 total'!$J$112</f>
        <v>138.77909999999997</v>
      </c>
    </row>
    <row r="3671" spans="1:10" x14ac:dyDescent="0.35">
      <c r="A3671" t="s">
        <v>15</v>
      </c>
      <c r="B3671" t="s">
        <v>33</v>
      </c>
      <c r="C3671" s="77" t="s">
        <v>93</v>
      </c>
      <c r="D3671" t="s">
        <v>81</v>
      </c>
      <c r="E3671" s="77" t="s">
        <v>101</v>
      </c>
      <c r="F3671" s="77" t="s">
        <v>73</v>
      </c>
      <c r="G3671" s="77" t="s">
        <v>74</v>
      </c>
      <c r="H3671" s="77" t="s">
        <v>102</v>
      </c>
      <c r="I3671" s="77" t="s">
        <v>84</v>
      </c>
      <c r="J3671" s="76" cm="1">
        <f t="array" ref="J3671:J3673">'SUT_EU27 total'!$J$117:$J$119</f>
        <v>0</v>
      </c>
    </row>
    <row r="3672" spans="1:10" x14ac:dyDescent="0.35">
      <c r="A3672" t="s">
        <v>15</v>
      </c>
      <c r="B3672" t="s">
        <v>33</v>
      </c>
      <c r="C3672" s="77" t="s">
        <v>93</v>
      </c>
      <c r="D3672" t="s">
        <v>81</v>
      </c>
      <c r="E3672" s="77" t="s">
        <v>104</v>
      </c>
      <c r="F3672" s="77" t="s">
        <v>73</v>
      </c>
      <c r="G3672" s="77" t="s">
        <v>74</v>
      </c>
      <c r="H3672" s="77" t="s">
        <v>102</v>
      </c>
      <c r="I3672" s="77" t="s">
        <v>84</v>
      </c>
      <c r="J3672" s="76">
        <v>0</v>
      </c>
    </row>
    <row r="3673" spans="1:10" x14ac:dyDescent="0.35">
      <c r="A3673" t="s">
        <v>15</v>
      </c>
      <c r="B3673" t="s">
        <v>33</v>
      </c>
      <c r="C3673" s="77" t="s">
        <v>93</v>
      </c>
      <c r="D3673" t="s">
        <v>81</v>
      </c>
      <c r="E3673" s="77" t="s">
        <v>106</v>
      </c>
      <c r="F3673" s="77" t="s">
        <v>73</v>
      </c>
      <c r="G3673" s="77" t="s">
        <v>74</v>
      </c>
      <c r="H3673" s="77" t="s">
        <v>102</v>
      </c>
      <c r="I3673" s="77" t="s">
        <v>84</v>
      </c>
      <c r="J3673" s="76">
        <v>0</v>
      </c>
    </row>
    <row r="3674" spans="1:10" x14ac:dyDescent="0.35">
      <c r="A3674" t="s">
        <v>15</v>
      </c>
      <c r="B3674" t="s">
        <v>33</v>
      </c>
      <c r="C3674" s="77" t="s">
        <v>73</v>
      </c>
      <c r="D3674" t="s">
        <v>81</v>
      </c>
      <c r="E3674" s="77" t="s">
        <v>118</v>
      </c>
      <c r="F3674" s="77" t="s">
        <v>73</v>
      </c>
      <c r="G3674" s="77" t="s">
        <v>74</v>
      </c>
      <c r="H3674" s="77" t="s">
        <v>108</v>
      </c>
      <c r="I3674" s="77" t="s">
        <v>84</v>
      </c>
      <c r="J3674" s="76" cm="1">
        <f t="array" ref="J3674:J3676">'SUT_EU27 total'!$K$21:$K$23</f>
        <v>1.4582562144772118E-3</v>
      </c>
    </row>
    <row r="3675" spans="1:10" x14ac:dyDescent="0.35">
      <c r="A3675" t="s">
        <v>15</v>
      </c>
      <c r="B3675" t="s">
        <v>33</v>
      </c>
      <c r="C3675" s="77" t="s">
        <v>73</v>
      </c>
      <c r="D3675" t="s">
        <v>81</v>
      </c>
      <c r="E3675" s="77" t="s">
        <v>119</v>
      </c>
      <c r="F3675" s="77" t="s">
        <v>73</v>
      </c>
      <c r="G3675" s="77" t="s">
        <v>74</v>
      </c>
      <c r="H3675" s="77" t="s">
        <v>108</v>
      </c>
      <c r="I3675" s="77" t="s">
        <v>84</v>
      </c>
      <c r="J3675" s="76">
        <v>8.4634636521458274E-4</v>
      </c>
    </row>
    <row r="3676" spans="1:10" x14ac:dyDescent="0.35">
      <c r="A3676" t="s">
        <v>15</v>
      </c>
      <c r="B3676" t="s">
        <v>33</v>
      </c>
      <c r="C3676" s="77" t="s">
        <v>73</v>
      </c>
      <c r="D3676" t="s">
        <v>81</v>
      </c>
      <c r="E3676" s="77" t="s">
        <v>120</v>
      </c>
      <c r="F3676" s="77" t="s">
        <v>73</v>
      </c>
      <c r="G3676" s="77" t="s">
        <v>74</v>
      </c>
      <c r="H3676" s="77" t="s">
        <v>108</v>
      </c>
      <c r="I3676" s="77" t="s">
        <v>84</v>
      </c>
      <c r="J3676" s="76">
        <v>1.2517329093179335E-4</v>
      </c>
    </row>
    <row r="3677" spans="1:10" x14ac:dyDescent="0.35">
      <c r="A3677" t="s">
        <v>15</v>
      </c>
      <c r="B3677" t="s">
        <v>33</v>
      </c>
      <c r="C3677" s="77" t="s">
        <v>73</v>
      </c>
      <c r="D3677" t="s">
        <v>81</v>
      </c>
      <c r="E3677" s="77" t="s">
        <v>121</v>
      </c>
      <c r="F3677" s="77" t="s">
        <v>73</v>
      </c>
      <c r="G3677" s="77" t="s">
        <v>74</v>
      </c>
      <c r="H3677" s="77" t="s">
        <v>108</v>
      </c>
      <c r="I3677" s="77" t="s">
        <v>84</v>
      </c>
      <c r="J3677" s="76">
        <f>'SUT_EU27 total'!$K$25</f>
        <v>6.9749679999999994E-2</v>
      </c>
    </row>
    <row r="3678" spans="1:10" x14ac:dyDescent="0.35">
      <c r="A3678" t="s">
        <v>15</v>
      </c>
      <c r="B3678" t="s">
        <v>33</v>
      </c>
      <c r="C3678" s="77" t="s">
        <v>73</v>
      </c>
      <c r="D3678" t="s">
        <v>81</v>
      </c>
      <c r="E3678" s="77" t="s">
        <v>117</v>
      </c>
      <c r="F3678" s="77" t="s">
        <v>73</v>
      </c>
      <c r="G3678" s="77" t="s">
        <v>74</v>
      </c>
      <c r="H3678" s="77" t="s">
        <v>108</v>
      </c>
      <c r="I3678" s="77" t="s">
        <v>84</v>
      </c>
      <c r="J3678" s="76">
        <f>'SUT_EU27 total'!$K$27</f>
        <v>1.1932942595726979E-3</v>
      </c>
    </row>
    <row r="3679" spans="1:10" x14ac:dyDescent="0.35">
      <c r="A3679" t="s">
        <v>15</v>
      </c>
      <c r="B3679" t="s">
        <v>33</v>
      </c>
      <c r="C3679" s="77" t="s">
        <v>73</v>
      </c>
      <c r="D3679" t="s">
        <v>81</v>
      </c>
      <c r="E3679" s="77" t="s">
        <v>122</v>
      </c>
      <c r="F3679" s="77" t="s">
        <v>73</v>
      </c>
      <c r="G3679" s="77" t="s">
        <v>74</v>
      </c>
      <c r="H3679" s="77" t="s">
        <v>108</v>
      </c>
      <c r="I3679" s="77" t="s">
        <v>84</v>
      </c>
      <c r="J3679" s="76">
        <f>'SUT_EU27 total'!$K$30</f>
        <v>1.5965533412604042E-3</v>
      </c>
    </row>
    <row r="3680" spans="1:10" x14ac:dyDescent="0.35">
      <c r="A3680" t="s">
        <v>15</v>
      </c>
      <c r="B3680" t="s">
        <v>33</v>
      </c>
      <c r="C3680" s="77" t="s">
        <v>73</v>
      </c>
      <c r="D3680" t="s">
        <v>81</v>
      </c>
      <c r="E3680" s="77" t="s">
        <v>101</v>
      </c>
      <c r="F3680" s="77" t="s">
        <v>73</v>
      </c>
      <c r="G3680" s="77" t="s">
        <v>74</v>
      </c>
      <c r="H3680" s="77" t="s">
        <v>108</v>
      </c>
      <c r="I3680" s="77" t="s">
        <v>84</v>
      </c>
      <c r="J3680" s="76" cm="1">
        <f t="array" ref="J3680:J3682">'SUT_EU27 total'!$K$32:$K$34</f>
        <v>2.4335351040000001E-4</v>
      </c>
    </row>
    <row r="3681" spans="1:10" x14ac:dyDescent="0.35">
      <c r="A3681" t="s">
        <v>15</v>
      </c>
      <c r="B3681" t="s">
        <v>33</v>
      </c>
      <c r="C3681" s="77" t="s">
        <v>73</v>
      </c>
      <c r="D3681" t="s">
        <v>81</v>
      </c>
      <c r="E3681" s="77" t="s">
        <v>104</v>
      </c>
      <c r="F3681" s="77" t="s">
        <v>73</v>
      </c>
      <c r="G3681" s="77" t="s">
        <v>74</v>
      </c>
      <c r="H3681" s="77" t="s">
        <v>108</v>
      </c>
      <c r="I3681" s="77" t="s">
        <v>84</v>
      </c>
      <c r="J3681" s="76">
        <v>4.6076808959999996E-4</v>
      </c>
    </row>
    <row r="3682" spans="1:10" x14ac:dyDescent="0.35">
      <c r="A3682" t="s">
        <v>15</v>
      </c>
      <c r="B3682" t="s">
        <v>33</v>
      </c>
      <c r="C3682" s="77" t="s">
        <v>73</v>
      </c>
      <c r="D3682" t="s">
        <v>81</v>
      </c>
      <c r="E3682" s="77" t="s">
        <v>106</v>
      </c>
      <c r="F3682" s="77" t="s">
        <v>73</v>
      </c>
      <c r="G3682" s="77" t="s">
        <v>74</v>
      </c>
      <c r="H3682" s="77" t="s">
        <v>108</v>
      </c>
      <c r="I3682" s="77" t="s">
        <v>84</v>
      </c>
      <c r="J3682" s="76">
        <v>1.5672383999999996E-3</v>
      </c>
    </row>
    <row r="3683" spans="1:10" x14ac:dyDescent="0.35">
      <c r="A3683" t="s">
        <v>15</v>
      </c>
      <c r="B3683" t="s">
        <v>33</v>
      </c>
      <c r="C3683" s="77" t="s">
        <v>88</v>
      </c>
      <c r="D3683" t="s">
        <v>81</v>
      </c>
      <c r="E3683" s="77" t="s">
        <v>118</v>
      </c>
      <c r="F3683" s="77" t="s">
        <v>73</v>
      </c>
      <c r="G3683" s="77" t="s">
        <v>74</v>
      </c>
      <c r="H3683" s="77" t="s">
        <v>108</v>
      </c>
      <c r="I3683" s="77" t="s">
        <v>84</v>
      </c>
      <c r="J3683" s="76" cm="1">
        <f t="array" ref="J3683:J3685">'SUT_EU27 total'!$K$38:$K$40</f>
        <v>3.3029309855227888E-2</v>
      </c>
    </row>
    <row r="3684" spans="1:10" x14ac:dyDescent="0.35">
      <c r="A3684" t="s">
        <v>15</v>
      </c>
      <c r="B3684" t="s">
        <v>33</v>
      </c>
      <c r="C3684" s="77" t="s">
        <v>88</v>
      </c>
      <c r="D3684" t="s">
        <v>81</v>
      </c>
      <c r="E3684" s="77" t="s">
        <v>119</v>
      </c>
      <c r="F3684" s="77" t="s">
        <v>73</v>
      </c>
      <c r="G3684" s="77" t="s">
        <v>74</v>
      </c>
      <c r="H3684" s="77" t="s">
        <v>108</v>
      </c>
      <c r="I3684" s="77" t="s">
        <v>84</v>
      </c>
      <c r="J3684" s="76">
        <v>6.9915569300335089E-3</v>
      </c>
    </row>
    <row r="3685" spans="1:10" x14ac:dyDescent="0.35">
      <c r="A3685" t="s">
        <v>15</v>
      </c>
      <c r="B3685" t="s">
        <v>33</v>
      </c>
      <c r="C3685" s="77" t="s">
        <v>88</v>
      </c>
      <c r="D3685" t="s">
        <v>81</v>
      </c>
      <c r="E3685" s="77" t="s">
        <v>120</v>
      </c>
      <c r="F3685" s="77" t="s">
        <v>73</v>
      </c>
      <c r="G3685" s="77" t="s">
        <v>74</v>
      </c>
      <c r="H3685" s="77" t="s">
        <v>108</v>
      </c>
      <c r="I3685" s="77" t="s">
        <v>84</v>
      </c>
      <c r="J3685" s="76">
        <v>1.5283979779928203E-3</v>
      </c>
    </row>
    <row r="3686" spans="1:10" x14ac:dyDescent="0.35">
      <c r="A3686" t="s">
        <v>15</v>
      </c>
      <c r="B3686" t="s">
        <v>33</v>
      </c>
      <c r="C3686" s="77" t="s">
        <v>88</v>
      </c>
      <c r="D3686" t="s">
        <v>81</v>
      </c>
      <c r="E3686" s="77" t="s">
        <v>121</v>
      </c>
      <c r="F3686" s="77" t="s">
        <v>73</v>
      </c>
      <c r="G3686" s="77" t="s">
        <v>74</v>
      </c>
      <c r="H3686" s="77" t="s">
        <v>108</v>
      </c>
      <c r="I3686" s="77" t="s">
        <v>84</v>
      </c>
      <c r="J3686" s="76">
        <f>'SUT_EU27 total'!$K$42</f>
        <v>0</v>
      </c>
    </row>
    <row r="3687" spans="1:10" x14ac:dyDescent="0.35">
      <c r="A3687" t="s">
        <v>15</v>
      </c>
      <c r="B3687" t="s">
        <v>33</v>
      </c>
      <c r="C3687" s="77" t="s">
        <v>88</v>
      </c>
      <c r="D3687" t="s">
        <v>81</v>
      </c>
      <c r="E3687" s="77" t="s">
        <v>117</v>
      </c>
      <c r="F3687" s="77" t="s">
        <v>73</v>
      </c>
      <c r="G3687" s="77" t="s">
        <v>74</v>
      </c>
      <c r="H3687" s="77" t="s">
        <v>108</v>
      </c>
      <c r="I3687" s="77" t="s">
        <v>84</v>
      </c>
      <c r="J3687" s="76">
        <f>'SUT_EU27 total'!$K$44</f>
        <v>9.9090099874062521E-4</v>
      </c>
    </row>
    <row r="3688" spans="1:10" x14ac:dyDescent="0.35">
      <c r="A3688" t="s">
        <v>15</v>
      </c>
      <c r="B3688" t="s">
        <v>33</v>
      </c>
      <c r="C3688" s="77" t="s">
        <v>88</v>
      </c>
      <c r="D3688" t="s">
        <v>81</v>
      </c>
      <c r="E3688" s="77" t="s">
        <v>122</v>
      </c>
      <c r="F3688" s="77" t="s">
        <v>73</v>
      </c>
      <c r="G3688" s="77" t="s">
        <v>74</v>
      </c>
      <c r="H3688" s="77" t="s">
        <v>108</v>
      </c>
      <c r="I3688" s="77" t="s">
        <v>84</v>
      </c>
      <c r="J3688" s="76">
        <f>'SUT_EU27 total'!$K$47</f>
        <v>0</v>
      </c>
    </row>
    <row r="3689" spans="1:10" x14ac:dyDescent="0.35">
      <c r="A3689" t="s">
        <v>15</v>
      </c>
      <c r="B3689" t="s">
        <v>33</v>
      </c>
      <c r="C3689" s="77" t="s">
        <v>88</v>
      </c>
      <c r="D3689" t="s">
        <v>81</v>
      </c>
      <c r="E3689" s="77" t="s">
        <v>101</v>
      </c>
      <c r="F3689" s="77" t="s">
        <v>73</v>
      </c>
      <c r="G3689" s="77" t="s">
        <v>74</v>
      </c>
      <c r="H3689" s="77" t="s">
        <v>108</v>
      </c>
      <c r="I3689" s="77" t="s">
        <v>84</v>
      </c>
      <c r="J3689" s="76" cm="1">
        <f t="array" ref="J3689:J3691">'SUT_EU27 total'!$K$49:$K$51</f>
        <v>0</v>
      </c>
    </row>
    <row r="3690" spans="1:10" x14ac:dyDescent="0.35">
      <c r="A3690" t="s">
        <v>15</v>
      </c>
      <c r="B3690" t="s">
        <v>33</v>
      </c>
      <c r="C3690" s="77" t="s">
        <v>88</v>
      </c>
      <c r="D3690" t="s">
        <v>81</v>
      </c>
      <c r="E3690" s="77" t="s">
        <v>104</v>
      </c>
      <c r="F3690" s="77" t="s">
        <v>73</v>
      </c>
      <c r="G3690" s="77" t="s">
        <v>74</v>
      </c>
      <c r="H3690" s="77" t="s">
        <v>108</v>
      </c>
      <c r="I3690" s="77" t="s">
        <v>84</v>
      </c>
      <c r="J3690" s="76">
        <v>0</v>
      </c>
    </row>
    <row r="3691" spans="1:10" x14ac:dyDescent="0.35">
      <c r="A3691" t="s">
        <v>15</v>
      </c>
      <c r="B3691" t="s">
        <v>33</v>
      </c>
      <c r="C3691" s="77" t="s">
        <v>88</v>
      </c>
      <c r="D3691" t="s">
        <v>81</v>
      </c>
      <c r="E3691" s="77" t="s">
        <v>106</v>
      </c>
      <c r="F3691" s="77" t="s">
        <v>73</v>
      </c>
      <c r="G3691" s="77" t="s">
        <v>74</v>
      </c>
      <c r="H3691" s="77" t="s">
        <v>108</v>
      </c>
      <c r="I3691" s="77" t="s">
        <v>84</v>
      </c>
      <c r="J3691" s="76">
        <v>0</v>
      </c>
    </row>
    <row r="3692" spans="1:10" x14ac:dyDescent="0.35">
      <c r="A3692" t="s">
        <v>15</v>
      </c>
      <c r="B3692" t="s">
        <v>33</v>
      </c>
      <c r="C3692" s="77" t="s">
        <v>90</v>
      </c>
      <c r="D3692" t="s">
        <v>81</v>
      </c>
      <c r="E3692" s="77" t="s">
        <v>118</v>
      </c>
      <c r="F3692" s="77" t="s">
        <v>73</v>
      </c>
      <c r="G3692" s="77" t="s">
        <v>74</v>
      </c>
      <c r="H3692" s="77" t="s">
        <v>108</v>
      </c>
      <c r="I3692" s="77" t="s">
        <v>84</v>
      </c>
      <c r="J3692" s="76" cm="1">
        <f t="array" ref="J3692:J3694">'SUT_EU27 total'!$K$55:$K$57</f>
        <v>4.323194595174263E-3</v>
      </c>
    </row>
    <row r="3693" spans="1:10" x14ac:dyDescent="0.35">
      <c r="A3693" t="s">
        <v>15</v>
      </c>
      <c r="B3693" t="s">
        <v>33</v>
      </c>
      <c r="C3693" s="77" t="s">
        <v>90</v>
      </c>
      <c r="D3693" t="s">
        <v>81</v>
      </c>
      <c r="E3693" s="77" t="s">
        <v>119</v>
      </c>
      <c r="F3693" s="77" t="s">
        <v>73</v>
      </c>
      <c r="G3693" s="77" t="s">
        <v>74</v>
      </c>
      <c r="H3693" s="77" t="s">
        <v>108</v>
      </c>
      <c r="I3693" s="77" t="s">
        <v>84</v>
      </c>
      <c r="J3693" s="76">
        <v>1.2800331672655335E-3</v>
      </c>
    </row>
    <row r="3694" spans="1:10" x14ac:dyDescent="0.35">
      <c r="A3694" t="s">
        <v>15</v>
      </c>
      <c r="B3694" t="s">
        <v>33</v>
      </c>
      <c r="C3694" s="77" t="s">
        <v>90</v>
      </c>
      <c r="D3694" t="s">
        <v>81</v>
      </c>
      <c r="E3694" s="77" t="s">
        <v>120</v>
      </c>
      <c r="F3694" s="77" t="s">
        <v>73</v>
      </c>
      <c r="G3694" s="77" t="s">
        <v>74</v>
      </c>
      <c r="H3694" s="77" t="s">
        <v>108</v>
      </c>
      <c r="I3694" s="77" t="s">
        <v>84</v>
      </c>
      <c r="J3694" s="76">
        <v>5.6700291220540041E-3</v>
      </c>
    </row>
    <row r="3695" spans="1:10" x14ac:dyDescent="0.35">
      <c r="A3695" t="s">
        <v>15</v>
      </c>
      <c r="B3695" t="s">
        <v>33</v>
      </c>
      <c r="C3695" s="77" t="s">
        <v>90</v>
      </c>
      <c r="D3695" t="s">
        <v>81</v>
      </c>
      <c r="E3695" s="77" t="s">
        <v>121</v>
      </c>
      <c r="F3695" s="77" t="s">
        <v>73</v>
      </c>
      <c r="G3695" s="77" t="s">
        <v>74</v>
      </c>
      <c r="H3695" s="77" t="s">
        <v>108</v>
      </c>
      <c r="I3695" s="77" t="s">
        <v>84</v>
      </c>
      <c r="J3695" s="76">
        <f>'SUT_EU27 total'!$K$59</f>
        <v>0</v>
      </c>
    </row>
    <row r="3696" spans="1:10" x14ac:dyDescent="0.35">
      <c r="A3696" t="s">
        <v>15</v>
      </c>
      <c r="B3696" t="s">
        <v>33</v>
      </c>
      <c r="C3696" s="77" t="s">
        <v>90</v>
      </c>
      <c r="D3696" t="s">
        <v>81</v>
      </c>
      <c r="E3696" s="77" t="s">
        <v>117</v>
      </c>
      <c r="F3696" s="77" t="s">
        <v>73</v>
      </c>
      <c r="G3696" s="77" t="s">
        <v>74</v>
      </c>
      <c r="H3696" s="77" t="s">
        <v>108</v>
      </c>
      <c r="I3696" s="77" t="s">
        <v>84</v>
      </c>
      <c r="J3696" s="76">
        <f>'SUT_EU27 total'!$K$61</f>
        <v>1.1930979242119881E-3</v>
      </c>
    </row>
    <row r="3697" spans="1:10" x14ac:dyDescent="0.35">
      <c r="A3697" t="s">
        <v>15</v>
      </c>
      <c r="B3697" t="s">
        <v>33</v>
      </c>
      <c r="C3697" s="77" t="s">
        <v>90</v>
      </c>
      <c r="D3697" t="s">
        <v>81</v>
      </c>
      <c r="E3697" s="77" t="s">
        <v>122</v>
      </c>
      <c r="F3697" s="77" t="s">
        <v>73</v>
      </c>
      <c r="G3697" s="77" t="s">
        <v>74</v>
      </c>
      <c r="H3697" s="77" t="s">
        <v>108</v>
      </c>
      <c r="I3697" s="77" t="s">
        <v>84</v>
      </c>
      <c r="J3697" s="76">
        <f>'SUT_EU27 total'!$K$64</f>
        <v>2.5776238002378116E-3</v>
      </c>
    </row>
    <row r="3698" spans="1:10" x14ac:dyDescent="0.35">
      <c r="A3698" t="s">
        <v>15</v>
      </c>
      <c r="B3698" t="s">
        <v>33</v>
      </c>
      <c r="C3698" s="77" t="s">
        <v>90</v>
      </c>
      <c r="D3698" t="s">
        <v>81</v>
      </c>
      <c r="E3698" s="77" t="s">
        <v>101</v>
      </c>
      <c r="F3698" s="77" t="s">
        <v>73</v>
      </c>
      <c r="G3698" s="77" t="s">
        <v>74</v>
      </c>
      <c r="H3698" s="77" t="s">
        <v>108</v>
      </c>
      <c r="I3698" s="77" t="s">
        <v>84</v>
      </c>
      <c r="J3698" s="76" cm="1">
        <f t="array" ref="J3698:J3700">'SUT_EU27 total'!$K$66:$K$68</f>
        <v>0</v>
      </c>
    </row>
    <row r="3699" spans="1:10" x14ac:dyDescent="0.35">
      <c r="A3699" t="s">
        <v>15</v>
      </c>
      <c r="B3699" t="s">
        <v>33</v>
      </c>
      <c r="C3699" s="77" t="s">
        <v>90</v>
      </c>
      <c r="D3699" t="s">
        <v>81</v>
      </c>
      <c r="E3699" s="77" t="s">
        <v>104</v>
      </c>
      <c r="F3699" s="77" t="s">
        <v>73</v>
      </c>
      <c r="G3699" s="77" t="s">
        <v>74</v>
      </c>
      <c r="H3699" s="77" t="s">
        <v>108</v>
      </c>
      <c r="I3699" s="77" t="s">
        <v>84</v>
      </c>
      <c r="J3699" s="76">
        <v>0</v>
      </c>
    </row>
    <row r="3700" spans="1:10" x14ac:dyDescent="0.35">
      <c r="A3700" t="s">
        <v>15</v>
      </c>
      <c r="B3700" t="s">
        <v>33</v>
      </c>
      <c r="C3700" s="77" t="s">
        <v>90</v>
      </c>
      <c r="D3700" t="s">
        <v>81</v>
      </c>
      <c r="E3700" s="77" t="s">
        <v>106</v>
      </c>
      <c r="F3700" s="77" t="s">
        <v>73</v>
      </c>
      <c r="G3700" s="77" t="s">
        <v>74</v>
      </c>
      <c r="H3700" s="77" t="s">
        <v>108</v>
      </c>
      <c r="I3700" s="77" t="s">
        <v>84</v>
      </c>
      <c r="J3700" s="76">
        <v>0</v>
      </c>
    </row>
    <row r="3701" spans="1:10" x14ac:dyDescent="0.35">
      <c r="A3701" t="s">
        <v>15</v>
      </c>
      <c r="B3701" t="s">
        <v>33</v>
      </c>
      <c r="C3701" s="77" t="s">
        <v>91</v>
      </c>
      <c r="D3701" t="s">
        <v>81</v>
      </c>
      <c r="E3701" s="77" t="s">
        <v>118</v>
      </c>
      <c r="F3701" s="77" t="s">
        <v>73</v>
      </c>
      <c r="G3701" s="77" t="s">
        <v>74</v>
      </c>
      <c r="H3701" s="77" t="s">
        <v>108</v>
      </c>
      <c r="I3701" s="77" t="s">
        <v>84</v>
      </c>
      <c r="J3701" s="76" cm="1">
        <f t="array" ref="J3701:J3703">'SUT_EU27 total'!$K$72:$K$74</f>
        <v>5.3791732332439677E-3</v>
      </c>
    </row>
    <row r="3702" spans="1:10" x14ac:dyDescent="0.35">
      <c r="A3702" t="s">
        <v>15</v>
      </c>
      <c r="B3702" t="s">
        <v>33</v>
      </c>
      <c r="C3702" s="77" t="s">
        <v>91</v>
      </c>
      <c r="D3702" t="s">
        <v>81</v>
      </c>
      <c r="E3702" s="77" t="s">
        <v>119</v>
      </c>
      <c r="F3702" s="77" t="s">
        <v>73</v>
      </c>
      <c r="G3702" s="77" t="s">
        <v>74</v>
      </c>
      <c r="H3702" s="77" t="s">
        <v>108</v>
      </c>
      <c r="I3702" s="77" t="s">
        <v>84</v>
      </c>
      <c r="J3702" s="76">
        <v>6.5526133182607291E-3</v>
      </c>
    </row>
    <row r="3703" spans="1:10" x14ac:dyDescent="0.35">
      <c r="A3703" t="s">
        <v>15</v>
      </c>
      <c r="B3703" t="s">
        <v>33</v>
      </c>
      <c r="C3703" s="77" t="s">
        <v>91</v>
      </c>
      <c r="D3703" t="s">
        <v>81</v>
      </c>
      <c r="E3703" s="77" t="s">
        <v>120</v>
      </c>
      <c r="F3703" s="77" t="s">
        <v>73</v>
      </c>
      <c r="G3703" s="77" t="s">
        <v>74</v>
      </c>
      <c r="H3703" s="77" t="s">
        <v>108</v>
      </c>
      <c r="I3703" s="77" t="s">
        <v>84</v>
      </c>
      <c r="J3703" s="76">
        <v>2.464950959887623E-4</v>
      </c>
    </row>
    <row r="3704" spans="1:10" x14ac:dyDescent="0.35">
      <c r="A3704" t="s">
        <v>15</v>
      </c>
      <c r="B3704" t="s">
        <v>33</v>
      </c>
      <c r="C3704" s="77" t="s">
        <v>91</v>
      </c>
      <c r="D3704" t="s">
        <v>81</v>
      </c>
      <c r="E3704" s="77" t="s">
        <v>121</v>
      </c>
      <c r="F3704" s="77" t="s">
        <v>73</v>
      </c>
      <c r="G3704" s="77" t="s">
        <v>74</v>
      </c>
      <c r="H3704" s="77" t="s">
        <v>108</v>
      </c>
      <c r="I3704" s="77" t="s">
        <v>84</v>
      </c>
      <c r="J3704" s="76">
        <f>'SUT_EU27 total'!$K$76</f>
        <v>0</v>
      </c>
    </row>
    <row r="3705" spans="1:10" x14ac:dyDescent="0.35">
      <c r="A3705" t="s">
        <v>15</v>
      </c>
      <c r="B3705" t="s">
        <v>33</v>
      </c>
      <c r="C3705" s="77" t="s">
        <v>91</v>
      </c>
      <c r="D3705" t="s">
        <v>81</v>
      </c>
      <c r="E3705" s="77" t="s">
        <v>117</v>
      </c>
      <c r="F3705" s="77" t="s">
        <v>73</v>
      </c>
      <c r="G3705" s="77" t="s">
        <v>74</v>
      </c>
      <c r="H3705" s="77" t="s">
        <v>108</v>
      </c>
      <c r="I3705" s="77" t="s">
        <v>84</v>
      </c>
      <c r="J3705" s="76">
        <f>'SUT_EU27 total'!$K$78</f>
        <v>1.1485683451306521E-3</v>
      </c>
    </row>
    <row r="3706" spans="1:10" x14ac:dyDescent="0.35">
      <c r="A3706" t="s">
        <v>15</v>
      </c>
      <c r="B3706" t="s">
        <v>33</v>
      </c>
      <c r="C3706" s="77" t="s">
        <v>91</v>
      </c>
      <c r="D3706" t="s">
        <v>81</v>
      </c>
      <c r="E3706" s="77" t="s">
        <v>122</v>
      </c>
      <c r="F3706" s="77" t="s">
        <v>73</v>
      </c>
      <c r="G3706" s="77" t="s">
        <v>74</v>
      </c>
      <c r="H3706" s="77" t="s">
        <v>108</v>
      </c>
      <c r="I3706" s="77" t="s">
        <v>84</v>
      </c>
      <c r="J3706" s="76">
        <f>'SUT_EU27 total'!$K$81</f>
        <v>0</v>
      </c>
    </row>
    <row r="3707" spans="1:10" x14ac:dyDescent="0.35">
      <c r="A3707" t="s">
        <v>15</v>
      </c>
      <c r="B3707" t="s">
        <v>33</v>
      </c>
      <c r="C3707" s="77" t="s">
        <v>91</v>
      </c>
      <c r="D3707" t="s">
        <v>81</v>
      </c>
      <c r="E3707" s="77" t="s">
        <v>101</v>
      </c>
      <c r="F3707" s="77" t="s">
        <v>73</v>
      </c>
      <c r="G3707" s="77" t="s">
        <v>74</v>
      </c>
      <c r="H3707" s="77" t="s">
        <v>108</v>
      </c>
      <c r="I3707" s="77" t="s">
        <v>84</v>
      </c>
      <c r="J3707" s="76" cm="1">
        <f t="array" ref="J3707:J3709">'SUT_EU27 total'!$K$83:$K$85</f>
        <v>0</v>
      </c>
    </row>
    <row r="3708" spans="1:10" x14ac:dyDescent="0.35">
      <c r="A3708" t="s">
        <v>15</v>
      </c>
      <c r="B3708" t="s">
        <v>33</v>
      </c>
      <c r="C3708" s="77" t="s">
        <v>91</v>
      </c>
      <c r="D3708" t="s">
        <v>81</v>
      </c>
      <c r="E3708" s="77" t="s">
        <v>104</v>
      </c>
      <c r="F3708" s="77" t="s">
        <v>73</v>
      </c>
      <c r="G3708" s="77" t="s">
        <v>74</v>
      </c>
      <c r="H3708" s="77" t="s">
        <v>108</v>
      </c>
      <c r="I3708" s="77" t="s">
        <v>84</v>
      </c>
      <c r="J3708" s="76">
        <v>0</v>
      </c>
    </row>
    <row r="3709" spans="1:10" x14ac:dyDescent="0.35">
      <c r="A3709" t="s">
        <v>15</v>
      </c>
      <c r="B3709" t="s">
        <v>33</v>
      </c>
      <c r="C3709" s="77" t="s">
        <v>91</v>
      </c>
      <c r="D3709" t="s">
        <v>81</v>
      </c>
      <c r="E3709" s="77" t="s">
        <v>106</v>
      </c>
      <c r="F3709" s="77" t="s">
        <v>73</v>
      </c>
      <c r="G3709" s="77" t="s">
        <v>74</v>
      </c>
      <c r="H3709" s="77" t="s">
        <v>108</v>
      </c>
      <c r="I3709" s="77" t="s">
        <v>84</v>
      </c>
      <c r="J3709" s="76">
        <v>0</v>
      </c>
    </row>
    <row r="3710" spans="1:10" x14ac:dyDescent="0.35">
      <c r="A3710" t="s">
        <v>15</v>
      </c>
      <c r="B3710" t="s">
        <v>33</v>
      </c>
      <c r="C3710" s="77" t="s">
        <v>92</v>
      </c>
      <c r="D3710" t="s">
        <v>81</v>
      </c>
      <c r="E3710" s="77" t="s">
        <v>118</v>
      </c>
      <c r="F3710" s="77" t="s">
        <v>73</v>
      </c>
      <c r="G3710" s="77" t="s">
        <v>74</v>
      </c>
      <c r="H3710" s="77" t="s">
        <v>108</v>
      </c>
      <c r="I3710" s="77" t="s">
        <v>84</v>
      </c>
      <c r="J3710" s="76" cm="1">
        <f t="array" ref="J3710:J3712">'SUT_EU27 total'!$K$89:$K$91</f>
        <v>3.3497344343163542E-3</v>
      </c>
    </row>
    <row r="3711" spans="1:10" x14ac:dyDescent="0.35">
      <c r="A3711" t="s">
        <v>15</v>
      </c>
      <c r="B3711" t="s">
        <v>33</v>
      </c>
      <c r="C3711" s="77" t="s">
        <v>92</v>
      </c>
      <c r="D3711" t="s">
        <v>81</v>
      </c>
      <c r="E3711" s="77" t="s">
        <v>119</v>
      </c>
      <c r="F3711" s="77" t="s">
        <v>73</v>
      </c>
      <c r="G3711" s="77" t="s">
        <v>74</v>
      </c>
      <c r="H3711" s="77" t="s">
        <v>108</v>
      </c>
      <c r="I3711" s="77" t="s">
        <v>84</v>
      </c>
      <c r="J3711" s="76">
        <v>6.0269323460777589E-3</v>
      </c>
    </row>
    <row r="3712" spans="1:10" x14ac:dyDescent="0.35">
      <c r="A3712" t="s">
        <v>15</v>
      </c>
      <c r="B3712" t="s">
        <v>33</v>
      </c>
      <c r="C3712" s="77" t="s">
        <v>92</v>
      </c>
      <c r="D3712" t="s">
        <v>81</v>
      </c>
      <c r="E3712" s="77" t="s">
        <v>120</v>
      </c>
      <c r="F3712" s="77" t="s">
        <v>73</v>
      </c>
      <c r="G3712" s="77" t="s">
        <v>74</v>
      </c>
      <c r="H3712" s="77" t="s">
        <v>108</v>
      </c>
      <c r="I3712" s="77" t="s">
        <v>84</v>
      </c>
      <c r="J3712" s="76">
        <v>4.0947713992508196E-3</v>
      </c>
    </row>
    <row r="3713" spans="1:10" x14ac:dyDescent="0.35">
      <c r="A3713" t="s">
        <v>15</v>
      </c>
      <c r="B3713" t="s">
        <v>33</v>
      </c>
      <c r="C3713" s="77" t="s">
        <v>92</v>
      </c>
      <c r="D3713" t="s">
        <v>81</v>
      </c>
      <c r="E3713" s="77" t="s">
        <v>121</v>
      </c>
      <c r="F3713" s="77" t="s">
        <v>73</v>
      </c>
      <c r="G3713" s="77" t="s">
        <v>74</v>
      </c>
      <c r="H3713" s="77" t="s">
        <v>108</v>
      </c>
      <c r="I3713" s="77" t="s">
        <v>84</v>
      </c>
      <c r="J3713" s="76">
        <f>'SUT_EU27 total'!$K$93</f>
        <v>0</v>
      </c>
    </row>
    <row r="3714" spans="1:10" x14ac:dyDescent="0.35">
      <c r="A3714" t="s">
        <v>15</v>
      </c>
      <c r="B3714" t="s">
        <v>33</v>
      </c>
      <c r="C3714" s="77" t="s">
        <v>92</v>
      </c>
      <c r="D3714" t="s">
        <v>81</v>
      </c>
      <c r="E3714" s="77" t="s">
        <v>117</v>
      </c>
      <c r="F3714" s="77" t="s">
        <v>73</v>
      </c>
      <c r="G3714" s="77" t="s">
        <v>74</v>
      </c>
      <c r="H3714" s="77" t="s">
        <v>108</v>
      </c>
      <c r="I3714" s="77" t="s">
        <v>84</v>
      </c>
      <c r="J3714" s="76">
        <f>'SUT_EU27 total'!$K$95</f>
        <v>0</v>
      </c>
    </row>
    <row r="3715" spans="1:10" x14ac:dyDescent="0.35">
      <c r="A3715" t="s">
        <v>15</v>
      </c>
      <c r="B3715" t="s">
        <v>33</v>
      </c>
      <c r="C3715" s="77" t="s">
        <v>92</v>
      </c>
      <c r="D3715" t="s">
        <v>81</v>
      </c>
      <c r="E3715" s="77" t="s">
        <v>122</v>
      </c>
      <c r="F3715" s="77" t="s">
        <v>73</v>
      </c>
      <c r="G3715" s="77" t="s">
        <v>74</v>
      </c>
      <c r="H3715" s="77" t="s">
        <v>108</v>
      </c>
      <c r="I3715" s="77" t="s">
        <v>84</v>
      </c>
      <c r="J3715" s="76">
        <f>'SUT_EU27 total'!$K$98</f>
        <v>0</v>
      </c>
    </row>
    <row r="3716" spans="1:10" x14ac:dyDescent="0.35">
      <c r="A3716" t="s">
        <v>15</v>
      </c>
      <c r="B3716" t="s">
        <v>33</v>
      </c>
      <c r="C3716" s="77" t="s">
        <v>92</v>
      </c>
      <c r="D3716" t="s">
        <v>81</v>
      </c>
      <c r="E3716" s="77" t="s">
        <v>101</v>
      </c>
      <c r="F3716" s="77" t="s">
        <v>73</v>
      </c>
      <c r="G3716" s="77" t="s">
        <v>74</v>
      </c>
      <c r="H3716" s="77" t="s">
        <v>108</v>
      </c>
      <c r="I3716" s="77" t="s">
        <v>84</v>
      </c>
      <c r="J3716" s="76" cm="1">
        <f t="array" ref="J3716:J3718">'SUT_EU27 total'!$K$100:$K$102</f>
        <v>0</v>
      </c>
    </row>
    <row r="3717" spans="1:10" x14ac:dyDescent="0.35">
      <c r="A3717" t="s">
        <v>15</v>
      </c>
      <c r="B3717" t="s">
        <v>33</v>
      </c>
      <c r="C3717" s="77" t="s">
        <v>92</v>
      </c>
      <c r="D3717" t="s">
        <v>81</v>
      </c>
      <c r="E3717" s="77" t="s">
        <v>104</v>
      </c>
      <c r="F3717" s="77" t="s">
        <v>73</v>
      </c>
      <c r="G3717" s="77" t="s">
        <v>74</v>
      </c>
      <c r="H3717" s="77" t="s">
        <v>108</v>
      </c>
      <c r="I3717" s="77" t="s">
        <v>84</v>
      </c>
      <c r="J3717" s="76">
        <v>0</v>
      </c>
    </row>
    <row r="3718" spans="1:10" x14ac:dyDescent="0.35">
      <c r="A3718" t="s">
        <v>15</v>
      </c>
      <c r="B3718" t="s">
        <v>33</v>
      </c>
      <c r="C3718" s="77" t="s">
        <v>92</v>
      </c>
      <c r="D3718" t="s">
        <v>81</v>
      </c>
      <c r="E3718" s="77" t="s">
        <v>106</v>
      </c>
      <c r="F3718" s="77" t="s">
        <v>73</v>
      </c>
      <c r="G3718" s="77" t="s">
        <v>74</v>
      </c>
      <c r="H3718" s="77" t="s">
        <v>108</v>
      </c>
      <c r="I3718" s="77" t="s">
        <v>84</v>
      </c>
      <c r="J3718" s="76">
        <v>0</v>
      </c>
    </row>
    <row r="3719" spans="1:10" x14ac:dyDescent="0.35">
      <c r="A3719" t="s">
        <v>15</v>
      </c>
      <c r="B3719" t="s">
        <v>33</v>
      </c>
      <c r="C3719" s="77" t="s">
        <v>93</v>
      </c>
      <c r="D3719" t="s">
        <v>81</v>
      </c>
      <c r="E3719" s="77" t="s">
        <v>118</v>
      </c>
      <c r="F3719" s="77" t="s">
        <v>73</v>
      </c>
      <c r="G3719" s="77" t="s">
        <v>74</v>
      </c>
      <c r="H3719" s="77" t="s">
        <v>108</v>
      </c>
      <c r="I3719" s="77" t="s">
        <v>84</v>
      </c>
      <c r="J3719" s="76" cm="1">
        <f t="array" ref="J3719:J3721">'SUT_EU27 total'!$K$106:$K$108</f>
        <v>1.4980971667560324E-2</v>
      </c>
    </row>
    <row r="3720" spans="1:10" x14ac:dyDescent="0.35">
      <c r="A3720" t="s">
        <v>15</v>
      </c>
      <c r="B3720" t="s">
        <v>33</v>
      </c>
      <c r="C3720" s="77" t="s">
        <v>93</v>
      </c>
      <c r="D3720" t="s">
        <v>81</v>
      </c>
      <c r="E3720" s="77" t="s">
        <v>119</v>
      </c>
      <c r="F3720" s="77" t="s">
        <v>73</v>
      </c>
      <c r="G3720" s="77" t="s">
        <v>74</v>
      </c>
      <c r="H3720" s="77" t="s">
        <v>108</v>
      </c>
      <c r="I3720" s="77" t="s">
        <v>84</v>
      </c>
      <c r="J3720" s="76">
        <v>4.3405477873147885E-2</v>
      </c>
    </row>
    <row r="3721" spans="1:10" x14ac:dyDescent="0.35">
      <c r="A3721" t="s">
        <v>15</v>
      </c>
      <c r="B3721" t="s">
        <v>33</v>
      </c>
      <c r="C3721" s="77" t="s">
        <v>93</v>
      </c>
      <c r="D3721" t="s">
        <v>81</v>
      </c>
      <c r="E3721" s="77" t="s">
        <v>120</v>
      </c>
      <c r="F3721" s="77" t="s">
        <v>73</v>
      </c>
      <c r="G3721" s="77" t="s">
        <v>74</v>
      </c>
      <c r="H3721" s="77" t="s">
        <v>108</v>
      </c>
      <c r="I3721" s="77" t="s">
        <v>84</v>
      </c>
      <c r="J3721" s="76">
        <v>2.1237093113781802E-2</v>
      </c>
    </row>
    <row r="3722" spans="1:10" x14ac:dyDescent="0.35">
      <c r="A3722" t="s">
        <v>15</v>
      </c>
      <c r="B3722" t="s">
        <v>33</v>
      </c>
      <c r="C3722" s="77" t="s">
        <v>93</v>
      </c>
      <c r="D3722" t="s">
        <v>81</v>
      </c>
      <c r="E3722" s="77" t="s">
        <v>121</v>
      </c>
      <c r="F3722" s="77" t="s">
        <v>73</v>
      </c>
      <c r="G3722" s="77" t="s">
        <v>74</v>
      </c>
      <c r="H3722" s="77" t="s">
        <v>108</v>
      </c>
      <c r="I3722" s="77" t="s">
        <v>84</v>
      </c>
      <c r="J3722" s="76">
        <f>'SUT_EU27 total'!$K$110</f>
        <v>0</v>
      </c>
    </row>
    <row r="3723" spans="1:10" x14ac:dyDescent="0.35">
      <c r="A3723" t="s">
        <v>15</v>
      </c>
      <c r="B3723" t="s">
        <v>33</v>
      </c>
      <c r="C3723" s="77" t="s">
        <v>93</v>
      </c>
      <c r="D3723" t="s">
        <v>81</v>
      </c>
      <c r="E3723" s="77" t="s">
        <v>117</v>
      </c>
      <c r="F3723" s="77" t="s">
        <v>73</v>
      </c>
      <c r="G3723" s="77" t="s">
        <v>74</v>
      </c>
      <c r="H3723" s="77" t="s">
        <v>108</v>
      </c>
      <c r="I3723" s="77" t="s">
        <v>84</v>
      </c>
      <c r="J3723" s="76">
        <f>'SUT_EU27 total'!$K$112</f>
        <v>1.1930984723440377E-3</v>
      </c>
    </row>
    <row r="3724" spans="1:10" x14ac:dyDescent="0.35">
      <c r="A3724" t="s">
        <v>15</v>
      </c>
      <c r="B3724" t="s">
        <v>33</v>
      </c>
      <c r="C3724" s="77" t="s">
        <v>93</v>
      </c>
      <c r="D3724" t="s">
        <v>81</v>
      </c>
      <c r="E3724" s="77" t="s">
        <v>122</v>
      </c>
      <c r="F3724" s="77" t="s">
        <v>73</v>
      </c>
      <c r="G3724" s="77" t="s">
        <v>74</v>
      </c>
      <c r="H3724" s="77" t="s">
        <v>108</v>
      </c>
      <c r="I3724" s="77" t="s">
        <v>84</v>
      </c>
      <c r="J3724" s="76">
        <f>'SUT_EU27 total'!$K$115</f>
        <v>8.7987828585017833E-3</v>
      </c>
    </row>
    <row r="3725" spans="1:10" x14ac:dyDescent="0.35">
      <c r="A3725" t="s">
        <v>15</v>
      </c>
      <c r="B3725" t="s">
        <v>33</v>
      </c>
      <c r="C3725" s="77" t="s">
        <v>93</v>
      </c>
      <c r="D3725" t="s">
        <v>81</v>
      </c>
      <c r="E3725" s="77" t="s">
        <v>101</v>
      </c>
      <c r="F3725" s="77" t="s">
        <v>73</v>
      </c>
      <c r="G3725" s="77" t="s">
        <v>74</v>
      </c>
      <c r="H3725" s="77" t="s">
        <v>108</v>
      </c>
      <c r="I3725" s="77" t="s">
        <v>84</v>
      </c>
      <c r="J3725" s="76" cm="1">
        <f t="array" ref="J3725:J3727">'SUT_EU27 total'!$K$117:$K$119</f>
        <v>0</v>
      </c>
    </row>
    <row r="3726" spans="1:10" x14ac:dyDescent="0.35">
      <c r="A3726" t="s">
        <v>15</v>
      </c>
      <c r="B3726" t="s">
        <v>33</v>
      </c>
      <c r="C3726" s="77" t="s">
        <v>93</v>
      </c>
      <c r="D3726" t="s">
        <v>81</v>
      </c>
      <c r="E3726" s="77" t="s">
        <v>104</v>
      </c>
      <c r="F3726" s="77" t="s">
        <v>73</v>
      </c>
      <c r="G3726" s="77" t="s">
        <v>74</v>
      </c>
      <c r="H3726" s="77" t="s">
        <v>108</v>
      </c>
      <c r="I3726" s="77" t="s">
        <v>84</v>
      </c>
      <c r="J3726" s="76">
        <v>0</v>
      </c>
    </row>
    <row r="3727" spans="1:10" x14ac:dyDescent="0.35">
      <c r="A3727" t="s">
        <v>15</v>
      </c>
      <c r="B3727" t="s">
        <v>33</v>
      </c>
      <c r="C3727" s="77" t="s">
        <v>93</v>
      </c>
      <c r="D3727" t="s">
        <v>81</v>
      </c>
      <c r="E3727" s="77" t="s">
        <v>106</v>
      </c>
      <c r="F3727" s="77" t="s">
        <v>73</v>
      </c>
      <c r="G3727" s="77" t="s">
        <v>74</v>
      </c>
      <c r="H3727" s="77" t="s">
        <v>108</v>
      </c>
      <c r="I3727" s="77" t="s">
        <v>84</v>
      </c>
      <c r="J3727" s="76">
        <v>0</v>
      </c>
    </row>
    <row r="3728" spans="1:10" x14ac:dyDescent="0.35">
      <c r="A3728" t="s">
        <v>15</v>
      </c>
      <c r="B3728" t="s">
        <v>33</v>
      </c>
      <c r="C3728" s="77" t="s">
        <v>73</v>
      </c>
      <c r="D3728" t="s">
        <v>81</v>
      </c>
      <c r="E3728" s="77" t="s">
        <v>119</v>
      </c>
      <c r="F3728" s="77" t="s">
        <v>73</v>
      </c>
      <c r="G3728" s="77" t="s">
        <v>74</v>
      </c>
      <c r="H3728" s="77" t="s">
        <v>123</v>
      </c>
      <c r="I3728" s="77" t="s">
        <v>84</v>
      </c>
      <c r="J3728" s="76">
        <f>'SUT_EU27 total'!$L$22</f>
        <v>1.9500181678711294E-2</v>
      </c>
    </row>
    <row r="3729" spans="1:11" x14ac:dyDescent="0.35">
      <c r="A3729" t="s">
        <v>15</v>
      </c>
      <c r="B3729" t="s">
        <v>33</v>
      </c>
      <c r="C3729" s="77" t="s">
        <v>73</v>
      </c>
      <c r="D3729" t="s">
        <v>81</v>
      </c>
      <c r="E3729" s="77" t="s">
        <v>124</v>
      </c>
      <c r="F3729" s="77" t="s">
        <v>73</v>
      </c>
      <c r="G3729" s="77" t="s">
        <v>74</v>
      </c>
      <c r="H3729" s="77" t="s">
        <v>123</v>
      </c>
      <c r="I3729" s="77" t="s">
        <v>84</v>
      </c>
      <c r="J3729" s="76" cm="1">
        <f t="array" ref="J3729:J3737">'SUT_EU27 total'!$L$26:$L$34</f>
        <v>1.9404661061278542E-3</v>
      </c>
    </row>
    <row r="3730" spans="1:11" x14ac:dyDescent="0.35">
      <c r="A3730" t="s">
        <v>15</v>
      </c>
      <c r="B3730" t="s">
        <v>33</v>
      </c>
      <c r="C3730" s="77" t="s">
        <v>73</v>
      </c>
      <c r="D3730" t="s">
        <v>81</v>
      </c>
      <c r="E3730" s="77" t="s">
        <v>117</v>
      </c>
      <c r="F3730" s="77" t="s">
        <v>73</v>
      </c>
      <c r="G3730" s="77" t="s">
        <v>74</v>
      </c>
      <c r="H3730" s="77" t="s">
        <v>123</v>
      </c>
      <c r="I3730" s="77" t="s">
        <v>84</v>
      </c>
      <c r="J3730" s="76">
        <v>5.8423628191201782E-3</v>
      </c>
    </row>
    <row r="3731" spans="1:11" x14ac:dyDescent="0.35">
      <c r="A3731" t="s">
        <v>15</v>
      </c>
      <c r="B3731" t="s">
        <v>33</v>
      </c>
      <c r="C3731" s="77" t="s">
        <v>73</v>
      </c>
      <c r="D3731" t="s">
        <v>81</v>
      </c>
      <c r="E3731" s="77" t="s">
        <v>82</v>
      </c>
      <c r="F3731" s="77" t="s">
        <v>73</v>
      </c>
      <c r="G3731" s="77" t="s">
        <v>74</v>
      </c>
      <c r="H3731" s="77" t="s">
        <v>123</v>
      </c>
      <c r="I3731" s="77" t="s">
        <v>84</v>
      </c>
      <c r="J3731" s="76">
        <v>4.8981233243967828E-4</v>
      </c>
    </row>
    <row r="3732" spans="1:11" x14ac:dyDescent="0.35">
      <c r="A3732" t="s">
        <v>15</v>
      </c>
      <c r="B3732" t="s">
        <v>33</v>
      </c>
      <c r="C3732" s="77" t="s">
        <v>73</v>
      </c>
      <c r="D3732" t="s">
        <v>81</v>
      </c>
      <c r="E3732" s="77" t="s">
        <v>125</v>
      </c>
      <c r="F3732" s="77" t="s">
        <v>73</v>
      </c>
      <c r="G3732" s="77" t="s">
        <v>74</v>
      </c>
      <c r="H3732" s="77" t="s">
        <v>123</v>
      </c>
      <c r="I3732" s="77" t="s">
        <v>84</v>
      </c>
      <c r="J3732" s="76">
        <v>2.4658201215687387E-3</v>
      </c>
    </row>
    <row r="3733" spans="1:11" x14ac:dyDescent="0.35">
      <c r="A3733" t="s">
        <v>15</v>
      </c>
      <c r="B3733" t="s">
        <v>33</v>
      </c>
      <c r="C3733" s="77" t="s">
        <v>73</v>
      </c>
      <c r="D3733" t="s">
        <v>81</v>
      </c>
      <c r="E3733" s="77" t="s">
        <v>122</v>
      </c>
      <c r="F3733" s="77" t="s">
        <v>73</v>
      </c>
      <c r="G3733" s="77" t="s">
        <v>74</v>
      </c>
      <c r="H3733" s="77" t="s">
        <v>123</v>
      </c>
      <c r="I3733" s="77" t="s">
        <v>84</v>
      </c>
      <c r="J3733" s="76">
        <v>4.922711058263972E-4</v>
      </c>
    </row>
    <row r="3734" spans="1:11" x14ac:dyDescent="0.35">
      <c r="A3734" t="s">
        <v>15</v>
      </c>
      <c r="B3734" t="s">
        <v>33</v>
      </c>
      <c r="C3734" s="77" t="s">
        <v>73</v>
      </c>
      <c r="D3734" t="s">
        <v>81</v>
      </c>
      <c r="E3734" s="77" t="s">
        <v>126</v>
      </c>
      <c r="F3734" s="77" t="s">
        <v>73</v>
      </c>
      <c r="G3734" s="77" t="s">
        <v>74</v>
      </c>
      <c r="H3734" s="77" t="s">
        <v>123</v>
      </c>
      <c r="I3734" s="77" t="s">
        <v>84</v>
      </c>
      <c r="J3734" s="76">
        <v>0</v>
      </c>
    </row>
    <row r="3735" spans="1:11" x14ac:dyDescent="0.35">
      <c r="A3735" t="s">
        <v>15</v>
      </c>
      <c r="B3735" t="s">
        <v>33</v>
      </c>
      <c r="C3735" s="77" t="s">
        <v>73</v>
      </c>
      <c r="D3735" t="s">
        <v>81</v>
      </c>
      <c r="E3735" s="77" t="s">
        <v>101</v>
      </c>
      <c r="F3735" s="77" t="s">
        <v>73</v>
      </c>
      <c r="G3735" s="77" t="s">
        <v>74</v>
      </c>
      <c r="H3735" s="77" t="s">
        <v>123</v>
      </c>
      <c r="I3735" s="77" t="s">
        <v>84</v>
      </c>
      <c r="J3735" s="76">
        <v>3.7860913795851507E-4</v>
      </c>
    </row>
    <row r="3736" spans="1:11" x14ac:dyDescent="0.35">
      <c r="A3736" t="s">
        <v>15</v>
      </c>
      <c r="B3736" t="s">
        <v>33</v>
      </c>
      <c r="C3736" s="77" t="s">
        <v>73</v>
      </c>
      <c r="D3736" t="s">
        <v>81</v>
      </c>
      <c r="E3736" s="77" t="s">
        <v>104</v>
      </c>
      <c r="F3736" s="77" t="s">
        <v>73</v>
      </c>
      <c r="G3736" s="77" t="s">
        <v>74</v>
      </c>
      <c r="H3736" s="77" t="s">
        <v>123</v>
      </c>
      <c r="I3736" s="77" t="s">
        <v>84</v>
      </c>
      <c r="J3736" s="76">
        <v>7.1686251377883477E-4</v>
      </c>
      <c r="K3736" s="72"/>
    </row>
    <row r="3737" spans="1:11" x14ac:dyDescent="0.35">
      <c r="A3737" t="s">
        <v>15</v>
      </c>
      <c r="B3737" t="s">
        <v>33</v>
      </c>
      <c r="C3737" s="77" t="s">
        <v>73</v>
      </c>
      <c r="D3737" t="s">
        <v>81</v>
      </c>
      <c r="E3737" s="77" t="s">
        <v>106</v>
      </c>
      <c r="F3737" s="77" t="s">
        <v>73</v>
      </c>
      <c r="G3737" s="77" t="s">
        <v>74</v>
      </c>
      <c r="H3737" s="77" t="s">
        <v>123</v>
      </c>
      <c r="I3737" s="77" t="s">
        <v>84</v>
      </c>
      <c r="J3737" s="76">
        <v>2.438307869996036E-3</v>
      </c>
    </row>
    <row r="3738" spans="1:11" x14ac:dyDescent="0.35">
      <c r="A3738" t="s">
        <v>15</v>
      </c>
      <c r="B3738" t="s">
        <v>33</v>
      </c>
      <c r="C3738" s="77" t="s">
        <v>88</v>
      </c>
      <c r="D3738" t="s">
        <v>81</v>
      </c>
      <c r="E3738" s="77" t="s">
        <v>119</v>
      </c>
      <c r="F3738" s="77" t="s">
        <v>73</v>
      </c>
      <c r="G3738" s="77" t="s">
        <v>74</v>
      </c>
      <c r="H3738" s="77" t="s">
        <v>123</v>
      </c>
      <c r="I3738" s="77" t="s">
        <v>84</v>
      </c>
      <c r="J3738" s="76">
        <f>'SUT_EU27 total'!$L$39</f>
        <v>0.16108845734587587</v>
      </c>
    </row>
    <row r="3739" spans="1:11" x14ac:dyDescent="0.35">
      <c r="A3739" t="s">
        <v>15</v>
      </c>
      <c r="B3739" t="s">
        <v>33</v>
      </c>
      <c r="C3739" s="77" t="s">
        <v>88</v>
      </c>
      <c r="D3739" t="s">
        <v>81</v>
      </c>
      <c r="E3739" s="77" t="s">
        <v>124</v>
      </c>
      <c r="F3739" s="77" t="s">
        <v>73</v>
      </c>
      <c r="G3739" s="77" t="s">
        <v>74</v>
      </c>
      <c r="H3739" s="77" t="s">
        <v>123</v>
      </c>
      <c r="I3739" s="77" t="s">
        <v>84</v>
      </c>
      <c r="J3739" s="76" cm="1">
        <f t="array" ref="J3739:J3747">'SUT_EU27 total'!$M$43:$M$51</f>
        <v>5.0558836222750793E-4</v>
      </c>
    </row>
    <row r="3740" spans="1:11" x14ac:dyDescent="0.35">
      <c r="A3740" t="s">
        <v>15</v>
      </c>
      <c r="B3740" t="s">
        <v>33</v>
      </c>
      <c r="C3740" s="77" t="s">
        <v>88</v>
      </c>
      <c r="D3740" t="s">
        <v>81</v>
      </c>
      <c r="E3740" s="77" t="s">
        <v>117</v>
      </c>
      <c r="F3740" s="77" t="s">
        <v>73</v>
      </c>
      <c r="G3740" s="77" t="s">
        <v>74</v>
      </c>
      <c r="H3740" s="77" t="s">
        <v>123</v>
      </c>
      <c r="I3740" s="77" t="s">
        <v>84</v>
      </c>
      <c r="J3740" s="76">
        <v>4.8514464106651379E-3</v>
      </c>
    </row>
    <row r="3741" spans="1:11" x14ac:dyDescent="0.35">
      <c r="A3741" t="s">
        <v>15</v>
      </c>
      <c r="B3741" t="s">
        <v>33</v>
      </c>
      <c r="C3741" s="77" t="s">
        <v>88</v>
      </c>
      <c r="D3741" t="s">
        <v>81</v>
      </c>
      <c r="E3741" s="77" t="s">
        <v>82</v>
      </c>
      <c r="F3741" s="77" t="s">
        <v>73</v>
      </c>
      <c r="G3741" s="77" t="s">
        <v>74</v>
      </c>
      <c r="H3741" s="77" t="s">
        <v>123</v>
      </c>
      <c r="I3741" s="77" t="s">
        <v>84</v>
      </c>
      <c r="J3741" s="76">
        <v>1.109418436791091E-2</v>
      </c>
    </row>
    <row r="3742" spans="1:11" x14ac:dyDescent="0.35">
      <c r="A3742" t="s">
        <v>15</v>
      </c>
      <c r="B3742" t="s">
        <v>33</v>
      </c>
      <c r="C3742" s="77" t="s">
        <v>88</v>
      </c>
      <c r="D3742" t="s">
        <v>81</v>
      </c>
      <c r="E3742" s="77" t="s">
        <v>125</v>
      </c>
      <c r="F3742" s="77" t="s">
        <v>73</v>
      </c>
      <c r="G3742" s="77" t="s">
        <v>74</v>
      </c>
      <c r="H3742" s="77" t="s">
        <v>123</v>
      </c>
      <c r="I3742" s="77" t="s">
        <v>84</v>
      </c>
      <c r="J3742" s="76">
        <v>2.890870278990243E-5</v>
      </c>
    </row>
    <row r="3743" spans="1:11" x14ac:dyDescent="0.35">
      <c r="A3743" t="s">
        <v>15</v>
      </c>
      <c r="B3743" t="s">
        <v>33</v>
      </c>
      <c r="C3743" s="77" t="s">
        <v>88</v>
      </c>
      <c r="D3743" t="s">
        <v>81</v>
      </c>
      <c r="E3743" s="77" t="s">
        <v>122</v>
      </c>
      <c r="F3743" s="77" t="s">
        <v>73</v>
      </c>
      <c r="G3743" s="77" t="s">
        <v>74</v>
      </c>
      <c r="H3743" s="77" t="s">
        <v>123</v>
      </c>
      <c r="I3743" s="77" t="s">
        <v>84</v>
      </c>
      <c r="J3743" s="76">
        <v>0</v>
      </c>
    </row>
    <row r="3744" spans="1:11" x14ac:dyDescent="0.35">
      <c r="A3744" t="s">
        <v>15</v>
      </c>
      <c r="B3744" t="s">
        <v>33</v>
      </c>
      <c r="C3744" s="77" t="s">
        <v>88</v>
      </c>
      <c r="D3744" t="s">
        <v>81</v>
      </c>
      <c r="E3744" s="77" t="s">
        <v>126</v>
      </c>
      <c r="F3744" s="77" t="s">
        <v>73</v>
      </c>
      <c r="G3744" s="77" t="s">
        <v>74</v>
      </c>
      <c r="H3744" s="77" t="s">
        <v>123</v>
      </c>
      <c r="I3744" s="77" t="s">
        <v>84</v>
      </c>
      <c r="J3744" s="76">
        <v>2.8514320987501449E-3</v>
      </c>
    </row>
    <row r="3745" spans="1:10" x14ac:dyDescent="0.35">
      <c r="A3745" t="s">
        <v>15</v>
      </c>
      <c r="B3745" t="s">
        <v>33</v>
      </c>
      <c r="C3745" s="77" t="s">
        <v>88</v>
      </c>
      <c r="D3745" t="s">
        <v>81</v>
      </c>
      <c r="E3745" s="77" t="s">
        <v>101</v>
      </c>
      <c r="F3745" s="77" t="s">
        <v>73</v>
      </c>
      <c r="G3745" s="77" t="s">
        <v>74</v>
      </c>
      <c r="H3745" s="77" t="s">
        <v>123</v>
      </c>
      <c r="I3745" s="77" t="s">
        <v>84</v>
      </c>
      <c r="J3745" s="76">
        <v>0</v>
      </c>
    </row>
    <row r="3746" spans="1:10" x14ac:dyDescent="0.35">
      <c r="A3746" t="s">
        <v>15</v>
      </c>
      <c r="B3746" t="s">
        <v>33</v>
      </c>
      <c r="C3746" s="77" t="s">
        <v>88</v>
      </c>
      <c r="D3746" t="s">
        <v>81</v>
      </c>
      <c r="E3746" s="77" t="s">
        <v>104</v>
      </c>
      <c r="F3746" s="77" t="s">
        <v>73</v>
      </c>
      <c r="G3746" s="77" t="s">
        <v>74</v>
      </c>
      <c r="H3746" s="77" t="s">
        <v>123</v>
      </c>
      <c r="I3746" s="77" t="s">
        <v>84</v>
      </c>
      <c r="J3746" s="76">
        <v>0</v>
      </c>
    </row>
    <row r="3747" spans="1:10" x14ac:dyDescent="0.35">
      <c r="A3747" t="s">
        <v>15</v>
      </c>
      <c r="B3747" t="s">
        <v>33</v>
      </c>
      <c r="C3747" s="77" t="s">
        <v>88</v>
      </c>
      <c r="D3747" t="s">
        <v>81</v>
      </c>
      <c r="E3747" s="77" t="s">
        <v>106</v>
      </c>
      <c r="F3747" s="77" t="s">
        <v>73</v>
      </c>
      <c r="G3747" s="77" t="s">
        <v>74</v>
      </c>
      <c r="H3747" s="77" t="s">
        <v>123</v>
      </c>
      <c r="I3747" s="77" t="s">
        <v>84</v>
      </c>
      <c r="J3747" s="76">
        <v>0</v>
      </c>
    </row>
    <row r="3748" spans="1:10" x14ac:dyDescent="0.35">
      <c r="A3748" t="s">
        <v>15</v>
      </c>
      <c r="B3748" t="s">
        <v>33</v>
      </c>
      <c r="C3748" s="77" t="s">
        <v>90</v>
      </c>
      <c r="D3748" t="s">
        <v>81</v>
      </c>
      <c r="E3748" s="77" t="s">
        <v>119</v>
      </c>
      <c r="F3748" s="77" t="s">
        <v>73</v>
      </c>
      <c r="G3748" s="77" t="s">
        <v>74</v>
      </c>
      <c r="H3748" s="77" t="s">
        <v>123</v>
      </c>
      <c r="I3748" s="77" t="s">
        <v>84</v>
      </c>
      <c r="J3748" s="76">
        <f>'SUT_EU27 total'!$M$56</f>
        <v>2.949251079979006E-2</v>
      </c>
    </row>
    <row r="3749" spans="1:10" x14ac:dyDescent="0.35">
      <c r="A3749" t="s">
        <v>15</v>
      </c>
      <c r="B3749" t="s">
        <v>33</v>
      </c>
      <c r="C3749" s="77" t="s">
        <v>90</v>
      </c>
      <c r="D3749" t="s">
        <v>81</v>
      </c>
      <c r="E3749" s="77" t="s">
        <v>124</v>
      </c>
      <c r="F3749" s="77" t="s">
        <v>73</v>
      </c>
      <c r="G3749" s="77" t="s">
        <v>74</v>
      </c>
      <c r="H3749" s="77" t="s">
        <v>123</v>
      </c>
      <c r="I3749" s="77" t="s">
        <v>84</v>
      </c>
      <c r="J3749" s="76" cm="1">
        <f t="array" ref="J3749:J3757">'SUT_EU27 total'!$L$60:$L$68</f>
        <v>2.1047443073980527E-5</v>
      </c>
    </row>
    <row r="3750" spans="1:10" x14ac:dyDescent="0.35">
      <c r="A3750" t="s">
        <v>15</v>
      </c>
      <c r="B3750" t="s">
        <v>33</v>
      </c>
      <c r="C3750" s="77" t="s">
        <v>90</v>
      </c>
      <c r="D3750" t="s">
        <v>81</v>
      </c>
      <c r="E3750" s="77" t="s">
        <v>117</v>
      </c>
      <c r="F3750" s="77" t="s">
        <v>73</v>
      </c>
      <c r="G3750" s="77" t="s">
        <v>74</v>
      </c>
      <c r="H3750" s="77" t="s">
        <v>123</v>
      </c>
      <c r="I3750" s="77" t="s">
        <v>84</v>
      </c>
      <c r="J3750" s="76">
        <v>5.8414015621608938E-3</v>
      </c>
    </row>
    <row r="3751" spans="1:10" x14ac:dyDescent="0.35">
      <c r="A3751" t="s">
        <v>15</v>
      </c>
      <c r="B3751" t="s">
        <v>33</v>
      </c>
      <c r="C3751" s="77" t="s">
        <v>90</v>
      </c>
      <c r="D3751" t="s">
        <v>81</v>
      </c>
      <c r="E3751" s="77" t="s">
        <v>82</v>
      </c>
      <c r="F3751" s="77" t="s">
        <v>73</v>
      </c>
      <c r="G3751" s="77" t="s">
        <v>74</v>
      </c>
      <c r="H3751" s="77" t="s">
        <v>123</v>
      </c>
      <c r="I3751" s="77" t="s">
        <v>84</v>
      </c>
      <c r="J3751" s="76">
        <v>1.4521138379047227E-3</v>
      </c>
    </row>
    <row r="3752" spans="1:10" x14ac:dyDescent="0.35">
      <c r="A3752" t="s">
        <v>15</v>
      </c>
      <c r="B3752" t="s">
        <v>33</v>
      </c>
      <c r="C3752" s="77" t="s">
        <v>90</v>
      </c>
      <c r="D3752" t="s">
        <v>81</v>
      </c>
      <c r="E3752" s="77" t="s">
        <v>125</v>
      </c>
      <c r="F3752" s="77" t="s">
        <v>73</v>
      </c>
      <c r="G3752" s="77" t="s">
        <v>74</v>
      </c>
      <c r="H3752" s="77" t="s">
        <v>123</v>
      </c>
      <c r="I3752" s="77" t="s">
        <v>84</v>
      </c>
      <c r="J3752" s="76">
        <v>6.5130870114372285E-5</v>
      </c>
    </row>
    <row r="3753" spans="1:10" x14ac:dyDescent="0.35">
      <c r="A3753" t="s">
        <v>15</v>
      </c>
      <c r="B3753" t="s">
        <v>33</v>
      </c>
      <c r="C3753" s="77" t="s">
        <v>90</v>
      </c>
      <c r="D3753" t="s">
        <v>81</v>
      </c>
      <c r="E3753" s="77" t="s">
        <v>122</v>
      </c>
      <c r="F3753" s="77" t="s">
        <v>73</v>
      </c>
      <c r="G3753" s="77" t="s">
        <v>74</v>
      </c>
      <c r="H3753" s="77" t="s">
        <v>123</v>
      </c>
      <c r="I3753" s="77" t="s">
        <v>84</v>
      </c>
      <c r="J3753" s="76">
        <v>7.9476813317479189E-4</v>
      </c>
    </row>
    <row r="3754" spans="1:10" x14ac:dyDescent="0.35">
      <c r="A3754" t="s">
        <v>15</v>
      </c>
      <c r="B3754" t="s">
        <v>33</v>
      </c>
      <c r="C3754" s="77" t="s">
        <v>90</v>
      </c>
      <c r="D3754" t="s">
        <v>81</v>
      </c>
      <c r="E3754" s="77" t="s">
        <v>126</v>
      </c>
      <c r="F3754" s="77" t="s">
        <v>73</v>
      </c>
      <c r="G3754" s="77" t="s">
        <v>74</v>
      </c>
      <c r="H3754" s="77" t="s">
        <v>123</v>
      </c>
      <c r="I3754" s="77" t="s">
        <v>84</v>
      </c>
      <c r="J3754" s="76">
        <v>8.4821183458843076E-3</v>
      </c>
    </row>
    <row r="3755" spans="1:10" x14ac:dyDescent="0.35">
      <c r="A3755" t="s">
        <v>15</v>
      </c>
      <c r="B3755" t="s">
        <v>33</v>
      </c>
      <c r="C3755" s="77" t="s">
        <v>90</v>
      </c>
      <c r="D3755" t="s">
        <v>81</v>
      </c>
      <c r="E3755" s="77" t="s">
        <v>101</v>
      </c>
      <c r="F3755" s="77" t="s">
        <v>73</v>
      </c>
      <c r="G3755" s="77" t="s">
        <v>74</v>
      </c>
      <c r="H3755" s="77" t="s">
        <v>123</v>
      </c>
      <c r="I3755" s="77" t="s">
        <v>84</v>
      </c>
      <c r="J3755" s="76">
        <v>0</v>
      </c>
    </row>
    <row r="3756" spans="1:10" x14ac:dyDescent="0.35">
      <c r="A3756" t="s">
        <v>15</v>
      </c>
      <c r="B3756" t="s">
        <v>33</v>
      </c>
      <c r="C3756" s="77" t="s">
        <v>90</v>
      </c>
      <c r="D3756" t="s">
        <v>81</v>
      </c>
      <c r="E3756" s="77" t="s">
        <v>104</v>
      </c>
      <c r="F3756" s="77" t="s">
        <v>73</v>
      </c>
      <c r="G3756" s="77" t="s">
        <v>74</v>
      </c>
      <c r="H3756" s="77" t="s">
        <v>123</v>
      </c>
      <c r="I3756" s="77" t="s">
        <v>84</v>
      </c>
      <c r="J3756" s="76">
        <v>0</v>
      </c>
    </row>
    <row r="3757" spans="1:10" x14ac:dyDescent="0.35">
      <c r="A3757" t="s">
        <v>15</v>
      </c>
      <c r="B3757" t="s">
        <v>33</v>
      </c>
      <c r="C3757" s="77" t="s">
        <v>90</v>
      </c>
      <c r="D3757" t="s">
        <v>81</v>
      </c>
      <c r="E3757" s="77" t="s">
        <v>106</v>
      </c>
      <c r="F3757" s="77" t="s">
        <v>73</v>
      </c>
      <c r="G3757" s="77" t="s">
        <v>74</v>
      </c>
      <c r="H3757" s="77" t="s">
        <v>123</v>
      </c>
      <c r="I3757" s="77" t="s">
        <v>84</v>
      </c>
      <c r="J3757" s="76">
        <v>0</v>
      </c>
    </row>
    <row r="3758" spans="1:10" x14ac:dyDescent="0.35">
      <c r="A3758" t="s">
        <v>15</v>
      </c>
      <c r="B3758" t="s">
        <v>33</v>
      </c>
      <c r="C3758" s="77" t="s">
        <v>91</v>
      </c>
      <c r="D3758" t="s">
        <v>81</v>
      </c>
      <c r="E3758" s="77" t="s">
        <v>119</v>
      </c>
      <c r="F3758" s="77" t="s">
        <v>73</v>
      </c>
      <c r="G3758" s="77" t="s">
        <v>74</v>
      </c>
      <c r="H3758" s="77" t="s">
        <v>123</v>
      </c>
      <c r="I3758" s="77" t="s">
        <v>84</v>
      </c>
      <c r="J3758" s="76">
        <f>'SUT_EU27 total'!$L$73</f>
        <v>0.15097500908393557</v>
      </c>
    </row>
    <row r="3759" spans="1:10" x14ac:dyDescent="0.35">
      <c r="A3759" t="s">
        <v>15</v>
      </c>
      <c r="B3759" t="s">
        <v>33</v>
      </c>
      <c r="C3759" s="77" t="s">
        <v>91</v>
      </c>
      <c r="D3759" t="s">
        <v>81</v>
      </c>
      <c r="E3759" s="77" t="s">
        <v>124</v>
      </c>
      <c r="F3759" s="77" t="s">
        <v>73</v>
      </c>
      <c r="G3759" s="77" t="s">
        <v>74</v>
      </c>
      <c r="H3759" s="77" t="s">
        <v>123</v>
      </c>
      <c r="I3759" s="77" t="s">
        <v>84</v>
      </c>
      <c r="J3759" s="76" cm="1">
        <f t="array" ref="J3759:J3767">'SUT_EU27 total'!$L$77:$L$85</f>
        <v>6.7728942399646885E-5</v>
      </c>
    </row>
    <row r="3760" spans="1:10" x14ac:dyDescent="0.35">
      <c r="A3760" t="s">
        <v>15</v>
      </c>
      <c r="B3760" t="s">
        <v>33</v>
      </c>
      <c r="C3760" s="77" t="s">
        <v>91</v>
      </c>
      <c r="D3760" t="s">
        <v>81</v>
      </c>
      <c r="E3760" s="77" t="s">
        <v>117</v>
      </c>
      <c r="F3760" s="77" t="s">
        <v>73</v>
      </c>
      <c r="G3760" s="77" t="s">
        <v>74</v>
      </c>
      <c r="H3760" s="77" t="s">
        <v>123</v>
      </c>
      <c r="I3760" s="77" t="s">
        <v>84</v>
      </c>
      <c r="J3760" s="76">
        <v>5.6233849622410815E-3</v>
      </c>
    </row>
    <row r="3761" spans="1:10" x14ac:dyDescent="0.35">
      <c r="A3761" t="s">
        <v>15</v>
      </c>
      <c r="B3761" t="s">
        <v>33</v>
      </c>
      <c r="C3761" s="77" t="s">
        <v>91</v>
      </c>
      <c r="D3761" t="s">
        <v>81</v>
      </c>
      <c r="E3761" s="77" t="s">
        <v>82</v>
      </c>
      <c r="F3761" s="77" t="s">
        <v>73</v>
      </c>
      <c r="G3761" s="77" t="s">
        <v>74</v>
      </c>
      <c r="H3761" s="77" t="s">
        <v>123</v>
      </c>
      <c r="I3761" s="77" t="s">
        <v>84</v>
      </c>
      <c r="J3761" s="76">
        <v>1.8068055269127655E-3</v>
      </c>
    </row>
    <row r="3762" spans="1:10" x14ac:dyDescent="0.35">
      <c r="A3762" t="s">
        <v>15</v>
      </c>
      <c r="B3762" t="s">
        <v>33</v>
      </c>
      <c r="C3762" s="77" t="s">
        <v>91</v>
      </c>
      <c r="D3762" t="s">
        <v>81</v>
      </c>
      <c r="E3762" s="77" t="s">
        <v>125</v>
      </c>
      <c r="F3762" s="77" t="s">
        <v>73</v>
      </c>
      <c r="G3762" s="77" t="s">
        <v>74</v>
      </c>
      <c r="H3762" s="77" t="s">
        <v>123</v>
      </c>
      <c r="I3762" s="77" t="s">
        <v>84</v>
      </c>
      <c r="J3762" s="76">
        <v>5.6492118062760293E-6</v>
      </c>
    </row>
    <row r="3763" spans="1:10" x14ac:dyDescent="0.35">
      <c r="A3763" t="s">
        <v>15</v>
      </c>
      <c r="B3763" t="s">
        <v>33</v>
      </c>
      <c r="C3763" s="77" t="s">
        <v>91</v>
      </c>
      <c r="D3763" t="s">
        <v>81</v>
      </c>
      <c r="E3763" s="77" t="s">
        <v>122</v>
      </c>
      <c r="F3763" s="77" t="s">
        <v>73</v>
      </c>
      <c r="G3763" s="77" t="s">
        <v>74</v>
      </c>
      <c r="H3763" s="77" t="s">
        <v>123</v>
      </c>
      <c r="I3763" s="77" t="s">
        <v>84</v>
      </c>
      <c r="J3763" s="76">
        <v>0</v>
      </c>
    </row>
    <row r="3764" spans="1:10" x14ac:dyDescent="0.35">
      <c r="A3764" t="s">
        <v>15</v>
      </c>
      <c r="B3764" t="s">
        <v>33</v>
      </c>
      <c r="C3764" s="77" t="s">
        <v>91</v>
      </c>
      <c r="D3764" t="s">
        <v>81</v>
      </c>
      <c r="E3764" s="77" t="s">
        <v>126</v>
      </c>
      <c r="F3764" s="77" t="s">
        <v>73</v>
      </c>
      <c r="G3764" s="77" t="s">
        <v>74</v>
      </c>
      <c r="H3764" s="77" t="s">
        <v>123</v>
      </c>
      <c r="I3764" s="77" t="s">
        <v>84</v>
      </c>
      <c r="J3764" s="76">
        <v>8.1093795177776388E-4</v>
      </c>
    </row>
    <row r="3765" spans="1:10" x14ac:dyDescent="0.35">
      <c r="A3765" t="s">
        <v>15</v>
      </c>
      <c r="B3765" t="s">
        <v>33</v>
      </c>
      <c r="C3765" s="77" t="s">
        <v>91</v>
      </c>
      <c r="D3765" t="s">
        <v>81</v>
      </c>
      <c r="E3765" s="77" t="s">
        <v>101</v>
      </c>
      <c r="F3765" s="77" t="s">
        <v>73</v>
      </c>
      <c r="G3765" s="77" t="s">
        <v>74</v>
      </c>
      <c r="H3765" s="77" t="s">
        <v>123</v>
      </c>
      <c r="I3765" s="77" t="s">
        <v>84</v>
      </c>
      <c r="J3765" s="76">
        <v>0</v>
      </c>
    </row>
    <row r="3766" spans="1:10" x14ac:dyDescent="0.35">
      <c r="A3766" t="s">
        <v>15</v>
      </c>
      <c r="B3766" t="s">
        <v>33</v>
      </c>
      <c r="C3766" s="77" t="s">
        <v>91</v>
      </c>
      <c r="D3766" t="s">
        <v>81</v>
      </c>
      <c r="E3766" s="77" t="s">
        <v>104</v>
      </c>
      <c r="F3766" s="77" t="s">
        <v>73</v>
      </c>
      <c r="G3766" s="77" t="s">
        <v>74</v>
      </c>
      <c r="H3766" s="77" t="s">
        <v>123</v>
      </c>
      <c r="I3766" s="77" t="s">
        <v>84</v>
      </c>
      <c r="J3766" s="76">
        <v>0</v>
      </c>
    </row>
    <row r="3767" spans="1:10" x14ac:dyDescent="0.35">
      <c r="A3767" t="s">
        <v>15</v>
      </c>
      <c r="B3767" t="s">
        <v>33</v>
      </c>
      <c r="C3767" s="77" t="s">
        <v>91</v>
      </c>
      <c r="D3767" t="s">
        <v>81</v>
      </c>
      <c r="E3767" s="77" t="s">
        <v>106</v>
      </c>
      <c r="F3767" s="77" t="s">
        <v>73</v>
      </c>
      <c r="G3767" s="77" t="s">
        <v>74</v>
      </c>
      <c r="H3767" s="77" t="s">
        <v>123</v>
      </c>
      <c r="I3767" s="77" t="s">
        <v>84</v>
      </c>
      <c r="J3767" s="76">
        <v>0</v>
      </c>
    </row>
    <row r="3768" spans="1:10" x14ac:dyDescent="0.35">
      <c r="A3768" t="s">
        <v>15</v>
      </c>
      <c r="B3768" t="s">
        <v>33</v>
      </c>
      <c r="C3768" s="77" t="s">
        <v>92</v>
      </c>
      <c r="D3768" t="s">
        <v>81</v>
      </c>
      <c r="E3768" s="77" t="s">
        <v>119</v>
      </c>
      <c r="F3768" s="77" t="s">
        <v>73</v>
      </c>
      <c r="G3768" s="77" t="s">
        <v>74</v>
      </c>
      <c r="H3768" s="77" t="s">
        <v>123</v>
      </c>
      <c r="I3768" s="77" t="s">
        <v>84</v>
      </c>
      <c r="J3768" s="76">
        <f>'SUT_EU27 total'!$L$90</f>
        <v>0.13886309499777949</v>
      </c>
    </row>
    <row r="3769" spans="1:10" x14ac:dyDescent="0.35">
      <c r="A3769" t="s">
        <v>15</v>
      </c>
      <c r="B3769" t="s">
        <v>33</v>
      </c>
      <c r="C3769" s="77" t="s">
        <v>92</v>
      </c>
      <c r="D3769" t="s">
        <v>81</v>
      </c>
      <c r="E3769" s="77" t="s">
        <v>124</v>
      </c>
      <c r="F3769" s="77" t="s">
        <v>73</v>
      </c>
      <c r="G3769" s="77" t="s">
        <v>74</v>
      </c>
      <c r="H3769" s="77" t="s">
        <v>123</v>
      </c>
      <c r="I3769" s="77" t="s">
        <v>84</v>
      </c>
      <c r="J3769" s="76" cm="1">
        <f t="array" ref="J3769:J3777">'SUT_EU27 total'!$L$94:$L$102</f>
        <v>9.2968907089085616E-5</v>
      </c>
    </row>
    <row r="3770" spans="1:10" x14ac:dyDescent="0.35">
      <c r="A3770" t="s">
        <v>15</v>
      </c>
      <c r="B3770" t="s">
        <v>33</v>
      </c>
      <c r="C3770" s="77" t="s">
        <v>92</v>
      </c>
      <c r="D3770" t="s">
        <v>81</v>
      </c>
      <c r="E3770" s="77" t="s">
        <v>117</v>
      </c>
      <c r="F3770" s="77" t="s">
        <v>73</v>
      </c>
      <c r="G3770" s="77" t="s">
        <v>74</v>
      </c>
      <c r="H3770" s="77" t="s">
        <v>123</v>
      </c>
      <c r="I3770" s="77" t="s">
        <v>84</v>
      </c>
      <c r="J3770" s="76">
        <v>0</v>
      </c>
    </row>
    <row r="3771" spans="1:10" x14ac:dyDescent="0.35">
      <c r="A3771" t="s">
        <v>15</v>
      </c>
      <c r="B3771" t="s">
        <v>33</v>
      </c>
      <c r="C3771" s="77" t="s">
        <v>92</v>
      </c>
      <c r="D3771" t="s">
        <v>81</v>
      </c>
      <c r="E3771" s="77" t="s">
        <v>82</v>
      </c>
      <c r="F3771" s="77" t="s">
        <v>73</v>
      </c>
      <c r="G3771" s="77" t="s">
        <v>74</v>
      </c>
      <c r="H3771" s="77" t="s">
        <v>123</v>
      </c>
      <c r="I3771" s="77" t="s">
        <v>84</v>
      </c>
      <c r="J3771" s="76">
        <v>1.1251392039595793E-3</v>
      </c>
    </row>
    <row r="3772" spans="1:10" x14ac:dyDescent="0.35">
      <c r="A3772" t="s">
        <v>15</v>
      </c>
      <c r="B3772" t="s">
        <v>33</v>
      </c>
      <c r="C3772" s="77" t="s">
        <v>92</v>
      </c>
      <c r="D3772" t="s">
        <v>81</v>
      </c>
      <c r="E3772" s="77" t="s">
        <v>125</v>
      </c>
      <c r="F3772" s="77" t="s">
        <v>73</v>
      </c>
      <c r="G3772" s="77" t="s">
        <v>74</v>
      </c>
      <c r="H3772" s="77" t="s">
        <v>123</v>
      </c>
      <c r="I3772" s="77" t="s">
        <v>84</v>
      </c>
      <c r="J3772" s="76">
        <v>5.0048817841215026E-7</v>
      </c>
    </row>
    <row r="3773" spans="1:10" x14ac:dyDescent="0.35">
      <c r="A3773" t="s">
        <v>15</v>
      </c>
      <c r="B3773" t="s">
        <v>33</v>
      </c>
      <c r="C3773" s="77" t="s">
        <v>92</v>
      </c>
      <c r="D3773" t="s">
        <v>81</v>
      </c>
      <c r="E3773" s="77" t="s">
        <v>122</v>
      </c>
      <c r="F3773" s="77" t="s">
        <v>73</v>
      </c>
      <c r="G3773" s="77" t="s">
        <v>74</v>
      </c>
      <c r="H3773" s="77" t="s">
        <v>123</v>
      </c>
      <c r="I3773" s="77" t="s">
        <v>84</v>
      </c>
      <c r="J3773" s="76">
        <v>0</v>
      </c>
    </row>
    <row r="3774" spans="1:10" x14ac:dyDescent="0.35">
      <c r="A3774" t="s">
        <v>15</v>
      </c>
      <c r="B3774" t="s">
        <v>33</v>
      </c>
      <c r="C3774" s="77" t="s">
        <v>92</v>
      </c>
      <c r="D3774" t="s">
        <v>81</v>
      </c>
      <c r="E3774" s="77" t="s">
        <v>126</v>
      </c>
      <c r="F3774" s="77" t="s">
        <v>73</v>
      </c>
      <c r="G3774" s="77" t="s">
        <v>74</v>
      </c>
      <c r="H3774" s="77" t="s">
        <v>123</v>
      </c>
      <c r="I3774" s="77" t="s">
        <v>84</v>
      </c>
      <c r="J3774" s="76">
        <v>0</v>
      </c>
    </row>
    <row r="3775" spans="1:10" x14ac:dyDescent="0.35">
      <c r="A3775" t="s">
        <v>15</v>
      </c>
      <c r="B3775" t="s">
        <v>33</v>
      </c>
      <c r="C3775" s="77" t="s">
        <v>92</v>
      </c>
      <c r="D3775" t="s">
        <v>81</v>
      </c>
      <c r="E3775" s="77" t="s">
        <v>101</v>
      </c>
      <c r="F3775" s="77" t="s">
        <v>73</v>
      </c>
      <c r="G3775" s="77" t="s">
        <v>74</v>
      </c>
      <c r="H3775" s="77" t="s">
        <v>123</v>
      </c>
      <c r="I3775" s="77" t="s">
        <v>84</v>
      </c>
      <c r="J3775" s="76">
        <v>0</v>
      </c>
    </row>
    <row r="3776" spans="1:10" x14ac:dyDescent="0.35">
      <c r="A3776" t="s">
        <v>15</v>
      </c>
      <c r="B3776" t="s">
        <v>33</v>
      </c>
      <c r="C3776" s="77" t="s">
        <v>92</v>
      </c>
      <c r="D3776" t="s">
        <v>81</v>
      </c>
      <c r="E3776" s="77" t="s">
        <v>104</v>
      </c>
      <c r="F3776" s="77" t="s">
        <v>73</v>
      </c>
      <c r="G3776" s="77" t="s">
        <v>74</v>
      </c>
      <c r="H3776" s="77" t="s">
        <v>123</v>
      </c>
      <c r="I3776" s="77" t="s">
        <v>84</v>
      </c>
      <c r="J3776" s="76">
        <v>0</v>
      </c>
    </row>
    <row r="3777" spans="1:10" x14ac:dyDescent="0.35">
      <c r="A3777" t="s">
        <v>15</v>
      </c>
      <c r="B3777" t="s">
        <v>33</v>
      </c>
      <c r="C3777" s="77" t="s">
        <v>92</v>
      </c>
      <c r="D3777" t="s">
        <v>81</v>
      </c>
      <c r="E3777" s="77" t="s">
        <v>106</v>
      </c>
      <c r="F3777" s="77" t="s">
        <v>73</v>
      </c>
      <c r="G3777" s="77" t="s">
        <v>74</v>
      </c>
      <c r="H3777" s="77" t="s">
        <v>123</v>
      </c>
      <c r="I3777" s="77" t="s">
        <v>84</v>
      </c>
      <c r="J3777" s="76">
        <v>0</v>
      </c>
    </row>
    <row r="3778" spans="1:10" x14ac:dyDescent="0.35">
      <c r="A3778" t="s">
        <v>15</v>
      </c>
      <c r="B3778" t="s">
        <v>33</v>
      </c>
      <c r="C3778" s="77" t="s">
        <v>93</v>
      </c>
      <c r="D3778" t="s">
        <v>81</v>
      </c>
      <c r="E3778" s="77" t="s">
        <v>119</v>
      </c>
      <c r="F3778" s="77" t="s">
        <v>73</v>
      </c>
      <c r="G3778" s="77" t="s">
        <v>74</v>
      </c>
      <c r="H3778" s="77" t="s">
        <v>123</v>
      </c>
      <c r="I3778" s="77" t="s">
        <v>84</v>
      </c>
      <c r="J3778" s="76">
        <f>'SUT_EU27 total'!$L$107</f>
        <v>1.0000807460939076</v>
      </c>
    </row>
    <row r="3779" spans="1:10" x14ac:dyDescent="0.35">
      <c r="A3779" t="s">
        <v>15</v>
      </c>
      <c r="B3779" t="s">
        <v>33</v>
      </c>
      <c r="C3779" s="77" t="s">
        <v>93</v>
      </c>
      <c r="D3779" t="s">
        <v>81</v>
      </c>
      <c r="E3779" s="77" t="s">
        <v>124</v>
      </c>
      <c r="F3779" s="77" t="s">
        <v>73</v>
      </c>
      <c r="G3779" s="77" t="s">
        <v>74</v>
      </c>
      <c r="H3779" s="77" t="s">
        <v>123</v>
      </c>
      <c r="I3779" s="77" t="s">
        <v>84</v>
      </c>
      <c r="J3779" s="76" cm="1">
        <f t="array" ref="J3779:J3787">'SUT_EU27 total'!$L$111:$L$119</f>
        <v>3.7052409430862396E-4</v>
      </c>
    </row>
    <row r="3780" spans="1:10" x14ac:dyDescent="0.35">
      <c r="A3780" t="s">
        <v>15</v>
      </c>
      <c r="B3780" t="s">
        <v>33</v>
      </c>
      <c r="C3780" s="77" t="s">
        <v>93</v>
      </c>
      <c r="D3780" t="s">
        <v>81</v>
      </c>
      <c r="E3780" s="77" t="s">
        <v>117</v>
      </c>
      <c r="F3780" s="77" t="s">
        <v>73</v>
      </c>
      <c r="G3780" s="77" t="s">
        <v>74</v>
      </c>
      <c r="H3780" s="77" t="s">
        <v>123</v>
      </c>
      <c r="I3780" s="77" t="s">
        <v>84</v>
      </c>
      <c r="J3780" s="76">
        <v>5.8414042458127093E-3</v>
      </c>
    </row>
    <row r="3781" spans="1:10" x14ac:dyDescent="0.35">
      <c r="A3781" t="s">
        <v>15</v>
      </c>
      <c r="B3781" t="s">
        <v>33</v>
      </c>
      <c r="C3781" s="77" t="s">
        <v>93</v>
      </c>
      <c r="D3781" t="s">
        <v>81</v>
      </c>
      <c r="E3781" s="77" t="s">
        <v>82</v>
      </c>
      <c r="F3781" s="77" t="s">
        <v>73</v>
      </c>
      <c r="G3781" s="77" t="s">
        <v>74</v>
      </c>
      <c r="H3781" s="77" t="s">
        <v>123</v>
      </c>
      <c r="I3781" s="77" t="s">
        <v>84</v>
      </c>
      <c r="J3781" s="76">
        <v>5.0319447308723453E-3</v>
      </c>
    </row>
    <row r="3782" spans="1:10" x14ac:dyDescent="0.35">
      <c r="A3782" t="s">
        <v>15</v>
      </c>
      <c r="B3782" t="s">
        <v>33</v>
      </c>
      <c r="C3782" s="77" t="s">
        <v>93</v>
      </c>
      <c r="D3782" t="s">
        <v>81</v>
      </c>
      <c r="E3782" s="77" t="s">
        <v>125</v>
      </c>
      <c r="F3782" s="77" t="s">
        <v>73</v>
      </c>
      <c r="G3782" s="77" t="s">
        <v>74</v>
      </c>
      <c r="H3782" s="77" t="s">
        <v>123</v>
      </c>
      <c r="I3782" s="77" t="s">
        <v>84</v>
      </c>
      <c r="J3782" s="76">
        <v>4.336096678710085E-4</v>
      </c>
    </row>
    <row r="3783" spans="1:10" x14ac:dyDescent="0.35">
      <c r="A3783" t="s">
        <v>15</v>
      </c>
      <c r="B3783" t="s">
        <v>33</v>
      </c>
      <c r="C3783" s="77" t="s">
        <v>93</v>
      </c>
      <c r="D3783" t="s">
        <v>81</v>
      </c>
      <c r="E3783" s="77" t="s">
        <v>122</v>
      </c>
      <c r="F3783" s="77" t="s">
        <v>73</v>
      </c>
      <c r="G3783" s="77" t="s">
        <v>74</v>
      </c>
      <c r="H3783" s="77" t="s">
        <v>123</v>
      </c>
      <c r="I3783" s="77" t="s">
        <v>84</v>
      </c>
      <c r="J3783" s="76">
        <v>2.7129607609988112E-3</v>
      </c>
    </row>
    <row r="3784" spans="1:10" x14ac:dyDescent="0.35">
      <c r="A3784" t="s">
        <v>15</v>
      </c>
      <c r="B3784" t="s">
        <v>33</v>
      </c>
      <c r="C3784" s="77" t="s">
        <v>93</v>
      </c>
      <c r="D3784" t="s">
        <v>81</v>
      </c>
      <c r="E3784" s="77" t="s">
        <v>126</v>
      </c>
      <c r="F3784" s="77" t="s">
        <v>73</v>
      </c>
      <c r="G3784" s="77" t="s">
        <v>74</v>
      </c>
      <c r="H3784" s="77" t="s">
        <v>123</v>
      </c>
      <c r="I3784" s="77" t="s">
        <v>84</v>
      </c>
      <c r="J3784" s="76">
        <v>4.3855511603587784E-2</v>
      </c>
    </row>
    <row r="3785" spans="1:10" x14ac:dyDescent="0.35">
      <c r="A3785" t="s">
        <v>15</v>
      </c>
      <c r="B3785" t="s">
        <v>33</v>
      </c>
      <c r="C3785" s="77" t="s">
        <v>93</v>
      </c>
      <c r="D3785" t="s">
        <v>81</v>
      </c>
      <c r="E3785" s="77" t="s">
        <v>101</v>
      </c>
      <c r="F3785" s="77" t="s">
        <v>73</v>
      </c>
      <c r="G3785" s="77" t="s">
        <v>74</v>
      </c>
      <c r="H3785" s="77" t="s">
        <v>123</v>
      </c>
      <c r="I3785" s="77" t="s">
        <v>84</v>
      </c>
      <c r="J3785" s="76">
        <v>0</v>
      </c>
    </row>
    <row r="3786" spans="1:10" x14ac:dyDescent="0.35">
      <c r="A3786" t="s">
        <v>15</v>
      </c>
      <c r="B3786" t="s">
        <v>33</v>
      </c>
      <c r="C3786" s="77" t="s">
        <v>93</v>
      </c>
      <c r="D3786" t="s">
        <v>81</v>
      </c>
      <c r="E3786" s="77" t="s">
        <v>104</v>
      </c>
      <c r="F3786" s="77" t="s">
        <v>73</v>
      </c>
      <c r="G3786" s="77" t="s">
        <v>74</v>
      </c>
      <c r="H3786" s="77" t="s">
        <v>123</v>
      </c>
      <c r="I3786" s="77" t="s">
        <v>84</v>
      </c>
      <c r="J3786" s="76">
        <v>0</v>
      </c>
    </row>
    <row r="3787" spans="1:10" x14ac:dyDescent="0.35">
      <c r="A3787" t="s">
        <v>15</v>
      </c>
      <c r="B3787" t="s">
        <v>33</v>
      </c>
      <c r="C3787" s="77" t="s">
        <v>93</v>
      </c>
      <c r="D3787" t="s">
        <v>81</v>
      </c>
      <c r="E3787" s="77" t="s">
        <v>106</v>
      </c>
      <c r="F3787" s="77" t="s">
        <v>73</v>
      </c>
      <c r="G3787" s="77" t="s">
        <v>74</v>
      </c>
      <c r="H3787" s="77" t="s">
        <v>123</v>
      </c>
      <c r="I3787" s="77" t="s">
        <v>84</v>
      </c>
      <c r="J3787" s="76">
        <v>0</v>
      </c>
    </row>
    <row r="3788" spans="1:10" x14ac:dyDescent="0.35">
      <c r="A3788" t="s">
        <v>15</v>
      </c>
      <c r="B3788" t="s">
        <v>33</v>
      </c>
      <c r="C3788" s="77" t="s">
        <v>73</v>
      </c>
      <c r="D3788" t="s">
        <v>81</v>
      </c>
      <c r="E3788" s="77" t="s">
        <v>119</v>
      </c>
      <c r="F3788" s="77" t="s">
        <v>73</v>
      </c>
      <c r="G3788" s="77" t="s">
        <v>74</v>
      </c>
      <c r="H3788" s="77" t="s">
        <v>127</v>
      </c>
      <c r="I3788" s="77" t="s">
        <v>84</v>
      </c>
      <c r="J3788" s="76">
        <f>'SUT_EU27 total'!$M$22</f>
        <v>1.9500181678711294E-2</v>
      </c>
    </row>
    <row r="3789" spans="1:10" x14ac:dyDescent="0.35">
      <c r="A3789" t="s">
        <v>15</v>
      </c>
      <c r="B3789" t="s">
        <v>33</v>
      </c>
      <c r="C3789" s="77" t="s">
        <v>73</v>
      </c>
      <c r="D3789" t="s">
        <v>81</v>
      </c>
      <c r="E3789" s="77" t="s">
        <v>124</v>
      </c>
      <c r="F3789" s="77" t="s">
        <v>73</v>
      </c>
      <c r="G3789" s="77" t="s">
        <v>74</v>
      </c>
      <c r="H3789" s="77" t="s">
        <v>127</v>
      </c>
      <c r="I3789" s="77" t="s">
        <v>84</v>
      </c>
      <c r="J3789" s="76" cm="1">
        <f t="array" ref="J3789:J3797">'SUT_EU27 total'!$M$26:$M$34</f>
        <v>1.9404661061278542E-3</v>
      </c>
    </row>
    <row r="3790" spans="1:10" x14ac:dyDescent="0.35">
      <c r="A3790" t="s">
        <v>15</v>
      </c>
      <c r="B3790" t="s">
        <v>33</v>
      </c>
      <c r="C3790" s="77" t="s">
        <v>73</v>
      </c>
      <c r="D3790" t="s">
        <v>81</v>
      </c>
      <c r="E3790" s="77" t="s">
        <v>117</v>
      </c>
      <c r="F3790" s="77" t="s">
        <v>73</v>
      </c>
      <c r="G3790" s="77" t="s">
        <v>74</v>
      </c>
      <c r="H3790" s="77" t="s">
        <v>127</v>
      </c>
      <c r="I3790" s="77" t="s">
        <v>84</v>
      </c>
      <c r="J3790" s="76">
        <v>5.8423628191201782E-3</v>
      </c>
    </row>
    <row r="3791" spans="1:10" x14ac:dyDescent="0.35">
      <c r="A3791" t="s">
        <v>15</v>
      </c>
      <c r="B3791" t="s">
        <v>33</v>
      </c>
      <c r="C3791" s="77" t="s">
        <v>73</v>
      </c>
      <c r="D3791" t="s">
        <v>81</v>
      </c>
      <c r="E3791" s="77" t="s">
        <v>82</v>
      </c>
      <c r="F3791" s="77" t="s">
        <v>73</v>
      </c>
      <c r="G3791" s="77" t="s">
        <v>74</v>
      </c>
      <c r="H3791" s="77" t="s">
        <v>127</v>
      </c>
      <c r="I3791" s="77" t="s">
        <v>84</v>
      </c>
      <c r="J3791" s="76">
        <v>4.8981233243967828E-4</v>
      </c>
    </row>
    <row r="3792" spans="1:10" x14ac:dyDescent="0.35">
      <c r="A3792" t="s">
        <v>15</v>
      </c>
      <c r="B3792" t="s">
        <v>33</v>
      </c>
      <c r="C3792" s="77" t="s">
        <v>73</v>
      </c>
      <c r="D3792" t="s">
        <v>81</v>
      </c>
      <c r="E3792" s="77" t="s">
        <v>125</v>
      </c>
      <c r="F3792" s="77" t="s">
        <v>73</v>
      </c>
      <c r="G3792" s="77" t="s">
        <v>74</v>
      </c>
      <c r="H3792" s="77" t="s">
        <v>127</v>
      </c>
      <c r="I3792" s="77" t="s">
        <v>84</v>
      </c>
      <c r="J3792" s="76">
        <v>2.4658201215687387E-3</v>
      </c>
    </row>
    <row r="3793" spans="1:10" x14ac:dyDescent="0.35">
      <c r="A3793" t="s">
        <v>15</v>
      </c>
      <c r="B3793" t="s">
        <v>33</v>
      </c>
      <c r="C3793" s="77" t="s">
        <v>73</v>
      </c>
      <c r="D3793" t="s">
        <v>81</v>
      </c>
      <c r="E3793" s="77" t="s">
        <v>122</v>
      </c>
      <c r="F3793" s="77" t="s">
        <v>73</v>
      </c>
      <c r="G3793" s="77" t="s">
        <v>74</v>
      </c>
      <c r="H3793" s="77" t="s">
        <v>127</v>
      </c>
      <c r="I3793" s="77" t="s">
        <v>84</v>
      </c>
      <c r="J3793" s="76">
        <v>4.922711058263972E-4</v>
      </c>
    </row>
    <row r="3794" spans="1:10" x14ac:dyDescent="0.35">
      <c r="A3794" t="s">
        <v>15</v>
      </c>
      <c r="B3794" t="s">
        <v>33</v>
      </c>
      <c r="C3794" s="77" t="s">
        <v>73</v>
      </c>
      <c r="D3794" t="s">
        <v>81</v>
      </c>
      <c r="E3794" s="77" t="s">
        <v>126</v>
      </c>
      <c r="F3794" s="77" t="s">
        <v>73</v>
      </c>
      <c r="G3794" s="77" t="s">
        <v>74</v>
      </c>
      <c r="H3794" s="77" t="s">
        <v>127</v>
      </c>
      <c r="I3794" s="77" t="s">
        <v>84</v>
      </c>
      <c r="J3794" s="76">
        <v>0</v>
      </c>
    </row>
    <row r="3795" spans="1:10" x14ac:dyDescent="0.35">
      <c r="A3795" t="s">
        <v>15</v>
      </c>
      <c r="B3795" t="s">
        <v>33</v>
      </c>
      <c r="C3795" s="77" t="s">
        <v>73</v>
      </c>
      <c r="D3795" t="s">
        <v>81</v>
      </c>
      <c r="E3795" s="77" t="s">
        <v>101</v>
      </c>
      <c r="F3795" s="77" t="s">
        <v>73</v>
      </c>
      <c r="G3795" s="77" t="s">
        <v>74</v>
      </c>
      <c r="H3795" s="77" t="s">
        <v>127</v>
      </c>
      <c r="I3795" s="77" t="s">
        <v>84</v>
      </c>
      <c r="J3795" s="76">
        <v>3.6586167200000007E-4</v>
      </c>
    </row>
    <row r="3796" spans="1:10" x14ac:dyDescent="0.35">
      <c r="A3796" t="s">
        <v>15</v>
      </c>
      <c r="B3796" t="s">
        <v>33</v>
      </c>
      <c r="C3796" s="77" t="s">
        <v>73</v>
      </c>
      <c r="D3796" t="s">
        <v>81</v>
      </c>
      <c r="E3796" s="77" t="s">
        <v>104</v>
      </c>
      <c r="F3796" s="77" t="s">
        <v>73</v>
      </c>
      <c r="G3796" s="77" t="s">
        <v>74</v>
      </c>
      <c r="H3796" s="77" t="s">
        <v>127</v>
      </c>
      <c r="I3796" s="77" t="s">
        <v>84</v>
      </c>
      <c r="J3796" s="76">
        <v>6.9272632800000005E-4</v>
      </c>
    </row>
    <row r="3797" spans="1:10" x14ac:dyDescent="0.35">
      <c r="A3797" t="s">
        <v>15</v>
      </c>
      <c r="B3797" t="s">
        <v>33</v>
      </c>
      <c r="C3797" s="77" t="s">
        <v>73</v>
      </c>
      <c r="D3797" t="s">
        <v>81</v>
      </c>
      <c r="E3797" s="77" t="s">
        <v>106</v>
      </c>
      <c r="F3797" s="77" t="s">
        <v>73</v>
      </c>
      <c r="G3797" s="77" t="s">
        <v>74</v>
      </c>
      <c r="H3797" s="77" t="s">
        <v>127</v>
      </c>
      <c r="I3797" s="77" t="s">
        <v>84</v>
      </c>
      <c r="J3797" s="76">
        <v>2.3562119999999999E-3</v>
      </c>
    </row>
    <row r="3798" spans="1:10" x14ac:dyDescent="0.35">
      <c r="A3798" t="s">
        <v>15</v>
      </c>
      <c r="B3798" t="s">
        <v>33</v>
      </c>
      <c r="C3798" s="77" t="s">
        <v>88</v>
      </c>
      <c r="D3798" t="s">
        <v>81</v>
      </c>
      <c r="E3798" s="77" t="s">
        <v>119</v>
      </c>
      <c r="F3798" s="77" t="s">
        <v>73</v>
      </c>
      <c r="G3798" s="77" t="s">
        <v>74</v>
      </c>
      <c r="H3798" s="77" t="s">
        <v>127</v>
      </c>
      <c r="I3798" s="77" t="s">
        <v>84</v>
      </c>
      <c r="J3798" s="76">
        <f>'SUT_EU27 total'!$M$39</f>
        <v>0.16108845734587587</v>
      </c>
    </row>
    <row r="3799" spans="1:10" x14ac:dyDescent="0.35">
      <c r="A3799" t="s">
        <v>15</v>
      </c>
      <c r="B3799" t="s">
        <v>33</v>
      </c>
      <c r="C3799" s="77" t="s">
        <v>88</v>
      </c>
      <c r="D3799" t="s">
        <v>81</v>
      </c>
      <c r="E3799" s="77" t="s">
        <v>124</v>
      </c>
      <c r="F3799" s="77" t="s">
        <v>73</v>
      </c>
      <c r="G3799" s="77" t="s">
        <v>74</v>
      </c>
      <c r="H3799" s="77" t="s">
        <v>127</v>
      </c>
      <c r="I3799" s="77" t="s">
        <v>84</v>
      </c>
      <c r="J3799" s="76" cm="1">
        <f t="array" ref="J3799:J3807">'SUT_EU27 total'!$L$43:$L$51</f>
        <v>5.0558836222750793E-4</v>
      </c>
    </row>
    <row r="3800" spans="1:10" x14ac:dyDescent="0.35">
      <c r="A3800" t="s">
        <v>15</v>
      </c>
      <c r="B3800" t="s">
        <v>33</v>
      </c>
      <c r="C3800" s="77" t="s">
        <v>88</v>
      </c>
      <c r="D3800" t="s">
        <v>81</v>
      </c>
      <c r="E3800" s="77" t="s">
        <v>117</v>
      </c>
      <c r="F3800" s="77" t="s">
        <v>73</v>
      </c>
      <c r="G3800" s="77" t="s">
        <v>74</v>
      </c>
      <c r="H3800" s="77" t="s">
        <v>127</v>
      </c>
      <c r="I3800" s="77" t="s">
        <v>84</v>
      </c>
      <c r="J3800" s="76">
        <v>4.8514464106651379E-3</v>
      </c>
    </row>
    <row r="3801" spans="1:10" x14ac:dyDescent="0.35">
      <c r="A3801" t="s">
        <v>15</v>
      </c>
      <c r="B3801" t="s">
        <v>33</v>
      </c>
      <c r="C3801" s="77" t="s">
        <v>88</v>
      </c>
      <c r="D3801" t="s">
        <v>81</v>
      </c>
      <c r="E3801" s="77" t="s">
        <v>82</v>
      </c>
      <c r="F3801" s="77" t="s">
        <v>73</v>
      </c>
      <c r="G3801" s="77" t="s">
        <v>74</v>
      </c>
      <c r="H3801" s="77" t="s">
        <v>127</v>
      </c>
      <c r="I3801" s="77" t="s">
        <v>84</v>
      </c>
      <c r="J3801" s="76">
        <v>1.109418436791091E-2</v>
      </c>
    </row>
    <row r="3802" spans="1:10" x14ac:dyDescent="0.35">
      <c r="A3802" t="s">
        <v>15</v>
      </c>
      <c r="B3802" t="s">
        <v>33</v>
      </c>
      <c r="C3802" s="77" t="s">
        <v>88</v>
      </c>
      <c r="D3802" t="s">
        <v>81</v>
      </c>
      <c r="E3802" s="77" t="s">
        <v>125</v>
      </c>
      <c r="F3802" s="77" t="s">
        <v>73</v>
      </c>
      <c r="G3802" s="77" t="s">
        <v>74</v>
      </c>
      <c r="H3802" s="77" t="s">
        <v>127</v>
      </c>
      <c r="I3802" s="77" t="s">
        <v>84</v>
      </c>
      <c r="J3802" s="76">
        <v>2.890870278990243E-5</v>
      </c>
    </row>
    <row r="3803" spans="1:10" x14ac:dyDescent="0.35">
      <c r="A3803" t="s">
        <v>15</v>
      </c>
      <c r="B3803" t="s">
        <v>33</v>
      </c>
      <c r="C3803" s="77" t="s">
        <v>88</v>
      </c>
      <c r="D3803" t="s">
        <v>81</v>
      </c>
      <c r="E3803" s="77" t="s">
        <v>122</v>
      </c>
      <c r="F3803" s="77" t="s">
        <v>73</v>
      </c>
      <c r="G3803" s="77" t="s">
        <v>74</v>
      </c>
      <c r="H3803" s="77" t="s">
        <v>127</v>
      </c>
      <c r="I3803" s="77" t="s">
        <v>84</v>
      </c>
      <c r="J3803" s="76">
        <v>0</v>
      </c>
    </row>
    <row r="3804" spans="1:10" x14ac:dyDescent="0.35">
      <c r="A3804" t="s">
        <v>15</v>
      </c>
      <c r="B3804" t="s">
        <v>33</v>
      </c>
      <c r="C3804" s="77" t="s">
        <v>88</v>
      </c>
      <c r="D3804" t="s">
        <v>81</v>
      </c>
      <c r="E3804" s="77" t="s">
        <v>126</v>
      </c>
      <c r="F3804" s="77" t="s">
        <v>73</v>
      </c>
      <c r="G3804" s="77" t="s">
        <v>74</v>
      </c>
      <c r="H3804" s="77" t="s">
        <v>127</v>
      </c>
      <c r="I3804" s="77" t="s">
        <v>84</v>
      </c>
      <c r="J3804" s="76">
        <v>2.8514320987501449E-3</v>
      </c>
    </row>
    <row r="3805" spans="1:10" x14ac:dyDescent="0.35">
      <c r="A3805" t="s">
        <v>15</v>
      </c>
      <c r="B3805" t="s">
        <v>33</v>
      </c>
      <c r="C3805" s="77" t="s">
        <v>88</v>
      </c>
      <c r="D3805" t="s">
        <v>81</v>
      </c>
      <c r="E3805" s="77" t="s">
        <v>101</v>
      </c>
      <c r="F3805" s="77" t="s">
        <v>73</v>
      </c>
      <c r="G3805" s="77" t="s">
        <v>74</v>
      </c>
      <c r="H3805" s="77" t="s">
        <v>127</v>
      </c>
      <c r="I3805" s="77" t="s">
        <v>84</v>
      </c>
      <c r="J3805" s="76">
        <v>0</v>
      </c>
    </row>
    <row r="3806" spans="1:10" x14ac:dyDescent="0.35">
      <c r="A3806" t="s">
        <v>15</v>
      </c>
      <c r="B3806" t="s">
        <v>33</v>
      </c>
      <c r="C3806" s="77" t="s">
        <v>88</v>
      </c>
      <c r="D3806" t="s">
        <v>81</v>
      </c>
      <c r="E3806" s="77" t="s">
        <v>104</v>
      </c>
      <c r="F3806" s="77" t="s">
        <v>73</v>
      </c>
      <c r="G3806" s="77" t="s">
        <v>74</v>
      </c>
      <c r="H3806" s="77" t="s">
        <v>127</v>
      </c>
      <c r="I3806" s="77" t="s">
        <v>84</v>
      </c>
      <c r="J3806" s="76">
        <v>0</v>
      </c>
    </row>
    <row r="3807" spans="1:10" x14ac:dyDescent="0.35">
      <c r="A3807" t="s">
        <v>15</v>
      </c>
      <c r="B3807" t="s">
        <v>33</v>
      </c>
      <c r="C3807" s="77" t="s">
        <v>88</v>
      </c>
      <c r="D3807" t="s">
        <v>81</v>
      </c>
      <c r="E3807" s="77" t="s">
        <v>106</v>
      </c>
      <c r="F3807" s="77" t="s">
        <v>73</v>
      </c>
      <c r="G3807" s="77" t="s">
        <v>74</v>
      </c>
      <c r="H3807" s="77" t="s">
        <v>127</v>
      </c>
      <c r="I3807" s="77" t="s">
        <v>84</v>
      </c>
      <c r="J3807" s="76">
        <v>0</v>
      </c>
    </row>
    <row r="3808" spans="1:10" x14ac:dyDescent="0.35">
      <c r="A3808" t="s">
        <v>15</v>
      </c>
      <c r="B3808" t="s">
        <v>33</v>
      </c>
      <c r="C3808" s="77" t="s">
        <v>90</v>
      </c>
      <c r="D3808" t="s">
        <v>81</v>
      </c>
      <c r="E3808" s="77" t="s">
        <v>119</v>
      </c>
      <c r="F3808" s="77" t="s">
        <v>73</v>
      </c>
      <c r="G3808" s="77" t="s">
        <v>74</v>
      </c>
      <c r="H3808" s="77" t="s">
        <v>127</v>
      </c>
      <c r="I3808" s="77" t="s">
        <v>84</v>
      </c>
      <c r="J3808" s="76">
        <f>'SUT_EU27 total'!$M$56</f>
        <v>2.949251079979006E-2</v>
      </c>
    </row>
    <row r="3809" spans="1:10" x14ac:dyDescent="0.35">
      <c r="A3809" t="s">
        <v>15</v>
      </c>
      <c r="B3809" t="s">
        <v>33</v>
      </c>
      <c r="C3809" s="77" t="s">
        <v>90</v>
      </c>
      <c r="D3809" t="s">
        <v>81</v>
      </c>
      <c r="E3809" s="77" t="s">
        <v>124</v>
      </c>
      <c r="F3809" s="77" t="s">
        <v>73</v>
      </c>
      <c r="G3809" s="77" t="s">
        <v>74</v>
      </c>
      <c r="H3809" s="77" t="s">
        <v>127</v>
      </c>
      <c r="I3809" s="77" t="s">
        <v>84</v>
      </c>
      <c r="J3809" s="76" cm="1">
        <f t="array" ref="J3809:J3817">'SUT_EU27 total'!$M$60:$M$68</f>
        <v>2.1047443073980527E-5</v>
      </c>
    </row>
    <row r="3810" spans="1:10" x14ac:dyDescent="0.35">
      <c r="A3810" t="s">
        <v>15</v>
      </c>
      <c r="B3810" t="s">
        <v>33</v>
      </c>
      <c r="C3810" s="77" t="s">
        <v>90</v>
      </c>
      <c r="D3810" t="s">
        <v>81</v>
      </c>
      <c r="E3810" s="77" t="s">
        <v>117</v>
      </c>
      <c r="F3810" s="77" t="s">
        <v>73</v>
      </c>
      <c r="G3810" s="77" t="s">
        <v>74</v>
      </c>
      <c r="H3810" s="77" t="s">
        <v>127</v>
      </c>
      <c r="I3810" s="77" t="s">
        <v>84</v>
      </c>
      <c r="J3810" s="76">
        <v>5.8414015621608938E-3</v>
      </c>
    </row>
    <row r="3811" spans="1:10" x14ac:dyDescent="0.35">
      <c r="A3811" t="s">
        <v>15</v>
      </c>
      <c r="B3811" t="s">
        <v>33</v>
      </c>
      <c r="C3811" s="77" t="s">
        <v>90</v>
      </c>
      <c r="D3811" t="s">
        <v>81</v>
      </c>
      <c r="E3811" s="77" t="s">
        <v>82</v>
      </c>
      <c r="F3811" s="77" t="s">
        <v>73</v>
      </c>
      <c r="G3811" s="77" t="s">
        <v>74</v>
      </c>
      <c r="H3811" s="77" t="s">
        <v>127</v>
      </c>
      <c r="I3811" s="77" t="s">
        <v>84</v>
      </c>
      <c r="J3811" s="76">
        <v>1.4521138379047227E-3</v>
      </c>
    </row>
    <row r="3812" spans="1:10" x14ac:dyDescent="0.35">
      <c r="A3812" t="s">
        <v>15</v>
      </c>
      <c r="B3812" t="s">
        <v>33</v>
      </c>
      <c r="C3812" s="77" t="s">
        <v>90</v>
      </c>
      <c r="D3812" t="s">
        <v>81</v>
      </c>
      <c r="E3812" s="77" t="s">
        <v>125</v>
      </c>
      <c r="F3812" s="77" t="s">
        <v>73</v>
      </c>
      <c r="G3812" s="77" t="s">
        <v>74</v>
      </c>
      <c r="H3812" s="77" t="s">
        <v>127</v>
      </c>
      <c r="I3812" s="77" t="s">
        <v>84</v>
      </c>
      <c r="J3812" s="76">
        <v>6.5130870114372285E-5</v>
      </c>
    </row>
    <row r="3813" spans="1:10" x14ac:dyDescent="0.35">
      <c r="A3813" t="s">
        <v>15</v>
      </c>
      <c r="B3813" t="s">
        <v>33</v>
      </c>
      <c r="C3813" s="77" t="s">
        <v>90</v>
      </c>
      <c r="D3813" t="s">
        <v>81</v>
      </c>
      <c r="E3813" s="77" t="s">
        <v>122</v>
      </c>
      <c r="F3813" s="77" t="s">
        <v>73</v>
      </c>
      <c r="G3813" s="77" t="s">
        <v>74</v>
      </c>
      <c r="H3813" s="77" t="s">
        <v>127</v>
      </c>
      <c r="I3813" s="77" t="s">
        <v>84</v>
      </c>
      <c r="J3813" s="76">
        <v>7.9476813317479189E-4</v>
      </c>
    </row>
    <row r="3814" spans="1:10" x14ac:dyDescent="0.35">
      <c r="A3814" t="s">
        <v>15</v>
      </c>
      <c r="B3814" t="s">
        <v>33</v>
      </c>
      <c r="C3814" s="77" t="s">
        <v>90</v>
      </c>
      <c r="D3814" t="s">
        <v>81</v>
      </c>
      <c r="E3814" s="77" t="s">
        <v>126</v>
      </c>
      <c r="F3814" s="77" t="s">
        <v>73</v>
      </c>
      <c r="G3814" s="77" t="s">
        <v>74</v>
      </c>
      <c r="H3814" s="77" t="s">
        <v>127</v>
      </c>
      <c r="I3814" s="77" t="s">
        <v>84</v>
      </c>
      <c r="J3814" s="76">
        <v>8.4821183458843076E-3</v>
      </c>
    </row>
    <row r="3815" spans="1:10" x14ac:dyDescent="0.35">
      <c r="A3815" t="s">
        <v>15</v>
      </c>
      <c r="B3815" t="s">
        <v>33</v>
      </c>
      <c r="C3815" s="77" t="s">
        <v>90</v>
      </c>
      <c r="D3815" t="s">
        <v>81</v>
      </c>
      <c r="E3815" s="77" t="s">
        <v>101</v>
      </c>
      <c r="F3815" s="77" t="s">
        <v>73</v>
      </c>
      <c r="G3815" s="77" t="s">
        <v>74</v>
      </c>
      <c r="H3815" s="77" t="s">
        <v>127</v>
      </c>
      <c r="I3815" s="77" t="s">
        <v>84</v>
      </c>
      <c r="J3815" s="76">
        <v>0</v>
      </c>
    </row>
    <row r="3816" spans="1:10" x14ac:dyDescent="0.35">
      <c r="A3816" t="s">
        <v>15</v>
      </c>
      <c r="B3816" t="s">
        <v>33</v>
      </c>
      <c r="C3816" s="77" t="s">
        <v>90</v>
      </c>
      <c r="D3816" t="s">
        <v>81</v>
      </c>
      <c r="E3816" s="77" t="s">
        <v>104</v>
      </c>
      <c r="F3816" s="77" t="s">
        <v>73</v>
      </c>
      <c r="G3816" s="77" t="s">
        <v>74</v>
      </c>
      <c r="H3816" s="77" t="s">
        <v>127</v>
      </c>
      <c r="I3816" s="77" t="s">
        <v>84</v>
      </c>
      <c r="J3816" s="76">
        <v>0</v>
      </c>
    </row>
    <row r="3817" spans="1:10" x14ac:dyDescent="0.35">
      <c r="A3817" t="s">
        <v>15</v>
      </c>
      <c r="B3817" t="s">
        <v>33</v>
      </c>
      <c r="C3817" s="77" t="s">
        <v>90</v>
      </c>
      <c r="D3817" t="s">
        <v>81</v>
      </c>
      <c r="E3817" s="77" t="s">
        <v>106</v>
      </c>
      <c r="F3817" s="77" t="s">
        <v>73</v>
      </c>
      <c r="G3817" s="77" t="s">
        <v>74</v>
      </c>
      <c r="H3817" s="77" t="s">
        <v>127</v>
      </c>
      <c r="I3817" s="77" t="s">
        <v>84</v>
      </c>
      <c r="J3817" s="76">
        <v>0</v>
      </c>
    </row>
    <row r="3818" spans="1:10" x14ac:dyDescent="0.35">
      <c r="A3818" t="s">
        <v>15</v>
      </c>
      <c r="B3818" t="s">
        <v>33</v>
      </c>
      <c r="C3818" s="77" t="s">
        <v>91</v>
      </c>
      <c r="D3818" t="s">
        <v>81</v>
      </c>
      <c r="E3818" s="77" t="s">
        <v>119</v>
      </c>
      <c r="F3818" s="77" t="s">
        <v>73</v>
      </c>
      <c r="G3818" s="77" t="s">
        <v>74</v>
      </c>
      <c r="H3818" s="77" t="s">
        <v>127</v>
      </c>
      <c r="I3818" s="77" t="s">
        <v>84</v>
      </c>
      <c r="J3818" s="76">
        <f>'SUT_EU27 total'!$M$73</f>
        <v>0.15097500908393557</v>
      </c>
    </row>
    <row r="3819" spans="1:10" x14ac:dyDescent="0.35">
      <c r="A3819" t="s">
        <v>15</v>
      </c>
      <c r="B3819" t="s">
        <v>33</v>
      </c>
      <c r="C3819" s="77" t="s">
        <v>91</v>
      </c>
      <c r="D3819" t="s">
        <v>81</v>
      </c>
      <c r="E3819" s="77" t="s">
        <v>124</v>
      </c>
      <c r="F3819" s="77" t="s">
        <v>73</v>
      </c>
      <c r="G3819" s="77" t="s">
        <v>74</v>
      </c>
      <c r="H3819" s="77" t="s">
        <v>127</v>
      </c>
      <c r="I3819" s="77" t="s">
        <v>84</v>
      </c>
      <c r="J3819" s="76" cm="1">
        <f t="array" ref="J3819:J3827">'SUT_EU27 total'!$M$77:$M$85</f>
        <v>6.7728942399646885E-5</v>
      </c>
    </row>
    <row r="3820" spans="1:10" x14ac:dyDescent="0.35">
      <c r="A3820" t="s">
        <v>15</v>
      </c>
      <c r="B3820" t="s">
        <v>33</v>
      </c>
      <c r="C3820" s="77" t="s">
        <v>91</v>
      </c>
      <c r="D3820" t="s">
        <v>81</v>
      </c>
      <c r="E3820" s="77" t="s">
        <v>117</v>
      </c>
      <c r="F3820" s="77" t="s">
        <v>73</v>
      </c>
      <c r="G3820" s="77" t="s">
        <v>74</v>
      </c>
      <c r="H3820" s="77" t="s">
        <v>127</v>
      </c>
      <c r="I3820" s="77" t="s">
        <v>84</v>
      </c>
      <c r="J3820" s="76">
        <v>5.6233849622410815E-3</v>
      </c>
    </row>
    <row r="3821" spans="1:10" x14ac:dyDescent="0.35">
      <c r="A3821" t="s">
        <v>15</v>
      </c>
      <c r="B3821" t="s">
        <v>33</v>
      </c>
      <c r="C3821" s="77" t="s">
        <v>91</v>
      </c>
      <c r="D3821" t="s">
        <v>81</v>
      </c>
      <c r="E3821" s="77" t="s">
        <v>82</v>
      </c>
      <c r="F3821" s="77" t="s">
        <v>73</v>
      </c>
      <c r="G3821" s="77" t="s">
        <v>74</v>
      </c>
      <c r="H3821" s="77" t="s">
        <v>127</v>
      </c>
      <c r="I3821" s="77" t="s">
        <v>84</v>
      </c>
      <c r="J3821" s="76">
        <v>1.8068055269127655E-3</v>
      </c>
    </row>
    <row r="3822" spans="1:10" x14ac:dyDescent="0.35">
      <c r="A3822" t="s">
        <v>15</v>
      </c>
      <c r="B3822" t="s">
        <v>33</v>
      </c>
      <c r="C3822" s="77" t="s">
        <v>91</v>
      </c>
      <c r="D3822" t="s">
        <v>81</v>
      </c>
      <c r="E3822" s="77" t="s">
        <v>125</v>
      </c>
      <c r="F3822" s="77" t="s">
        <v>73</v>
      </c>
      <c r="G3822" s="77" t="s">
        <v>74</v>
      </c>
      <c r="H3822" s="77" t="s">
        <v>127</v>
      </c>
      <c r="I3822" s="77" t="s">
        <v>84</v>
      </c>
      <c r="J3822" s="76">
        <v>5.6492118062760293E-6</v>
      </c>
    </row>
    <row r="3823" spans="1:10" x14ac:dyDescent="0.35">
      <c r="A3823" t="s">
        <v>15</v>
      </c>
      <c r="B3823" t="s">
        <v>33</v>
      </c>
      <c r="C3823" s="77" t="s">
        <v>91</v>
      </c>
      <c r="D3823" t="s">
        <v>81</v>
      </c>
      <c r="E3823" s="77" t="s">
        <v>122</v>
      </c>
      <c r="F3823" s="77" t="s">
        <v>73</v>
      </c>
      <c r="G3823" s="77" t="s">
        <v>74</v>
      </c>
      <c r="H3823" s="77" t="s">
        <v>127</v>
      </c>
      <c r="I3823" s="77" t="s">
        <v>84</v>
      </c>
      <c r="J3823" s="76">
        <v>0</v>
      </c>
    </row>
    <row r="3824" spans="1:10" x14ac:dyDescent="0.35">
      <c r="A3824" t="s">
        <v>15</v>
      </c>
      <c r="B3824" t="s">
        <v>33</v>
      </c>
      <c r="C3824" s="77" t="s">
        <v>91</v>
      </c>
      <c r="D3824" t="s">
        <v>81</v>
      </c>
      <c r="E3824" s="77" t="s">
        <v>126</v>
      </c>
      <c r="F3824" s="77" t="s">
        <v>73</v>
      </c>
      <c r="G3824" s="77" t="s">
        <v>74</v>
      </c>
      <c r="H3824" s="77" t="s">
        <v>127</v>
      </c>
      <c r="I3824" s="77" t="s">
        <v>84</v>
      </c>
      <c r="J3824" s="76">
        <v>8.1093795177776388E-4</v>
      </c>
    </row>
    <row r="3825" spans="1:10" x14ac:dyDescent="0.35">
      <c r="A3825" t="s">
        <v>15</v>
      </c>
      <c r="B3825" t="s">
        <v>33</v>
      </c>
      <c r="C3825" s="77" t="s">
        <v>91</v>
      </c>
      <c r="D3825" t="s">
        <v>81</v>
      </c>
      <c r="E3825" s="77" t="s">
        <v>101</v>
      </c>
      <c r="F3825" s="77" t="s">
        <v>73</v>
      </c>
      <c r="G3825" s="77" t="s">
        <v>74</v>
      </c>
      <c r="H3825" s="77" t="s">
        <v>127</v>
      </c>
      <c r="I3825" s="77" t="s">
        <v>84</v>
      </c>
      <c r="J3825" s="76">
        <v>0</v>
      </c>
    </row>
    <row r="3826" spans="1:10" x14ac:dyDescent="0.35">
      <c r="A3826" t="s">
        <v>15</v>
      </c>
      <c r="B3826" t="s">
        <v>33</v>
      </c>
      <c r="C3826" s="77" t="s">
        <v>91</v>
      </c>
      <c r="D3826" t="s">
        <v>81</v>
      </c>
      <c r="E3826" s="77" t="s">
        <v>104</v>
      </c>
      <c r="F3826" s="77" t="s">
        <v>73</v>
      </c>
      <c r="G3826" s="77" t="s">
        <v>74</v>
      </c>
      <c r="H3826" s="77" t="s">
        <v>127</v>
      </c>
      <c r="I3826" s="77" t="s">
        <v>84</v>
      </c>
      <c r="J3826" s="76">
        <v>0</v>
      </c>
    </row>
    <row r="3827" spans="1:10" x14ac:dyDescent="0.35">
      <c r="A3827" t="s">
        <v>15</v>
      </c>
      <c r="B3827" t="s">
        <v>33</v>
      </c>
      <c r="C3827" s="77" t="s">
        <v>91</v>
      </c>
      <c r="D3827" t="s">
        <v>81</v>
      </c>
      <c r="E3827" s="77" t="s">
        <v>106</v>
      </c>
      <c r="F3827" s="77" t="s">
        <v>73</v>
      </c>
      <c r="G3827" s="77" t="s">
        <v>74</v>
      </c>
      <c r="H3827" s="77" t="s">
        <v>127</v>
      </c>
      <c r="I3827" s="77" t="s">
        <v>84</v>
      </c>
      <c r="J3827" s="76">
        <v>0</v>
      </c>
    </row>
    <row r="3828" spans="1:10" x14ac:dyDescent="0.35">
      <c r="A3828" t="s">
        <v>15</v>
      </c>
      <c r="B3828" t="s">
        <v>33</v>
      </c>
      <c r="C3828" s="77" t="s">
        <v>92</v>
      </c>
      <c r="D3828" t="s">
        <v>81</v>
      </c>
      <c r="E3828" s="77" t="s">
        <v>119</v>
      </c>
      <c r="F3828" s="77" t="s">
        <v>73</v>
      </c>
      <c r="G3828" s="77" t="s">
        <v>74</v>
      </c>
      <c r="H3828" s="77" t="s">
        <v>127</v>
      </c>
      <c r="I3828" s="77" t="s">
        <v>84</v>
      </c>
      <c r="J3828" s="76">
        <f>'SUT_EU27 total'!$M$90</f>
        <v>0.13886309499777949</v>
      </c>
    </row>
    <row r="3829" spans="1:10" x14ac:dyDescent="0.35">
      <c r="A3829" t="s">
        <v>15</v>
      </c>
      <c r="B3829" t="s">
        <v>33</v>
      </c>
      <c r="C3829" s="77" t="s">
        <v>92</v>
      </c>
      <c r="D3829" t="s">
        <v>81</v>
      </c>
      <c r="E3829" s="77" t="s">
        <v>124</v>
      </c>
      <c r="F3829" s="77" t="s">
        <v>73</v>
      </c>
      <c r="G3829" s="77" t="s">
        <v>74</v>
      </c>
      <c r="H3829" s="77" t="s">
        <v>127</v>
      </c>
      <c r="I3829" s="77" t="s">
        <v>84</v>
      </c>
      <c r="J3829" s="76" cm="1">
        <f t="array" ref="J3829:J3837">'SUT_EU27 total'!$M$94:$M$102</f>
        <v>9.2968907089085616E-5</v>
      </c>
    </row>
    <row r="3830" spans="1:10" x14ac:dyDescent="0.35">
      <c r="A3830" t="s">
        <v>15</v>
      </c>
      <c r="B3830" t="s">
        <v>33</v>
      </c>
      <c r="C3830" s="77" t="s">
        <v>92</v>
      </c>
      <c r="D3830" t="s">
        <v>81</v>
      </c>
      <c r="E3830" s="77" t="s">
        <v>117</v>
      </c>
      <c r="F3830" s="77" t="s">
        <v>73</v>
      </c>
      <c r="G3830" s="77" t="s">
        <v>74</v>
      </c>
      <c r="H3830" s="77" t="s">
        <v>127</v>
      </c>
      <c r="I3830" s="77" t="s">
        <v>84</v>
      </c>
      <c r="J3830" s="76">
        <v>0</v>
      </c>
    </row>
    <row r="3831" spans="1:10" x14ac:dyDescent="0.35">
      <c r="A3831" t="s">
        <v>15</v>
      </c>
      <c r="B3831" t="s">
        <v>33</v>
      </c>
      <c r="C3831" s="77" t="s">
        <v>92</v>
      </c>
      <c r="D3831" t="s">
        <v>81</v>
      </c>
      <c r="E3831" s="77" t="s">
        <v>82</v>
      </c>
      <c r="F3831" s="77" t="s">
        <v>73</v>
      </c>
      <c r="G3831" s="77" t="s">
        <v>74</v>
      </c>
      <c r="H3831" s="77" t="s">
        <v>127</v>
      </c>
      <c r="I3831" s="77" t="s">
        <v>84</v>
      </c>
      <c r="J3831" s="76">
        <v>1.1251392039595793E-3</v>
      </c>
    </row>
    <row r="3832" spans="1:10" x14ac:dyDescent="0.35">
      <c r="A3832" t="s">
        <v>15</v>
      </c>
      <c r="B3832" t="s">
        <v>33</v>
      </c>
      <c r="C3832" s="77" t="s">
        <v>92</v>
      </c>
      <c r="D3832" t="s">
        <v>81</v>
      </c>
      <c r="E3832" s="77" t="s">
        <v>125</v>
      </c>
      <c r="F3832" s="77" t="s">
        <v>73</v>
      </c>
      <c r="G3832" s="77" t="s">
        <v>74</v>
      </c>
      <c r="H3832" s="77" t="s">
        <v>127</v>
      </c>
      <c r="I3832" s="77" t="s">
        <v>84</v>
      </c>
      <c r="J3832" s="76">
        <v>5.0048817841215026E-7</v>
      </c>
    </row>
    <row r="3833" spans="1:10" x14ac:dyDescent="0.35">
      <c r="A3833" t="s">
        <v>15</v>
      </c>
      <c r="B3833" t="s">
        <v>33</v>
      </c>
      <c r="C3833" s="77" t="s">
        <v>92</v>
      </c>
      <c r="D3833" t="s">
        <v>81</v>
      </c>
      <c r="E3833" s="77" t="s">
        <v>122</v>
      </c>
      <c r="F3833" s="77" t="s">
        <v>73</v>
      </c>
      <c r="G3833" s="77" t="s">
        <v>74</v>
      </c>
      <c r="H3833" s="77" t="s">
        <v>127</v>
      </c>
      <c r="I3833" s="77" t="s">
        <v>84</v>
      </c>
      <c r="J3833" s="76">
        <v>0</v>
      </c>
    </row>
    <row r="3834" spans="1:10" x14ac:dyDescent="0.35">
      <c r="A3834" t="s">
        <v>15</v>
      </c>
      <c r="B3834" t="s">
        <v>33</v>
      </c>
      <c r="C3834" s="77" t="s">
        <v>92</v>
      </c>
      <c r="D3834" t="s">
        <v>81</v>
      </c>
      <c r="E3834" s="77" t="s">
        <v>126</v>
      </c>
      <c r="F3834" s="77" t="s">
        <v>73</v>
      </c>
      <c r="G3834" s="77" t="s">
        <v>74</v>
      </c>
      <c r="H3834" s="77" t="s">
        <v>127</v>
      </c>
      <c r="I3834" s="77" t="s">
        <v>84</v>
      </c>
      <c r="J3834" s="76">
        <v>0</v>
      </c>
    </row>
    <row r="3835" spans="1:10" x14ac:dyDescent="0.35">
      <c r="A3835" t="s">
        <v>15</v>
      </c>
      <c r="B3835" t="s">
        <v>33</v>
      </c>
      <c r="C3835" s="77" t="s">
        <v>92</v>
      </c>
      <c r="D3835" t="s">
        <v>81</v>
      </c>
      <c r="E3835" s="77" t="s">
        <v>101</v>
      </c>
      <c r="F3835" s="77" t="s">
        <v>73</v>
      </c>
      <c r="G3835" s="77" t="s">
        <v>74</v>
      </c>
      <c r="H3835" s="77" t="s">
        <v>127</v>
      </c>
      <c r="I3835" s="77" t="s">
        <v>84</v>
      </c>
      <c r="J3835" s="76">
        <v>0</v>
      </c>
    </row>
    <row r="3836" spans="1:10" x14ac:dyDescent="0.35">
      <c r="A3836" t="s">
        <v>15</v>
      </c>
      <c r="B3836" t="s">
        <v>33</v>
      </c>
      <c r="C3836" s="77" t="s">
        <v>92</v>
      </c>
      <c r="D3836" t="s">
        <v>81</v>
      </c>
      <c r="E3836" s="77" t="s">
        <v>104</v>
      </c>
      <c r="F3836" s="77" t="s">
        <v>73</v>
      </c>
      <c r="G3836" s="77" t="s">
        <v>74</v>
      </c>
      <c r="H3836" s="77" t="s">
        <v>127</v>
      </c>
      <c r="I3836" s="77" t="s">
        <v>84</v>
      </c>
      <c r="J3836" s="76">
        <v>0</v>
      </c>
    </row>
    <row r="3837" spans="1:10" x14ac:dyDescent="0.35">
      <c r="A3837" t="s">
        <v>15</v>
      </c>
      <c r="B3837" t="s">
        <v>33</v>
      </c>
      <c r="C3837" s="77" t="s">
        <v>92</v>
      </c>
      <c r="D3837" t="s">
        <v>81</v>
      </c>
      <c r="E3837" s="77" t="s">
        <v>106</v>
      </c>
      <c r="F3837" s="77" t="s">
        <v>73</v>
      </c>
      <c r="G3837" s="77" t="s">
        <v>74</v>
      </c>
      <c r="H3837" s="77" t="s">
        <v>127</v>
      </c>
      <c r="I3837" s="77" t="s">
        <v>84</v>
      </c>
      <c r="J3837" s="76">
        <v>0</v>
      </c>
    </row>
    <row r="3838" spans="1:10" x14ac:dyDescent="0.35">
      <c r="A3838" t="s">
        <v>15</v>
      </c>
      <c r="B3838" t="s">
        <v>33</v>
      </c>
      <c r="C3838" s="77" t="s">
        <v>93</v>
      </c>
      <c r="D3838" t="s">
        <v>81</v>
      </c>
      <c r="E3838" s="77" t="s">
        <v>119</v>
      </c>
      <c r="F3838" s="77" t="s">
        <v>73</v>
      </c>
      <c r="G3838" s="77" t="s">
        <v>74</v>
      </c>
      <c r="H3838" s="77" t="s">
        <v>127</v>
      </c>
      <c r="I3838" s="77" t="s">
        <v>84</v>
      </c>
      <c r="J3838" s="76">
        <f>'SUT_EU27 total'!$M$107</f>
        <v>1.0000807460939076</v>
      </c>
    </row>
    <row r="3839" spans="1:10" x14ac:dyDescent="0.35">
      <c r="A3839" t="s">
        <v>15</v>
      </c>
      <c r="B3839" t="s">
        <v>33</v>
      </c>
      <c r="C3839" s="77" t="s">
        <v>93</v>
      </c>
      <c r="D3839" t="s">
        <v>81</v>
      </c>
      <c r="E3839" s="77" t="s">
        <v>124</v>
      </c>
      <c r="F3839" s="77" t="s">
        <v>73</v>
      </c>
      <c r="G3839" s="77" t="s">
        <v>74</v>
      </c>
      <c r="H3839" s="77" t="s">
        <v>127</v>
      </c>
      <c r="I3839" s="77" t="s">
        <v>84</v>
      </c>
      <c r="J3839" s="76" cm="1">
        <f t="array" ref="J3839:J3847">'SUT_EU27 total'!$M$111:$M$119</f>
        <v>3.7052409430862396E-4</v>
      </c>
    </row>
    <row r="3840" spans="1:10" x14ac:dyDescent="0.35">
      <c r="A3840" t="s">
        <v>15</v>
      </c>
      <c r="B3840" t="s">
        <v>33</v>
      </c>
      <c r="C3840" s="77" t="s">
        <v>93</v>
      </c>
      <c r="D3840" t="s">
        <v>81</v>
      </c>
      <c r="E3840" s="77" t="s">
        <v>117</v>
      </c>
      <c r="F3840" s="77" t="s">
        <v>73</v>
      </c>
      <c r="G3840" s="77" t="s">
        <v>74</v>
      </c>
      <c r="H3840" s="77" t="s">
        <v>127</v>
      </c>
      <c r="I3840" s="77" t="s">
        <v>84</v>
      </c>
      <c r="J3840" s="76">
        <v>5.8414042458127093E-3</v>
      </c>
    </row>
    <row r="3841" spans="1:10" x14ac:dyDescent="0.35">
      <c r="A3841" t="s">
        <v>15</v>
      </c>
      <c r="B3841" t="s">
        <v>33</v>
      </c>
      <c r="C3841" s="77" t="s">
        <v>93</v>
      </c>
      <c r="D3841" t="s">
        <v>81</v>
      </c>
      <c r="E3841" s="77" t="s">
        <v>82</v>
      </c>
      <c r="F3841" s="77" t="s">
        <v>73</v>
      </c>
      <c r="G3841" s="77" t="s">
        <v>74</v>
      </c>
      <c r="H3841" s="77" t="s">
        <v>127</v>
      </c>
      <c r="I3841" s="77" t="s">
        <v>84</v>
      </c>
      <c r="J3841" s="76">
        <v>5.0319447308723453E-3</v>
      </c>
    </row>
    <row r="3842" spans="1:10" x14ac:dyDescent="0.35">
      <c r="A3842" t="s">
        <v>15</v>
      </c>
      <c r="B3842" t="s">
        <v>33</v>
      </c>
      <c r="C3842" s="77" t="s">
        <v>93</v>
      </c>
      <c r="D3842" t="s">
        <v>81</v>
      </c>
      <c r="E3842" s="77" t="s">
        <v>125</v>
      </c>
      <c r="F3842" s="77" t="s">
        <v>73</v>
      </c>
      <c r="G3842" s="77" t="s">
        <v>74</v>
      </c>
      <c r="H3842" s="77" t="s">
        <v>127</v>
      </c>
      <c r="I3842" s="77" t="s">
        <v>84</v>
      </c>
      <c r="J3842" s="76">
        <v>4.336096678710085E-4</v>
      </c>
    </row>
    <row r="3843" spans="1:10" x14ac:dyDescent="0.35">
      <c r="A3843" t="s">
        <v>15</v>
      </c>
      <c r="B3843" t="s">
        <v>33</v>
      </c>
      <c r="C3843" s="77" t="s">
        <v>93</v>
      </c>
      <c r="D3843" t="s">
        <v>81</v>
      </c>
      <c r="E3843" s="77" t="s">
        <v>122</v>
      </c>
      <c r="F3843" s="77" t="s">
        <v>73</v>
      </c>
      <c r="G3843" s="77" t="s">
        <v>74</v>
      </c>
      <c r="H3843" s="77" t="s">
        <v>127</v>
      </c>
      <c r="I3843" s="77" t="s">
        <v>84</v>
      </c>
      <c r="J3843" s="76">
        <v>2.7129607609988112E-3</v>
      </c>
    </row>
    <row r="3844" spans="1:10" x14ac:dyDescent="0.35">
      <c r="A3844" t="s">
        <v>15</v>
      </c>
      <c r="B3844" t="s">
        <v>33</v>
      </c>
      <c r="C3844" s="77" t="s">
        <v>93</v>
      </c>
      <c r="D3844" t="s">
        <v>81</v>
      </c>
      <c r="E3844" s="77" t="s">
        <v>126</v>
      </c>
      <c r="F3844" s="77" t="s">
        <v>73</v>
      </c>
      <c r="G3844" s="77" t="s">
        <v>74</v>
      </c>
      <c r="H3844" s="77" t="s">
        <v>127</v>
      </c>
      <c r="I3844" s="77" t="s">
        <v>84</v>
      </c>
      <c r="J3844" s="76">
        <v>4.3855511603587784E-2</v>
      </c>
    </row>
    <row r="3845" spans="1:10" x14ac:dyDescent="0.35">
      <c r="A3845" t="s">
        <v>15</v>
      </c>
      <c r="B3845" t="s">
        <v>33</v>
      </c>
      <c r="C3845" s="77" t="s">
        <v>93</v>
      </c>
      <c r="D3845" t="s">
        <v>81</v>
      </c>
      <c r="E3845" s="77" t="s">
        <v>101</v>
      </c>
      <c r="F3845" s="77" t="s">
        <v>73</v>
      </c>
      <c r="G3845" s="77" t="s">
        <v>74</v>
      </c>
      <c r="H3845" s="77" t="s">
        <v>127</v>
      </c>
      <c r="I3845" s="77" t="s">
        <v>84</v>
      </c>
      <c r="J3845" s="76">
        <v>0</v>
      </c>
    </row>
    <row r="3846" spans="1:10" x14ac:dyDescent="0.35">
      <c r="A3846" t="s">
        <v>15</v>
      </c>
      <c r="B3846" t="s">
        <v>33</v>
      </c>
      <c r="C3846" s="77" t="s">
        <v>93</v>
      </c>
      <c r="D3846" t="s">
        <v>81</v>
      </c>
      <c r="E3846" s="77" t="s">
        <v>104</v>
      </c>
      <c r="F3846" s="77" t="s">
        <v>73</v>
      </c>
      <c r="G3846" s="77" t="s">
        <v>74</v>
      </c>
      <c r="H3846" s="77" t="s">
        <v>127</v>
      </c>
      <c r="I3846" s="77" t="s">
        <v>84</v>
      </c>
      <c r="J3846" s="76">
        <v>0</v>
      </c>
    </row>
    <row r="3847" spans="1:10" x14ac:dyDescent="0.35">
      <c r="A3847" t="s">
        <v>15</v>
      </c>
      <c r="B3847" t="s">
        <v>33</v>
      </c>
      <c r="C3847" s="77" t="s">
        <v>93</v>
      </c>
      <c r="D3847" t="s">
        <v>81</v>
      </c>
      <c r="E3847" s="77" t="s">
        <v>106</v>
      </c>
      <c r="F3847" s="77" t="s">
        <v>73</v>
      </c>
      <c r="G3847" s="77" t="s">
        <v>74</v>
      </c>
      <c r="H3847" s="77" t="s">
        <v>127</v>
      </c>
      <c r="I3847" s="77" t="s">
        <v>84</v>
      </c>
      <c r="J3847" s="76">
        <v>0</v>
      </c>
    </row>
    <row r="3848" spans="1:10" x14ac:dyDescent="0.35">
      <c r="A3848" t="s">
        <v>15</v>
      </c>
      <c r="B3848" t="s">
        <v>33</v>
      </c>
      <c r="C3848" s="77" t="s">
        <v>73</v>
      </c>
      <c r="D3848" t="s">
        <v>81</v>
      </c>
      <c r="E3848" s="77" t="s">
        <v>82</v>
      </c>
      <c r="F3848" s="77" t="s">
        <v>73</v>
      </c>
      <c r="G3848" s="77" t="s">
        <v>74</v>
      </c>
      <c r="H3848" s="77" t="s">
        <v>128</v>
      </c>
      <c r="I3848" s="77" t="s">
        <v>84</v>
      </c>
      <c r="J3848" s="465" cm="1">
        <f t="array" ref="J3848:J3871">Sensitivity!J18:J41</f>
        <v>2.6760974214171465E-4</v>
      </c>
    </row>
    <row r="3849" spans="1:10" x14ac:dyDescent="0.35">
      <c r="A3849" t="s">
        <v>15</v>
      </c>
      <c r="B3849" t="s">
        <v>33</v>
      </c>
      <c r="C3849" s="77" t="s">
        <v>73</v>
      </c>
      <c r="D3849" t="s">
        <v>81</v>
      </c>
      <c r="E3849" s="77" t="s">
        <v>86</v>
      </c>
      <c r="F3849" s="77" t="s">
        <v>73</v>
      </c>
      <c r="G3849" s="77" t="s">
        <v>74</v>
      </c>
      <c r="H3849" s="77" t="s">
        <v>128</v>
      </c>
      <c r="I3849" s="77" t="s">
        <v>84</v>
      </c>
      <c r="J3849" s="465">
        <v>3.7016175236971698E-3</v>
      </c>
    </row>
    <row r="3850" spans="1:10" x14ac:dyDescent="0.35">
      <c r="A3850" t="s">
        <v>15</v>
      </c>
      <c r="B3850" t="s">
        <v>33</v>
      </c>
      <c r="C3850" s="77" t="s">
        <v>88</v>
      </c>
      <c r="D3850" t="s">
        <v>81</v>
      </c>
      <c r="E3850" s="77" t="s">
        <v>82</v>
      </c>
      <c r="F3850" s="77" t="s">
        <v>73</v>
      </c>
      <c r="G3850" s="77" t="s">
        <v>74</v>
      </c>
      <c r="H3850" s="77" t="s">
        <v>128</v>
      </c>
      <c r="I3850" s="77" t="s">
        <v>84</v>
      </c>
      <c r="J3850" s="465">
        <v>1.6846497285095353E-4</v>
      </c>
    </row>
    <row r="3851" spans="1:10" x14ac:dyDescent="0.35">
      <c r="A3851" t="s">
        <v>15</v>
      </c>
      <c r="B3851" t="s">
        <v>33</v>
      </c>
      <c r="C3851" s="77" t="s">
        <v>88</v>
      </c>
      <c r="D3851" t="s">
        <v>81</v>
      </c>
      <c r="E3851" s="77" t="s">
        <v>86</v>
      </c>
      <c r="F3851" s="77" t="s">
        <v>73</v>
      </c>
      <c r="G3851" s="77" t="s">
        <v>74</v>
      </c>
      <c r="H3851" s="77" t="s">
        <v>128</v>
      </c>
      <c r="I3851" s="77" t="s">
        <v>84</v>
      </c>
      <c r="J3851" s="465">
        <v>8.3841145981034843E-2</v>
      </c>
    </row>
    <row r="3852" spans="1:10" x14ac:dyDescent="0.35">
      <c r="A3852" t="s">
        <v>15</v>
      </c>
      <c r="B3852" t="s">
        <v>33</v>
      </c>
      <c r="C3852" s="77" t="s">
        <v>90</v>
      </c>
      <c r="D3852" t="s">
        <v>81</v>
      </c>
      <c r="E3852" s="77" t="s">
        <v>82</v>
      </c>
      <c r="F3852" s="77" t="s">
        <v>73</v>
      </c>
      <c r="G3852" s="77" t="s">
        <v>74</v>
      </c>
      <c r="H3852" s="77" t="s">
        <v>128</v>
      </c>
      <c r="I3852" s="77" t="s">
        <v>84</v>
      </c>
      <c r="J3852" s="465">
        <v>4.0529696913112775E-8</v>
      </c>
    </row>
    <row r="3853" spans="1:10" x14ac:dyDescent="0.35">
      <c r="A3853" t="s">
        <v>15</v>
      </c>
      <c r="B3853" t="s">
        <v>33</v>
      </c>
      <c r="C3853" s="77" t="s">
        <v>90</v>
      </c>
      <c r="D3853" t="s">
        <v>81</v>
      </c>
      <c r="E3853" s="77" t="s">
        <v>86</v>
      </c>
      <c r="F3853" s="77" t="s">
        <v>73</v>
      </c>
      <c r="G3853" s="77" t="s">
        <v>74</v>
      </c>
      <c r="H3853" s="77" t="s">
        <v>128</v>
      </c>
      <c r="I3853" s="77" t="s">
        <v>84</v>
      </c>
      <c r="J3853" s="465">
        <v>1.0973937716142008E-2</v>
      </c>
    </row>
    <row r="3854" spans="1:10" x14ac:dyDescent="0.35">
      <c r="A3854" t="s">
        <v>15</v>
      </c>
      <c r="B3854" t="s">
        <v>33</v>
      </c>
      <c r="C3854" s="77" t="s">
        <v>91</v>
      </c>
      <c r="D3854" t="s">
        <v>81</v>
      </c>
      <c r="E3854" s="77" t="s">
        <v>82</v>
      </c>
      <c r="F3854" s="77" t="s">
        <v>73</v>
      </c>
      <c r="G3854" s="77" t="s">
        <v>74</v>
      </c>
      <c r="H3854" s="77" t="s">
        <v>128</v>
      </c>
      <c r="I3854" s="77" t="s">
        <v>84</v>
      </c>
      <c r="J3854" s="465">
        <v>7.8859787450203447E-6</v>
      </c>
    </row>
    <row r="3855" spans="1:10" x14ac:dyDescent="0.35">
      <c r="A3855" t="s">
        <v>15</v>
      </c>
      <c r="B3855" t="s">
        <v>33</v>
      </c>
      <c r="C3855" s="77" t="s">
        <v>91</v>
      </c>
      <c r="D3855" t="s">
        <v>81</v>
      </c>
      <c r="E3855" s="77" t="s">
        <v>86</v>
      </c>
      <c r="F3855" s="77" t="s">
        <v>73</v>
      </c>
      <c r="G3855" s="77" t="s">
        <v>74</v>
      </c>
      <c r="H3855" s="77" t="s">
        <v>128</v>
      </c>
      <c r="I3855" s="77" t="s">
        <v>84</v>
      </c>
      <c r="J3855" s="465">
        <v>1.3654419371233061E-2</v>
      </c>
    </row>
    <row r="3856" spans="1:10" x14ac:dyDescent="0.35">
      <c r="A3856" t="s">
        <v>15</v>
      </c>
      <c r="B3856" t="s">
        <v>33</v>
      </c>
      <c r="C3856" s="77" t="s">
        <v>92</v>
      </c>
      <c r="D3856" t="s">
        <v>81</v>
      </c>
      <c r="E3856" s="77" t="s">
        <v>82</v>
      </c>
      <c r="F3856" s="77" t="s">
        <v>73</v>
      </c>
      <c r="G3856" s="77" t="s">
        <v>74</v>
      </c>
      <c r="H3856" s="77" t="s">
        <v>128</v>
      </c>
      <c r="I3856" s="77" t="s">
        <v>84</v>
      </c>
      <c r="J3856" s="465">
        <v>1.0947328811186329E-5</v>
      </c>
    </row>
    <row r="3857" spans="1:10" x14ac:dyDescent="0.35">
      <c r="A3857" t="s">
        <v>15</v>
      </c>
      <c r="B3857" t="s">
        <v>33</v>
      </c>
      <c r="C3857" s="77" t="s">
        <v>92</v>
      </c>
      <c r="D3857" t="s">
        <v>81</v>
      </c>
      <c r="E3857" s="77" t="s">
        <v>86</v>
      </c>
      <c r="F3857" s="77" t="s">
        <v>73</v>
      </c>
      <c r="G3857" s="77" t="s">
        <v>74</v>
      </c>
      <c r="H3857" s="77" t="s">
        <v>128</v>
      </c>
      <c r="I3857" s="77" t="s">
        <v>84</v>
      </c>
      <c r="J3857" s="465">
        <v>8.5029198289701558E-3</v>
      </c>
    </row>
    <row r="3858" spans="1:10" x14ac:dyDescent="0.35">
      <c r="A3858" t="s">
        <v>15</v>
      </c>
      <c r="B3858" t="s">
        <v>33</v>
      </c>
      <c r="C3858" s="77" t="s">
        <v>93</v>
      </c>
      <c r="D3858" t="s">
        <v>81</v>
      </c>
      <c r="E3858" s="77" t="s">
        <v>82</v>
      </c>
      <c r="F3858" s="77" t="s">
        <v>73</v>
      </c>
      <c r="G3858" s="77" t="s">
        <v>74</v>
      </c>
      <c r="H3858" s="77" t="s">
        <v>128</v>
      </c>
      <c r="I3858" s="77" t="s">
        <v>84</v>
      </c>
      <c r="J3858" s="465">
        <v>4.5375221154525037E-5</v>
      </c>
    </row>
    <row r="3859" spans="1:10" x14ac:dyDescent="0.35">
      <c r="A3859" t="s">
        <v>15</v>
      </c>
      <c r="B3859" t="s">
        <v>33</v>
      </c>
      <c r="C3859" s="77" t="s">
        <v>93</v>
      </c>
      <c r="D3859" t="s">
        <v>81</v>
      </c>
      <c r="E3859" s="77" t="s">
        <v>86</v>
      </c>
      <c r="F3859" s="77" t="s">
        <v>73</v>
      </c>
      <c r="G3859" s="77" t="s">
        <v>74</v>
      </c>
      <c r="H3859" s="77" t="s">
        <v>128</v>
      </c>
      <c r="I3859" s="77" t="s">
        <v>84</v>
      </c>
      <c r="J3859" s="465">
        <v>3.8027492491456601E-2</v>
      </c>
    </row>
    <row r="3860" spans="1:10" x14ac:dyDescent="0.35">
      <c r="A3860" t="s">
        <v>15</v>
      </c>
      <c r="B3860" t="s">
        <v>33</v>
      </c>
      <c r="C3860" s="77" t="s">
        <v>73</v>
      </c>
      <c r="D3860" t="s">
        <v>81</v>
      </c>
      <c r="E3860" s="77" t="s">
        <v>82</v>
      </c>
      <c r="F3860" s="77" t="s">
        <v>73</v>
      </c>
      <c r="G3860" s="77" t="s">
        <v>74</v>
      </c>
      <c r="H3860" s="77" t="s">
        <v>129</v>
      </c>
      <c r="I3860" s="77" t="s">
        <v>84</v>
      </c>
      <c r="J3860" s="465">
        <v>2.6760974214171465E-4</v>
      </c>
    </row>
    <row r="3861" spans="1:10" x14ac:dyDescent="0.35">
      <c r="A3861" t="s">
        <v>15</v>
      </c>
      <c r="B3861" t="s">
        <v>33</v>
      </c>
      <c r="C3861" s="77" t="s">
        <v>73</v>
      </c>
      <c r="D3861" t="s">
        <v>81</v>
      </c>
      <c r="E3861" s="77" t="s">
        <v>86</v>
      </c>
      <c r="F3861" s="77" t="s">
        <v>73</v>
      </c>
      <c r="G3861" s="77" t="s">
        <v>74</v>
      </c>
      <c r="H3861" s="77" t="s">
        <v>129</v>
      </c>
      <c r="I3861" s="77" t="s">
        <v>84</v>
      </c>
      <c r="J3861" s="465">
        <v>3.7016175236971698E-3</v>
      </c>
    </row>
    <row r="3862" spans="1:10" x14ac:dyDescent="0.35">
      <c r="A3862" t="s">
        <v>15</v>
      </c>
      <c r="B3862" t="s">
        <v>33</v>
      </c>
      <c r="C3862" s="77" t="s">
        <v>88</v>
      </c>
      <c r="D3862" t="s">
        <v>81</v>
      </c>
      <c r="E3862" s="77" t="s">
        <v>82</v>
      </c>
      <c r="F3862" s="77" t="s">
        <v>73</v>
      </c>
      <c r="G3862" s="77" t="s">
        <v>74</v>
      </c>
      <c r="H3862" s="77" t="s">
        <v>129</v>
      </c>
      <c r="I3862" s="77" t="s">
        <v>84</v>
      </c>
      <c r="J3862" s="465">
        <v>1.6846497285095353E-4</v>
      </c>
    </row>
    <row r="3863" spans="1:10" x14ac:dyDescent="0.35">
      <c r="A3863" t="s">
        <v>15</v>
      </c>
      <c r="B3863" t="s">
        <v>33</v>
      </c>
      <c r="C3863" s="77" t="s">
        <v>88</v>
      </c>
      <c r="D3863" t="s">
        <v>81</v>
      </c>
      <c r="E3863" s="77" t="s">
        <v>86</v>
      </c>
      <c r="F3863" s="77" t="s">
        <v>73</v>
      </c>
      <c r="G3863" s="77" t="s">
        <v>74</v>
      </c>
      <c r="H3863" s="77" t="s">
        <v>129</v>
      </c>
      <c r="I3863" s="77" t="s">
        <v>84</v>
      </c>
      <c r="J3863" s="465">
        <v>8.3841145981034843E-2</v>
      </c>
    </row>
    <row r="3864" spans="1:10" x14ac:dyDescent="0.35">
      <c r="A3864" t="s">
        <v>15</v>
      </c>
      <c r="B3864" t="s">
        <v>33</v>
      </c>
      <c r="C3864" s="77" t="s">
        <v>90</v>
      </c>
      <c r="D3864" t="s">
        <v>81</v>
      </c>
      <c r="E3864" s="77" t="s">
        <v>82</v>
      </c>
      <c r="F3864" s="77" t="s">
        <v>73</v>
      </c>
      <c r="G3864" s="77" t="s">
        <v>74</v>
      </c>
      <c r="H3864" s="77" t="s">
        <v>129</v>
      </c>
      <c r="I3864" s="77" t="s">
        <v>84</v>
      </c>
      <c r="J3864" s="465">
        <v>4.0529696913112775E-8</v>
      </c>
    </row>
    <row r="3865" spans="1:10" x14ac:dyDescent="0.35">
      <c r="A3865" t="s">
        <v>15</v>
      </c>
      <c r="B3865" t="s">
        <v>33</v>
      </c>
      <c r="C3865" s="77" t="s">
        <v>90</v>
      </c>
      <c r="D3865" t="s">
        <v>81</v>
      </c>
      <c r="E3865" s="77" t="s">
        <v>86</v>
      </c>
      <c r="F3865" s="77" t="s">
        <v>73</v>
      </c>
      <c r="G3865" s="77" t="s">
        <v>74</v>
      </c>
      <c r="H3865" s="77" t="s">
        <v>129</v>
      </c>
      <c r="I3865" s="77" t="s">
        <v>84</v>
      </c>
      <c r="J3865" s="465">
        <v>1.0973937716142008E-2</v>
      </c>
    </row>
    <row r="3866" spans="1:10" x14ac:dyDescent="0.35">
      <c r="A3866" t="s">
        <v>15</v>
      </c>
      <c r="B3866" t="s">
        <v>33</v>
      </c>
      <c r="C3866" s="77" t="s">
        <v>91</v>
      </c>
      <c r="D3866" t="s">
        <v>81</v>
      </c>
      <c r="E3866" s="77" t="s">
        <v>82</v>
      </c>
      <c r="F3866" s="77" t="s">
        <v>73</v>
      </c>
      <c r="G3866" s="77" t="s">
        <v>74</v>
      </c>
      <c r="H3866" s="77" t="s">
        <v>129</v>
      </c>
      <c r="I3866" s="77" t="s">
        <v>84</v>
      </c>
      <c r="J3866" s="465">
        <v>7.8859787450203447E-6</v>
      </c>
    </row>
    <row r="3867" spans="1:10" x14ac:dyDescent="0.35">
      <c r="A3867" t="s">
        <v>15</v>
      </c>
      <c r="B3867" t="s">
        <v>33</v>
      </c>
      <c r="C3867" s="77" t="s">
        <v>91</v>
      </c>
      <c r="D3867" t="s">
        <v>81</v>
      </c>
      <c r="E3867" s="77" t="s">
        <v>86</v>
      </c>
      <c r="F3867" s="77" t="s">
        <v>73</v>
      </c>
      <c r="G3867" s="77" t="s">
        <v>74</v>
      </c>
      <c r="H3867" s="77" t="s">
        <v>129</v>
      </c>
      <c r="I3867" s="77" t="s">
        <v>84</v>
      </c>
      <c r="J3867" s="465">
        <v>1.3654419371233061E-2</v>
      </c>
    </row>
    <row r="3868" spans="1:10" x14ac:dyDescent="0.35">
      <c r="A3868" t="s">
        <v>15</v>
      </c>
      <c r="B3868" t="s">
        <v>33</v>
      </c>
      <c r="C3868" s="77" t="s">
        <v>92</v>
      </c>
      <c r="D3868" t="s">
        <v>81</v>
      </c>
      <c r="E3868" s="77" t="s">
        <v>82</v>
      </c>
      <c r="F3868" s="77" t="s">
        <v>73</v>
      </c>
      <c r="G3868" s="77" t="s">
        <v>74</v>
      </c>
      <c r="H3868" s="77" t="s">
        <v>129</v>
      </c>
      <c r="I3868" s="77" t="s">
        <v>84</v>
      </c>
      <c r="J3868" s="465">
        <v>1.0947328811186329E-5</v>
      </c>
    </row>
    <row r="3869" spans="1:10" x14ac:dyDescent="0.35">
      <c r="A3869" t="s">
        <v>15</v>
      </c>
      <c r="B3869" t="s">
        <v>33</v>
      </c>
      <c r="C3869" s="77" t="s">
        <v>92</v>
      </c>
      <c r="D3869" t="s">
        <v>81</v>
      </c>
      <c r="E3869" s="77" t="s">
        <v>86</v>
      </c>
      <c r="F3869" s="77" t="s">
        <v>73</v>
      </c>
      <c r="G3869" s="77" t="s">
        <v>74</v>
      </c>
      <c r="H3869" s="77" t="s">
        <v>129</v>
      </c>
      <c r="I3869" s="77" t="s">
        <v>84</v>
      </c>
      <c r="J3869" s="465">
        <v>8.5029198289701558E-3</v>
      </c>
    </row>
    <row r="3870" spans="1:10" x14ac:dyDescent="0.35">
      <c r="A3870" t="s">
        <v>15</v>
      </c>
      <c r="B3870" t="s">
        <v>33</v>
      </c>
      <c r="C3870" s="77" t="s">
        <v>93</v>
      </c>
      <c r="D3870" t="s">
        <v>81</v>
      </c>
      <c r="E3870" s="77" t="s">
        <v>82</v>
      </c>
      <c r="F3870" s="77" t="s">
        <v>73</v>
      </c>
      <c r="G3870" s="77" t="s">
        <v>74</v>
      </c>
      <c r="H3870" s="77" t="s">
        <v>129</v>
      </c>
      <c r="I3870" s="77" t="s">
        <v>84</v>
      </c>
      <c r="J3870" s="465">
        <v>4.5375221154525037E-5</v>
      </c>
    </row>
    <row r="3871" spans="1:10" x14ac:dyDescent="0.35">
      <c r="A3871" t="s">
        <v>15</v>
      </c>
      <c r="B3871" t="s">
        <v>33</v>
      </c>
      <c r="C3871" s="77" t="s">
        <v>93</v>
      </c>
      <c r="D3871" t="s">
        <v>81</v>
      </c>
      <c r="E3871" s="77" t="s">
        <v>86</v>
      </c>
      <c r="F3871" s="77" t="s">
        <v>73</v>
      </c>
      <c r="G3871" s="77" t="s">
        <v>74</v>
      </c>
      <c r="H3871" s="77" t="s">
        <v>129</v>
      </c>
      <c r="I3871" s="77" t="s">
        <v>84</v>
      </c>
      <c r="J3871" s="465">
        <v>3.8027492491456601E-2</v>
      </c>
    </row>
    <row r="3872" spans="1:10" x14ac:dyDescent="0.35">
      <c r="A3872" t="s">
        <v>15</v>
      </c>
      <c r="B3872" t="s">
        <v>33</v>
      </c>
      <c r="C3872" s="77" t="s">
        <v>73</v>
      </c>
      <c r="D3872" t="s">
        <v>81</v>
      </c>
      <c r="E3872" s="77" t="s">
        <v>82</v>
      </c>
      <c r="F3872" s="77" t="s">
        <v>73</v>
      </c>
      <c r="G3872" s="77" t="s">
        <v>74</v>
      </c>
      <c r="H3872" s="77" t="s">
        <v>130</v>
      </c>
      <c r="I3872" s="77" t="s">
        <v>84</v>
      </c>
      <c r="J3872" s="76">
        <f>'SUT_EU27 total'!$Q$28</f>
        <v>7.0611384178638645E-2</v>
      </c>
    </row>
    <row r="3873" spans="1:10" x14ac:dyDescent="0.35">
      <c r="A3873" t="s">
        <v>15</v>
      </c>
      <c r="B3873" t="s">
        <v>33</v>
      </c>
      <c r="C3873" s="77" t="s">
        <v>88</v>
      </c>
      <c r="D3873" t="s">
        <v>81</v>
      </c>
      <c r="E3873" s="77" t="s">
        <v>82</v>
      </c>
      <c r="F3873" s="77" t="s">
        <v>73</v>
      </c>
      <c r="G3873" s="77" t="s">
        <v>74</v>
      </c>
      <c r="H3873" s="77" t="s">
        <v>130</v>
      </c>
      <c r="I3873" s="77" t="s">
        <v>84</v>
      </c>
      <c r="J3873" s="76">
        <f>'SUT_EU27 total'!$Q$45</f>
        <v>4.4451090694311274E-2</v>
      </c>
    </row>
    <row r="3874" spans="1:10" x14ac:dyDescent="0.35">
      <c r="A3874" t="s">
        <v>15</v>
      </c>
      <c r="B3874" t="s">
        <v>33</v>
      </c>
      <c r="C3874" s="77" t="s">
        <v>90</v>
      </c>
      <c r="D3874" t="s">
        <v>81</v>
      </c>
      <c r="E3874" s="77" t="s">
        <v>82</v>
      </c>
      <c r="F3874" s="77" t="s">
        <v>73</v>
      </c>
      <c r="G3874" s="77" t="s">
        <v>74</v>
      </c>
      <c r="H3874" s="77" t="s">
        <v>130</v>
      </c>
      <c r="I3874" s="77" t="s">
        <v>84</v>
      </c>
      <c r="J3874" s="76">
        <f>'SUT_EU27 total'!$Q$62</f>
        <v>1.0694147292515508E-5</v>
      </c>
    </row>
    <row r="3875" spans="1:10" x14ac:dyDescent="0.35">
      <c r="A3875" t="s">
        <v>15</v>
      </c>
      <c r="B3875" t="s">
        <v>33</v>
      </c>
      <c r="C3875" s="77" t="s">
        <v>91</v>
      </c>
      <c r="D3875" t="s">
        <v>81</v>
      </c>
      <c r="E3875" s="77" t="s">
        <v>82</v>
      </c>
      <c r="F3875" s="77" t="s">
        <v>73</v>
      </c>
      <c r="G3875" s="77" t="s">
        <v>74</v>
      </c>
      <c r="H3875" s="77" t="s">
        <v>130</v>
      </c>
      <c r="I3875" s="77" t="s">
        <v>84</v>
      </c>
      <c r="J3875" s="76">
        <f>'SUT_EU27 total'!$Q$79</f>
        <v>2.0807907452574416E-3</v>
      </c>
    </row>
    <row r="3876" spans="1:10" x14ac:dyDescent="0.35">
      <c r="A3876" t="s">
        <v>15</v>
      </c>
      <c r="B3876" t="s">
        <v>33</v>
      </c>
      <c r="C3876" s="77" t="s">
        <v>92</v>
      </c>
      <c r="D3876" t="s">
        <v>81</v>
      </c>
      <c r="E3876" s="77" t="s">
        <v>82</v>
      </c>
      <c r="F3876" s="77" t="s">
        <v>73</v>
      </c>
      <c r="G3876" s="77" t="s">
        <v>74</v>
      </c>
      <c r="H3876" s="77" t="s">
        <v>130</v>
      </c>
      <c r="I3876" s="77" t="s">
        <v>84</v>
      </c>
      <c r="J3876" s="76">
        <f>'SUT_EU27 total'!$Q$96</f>
        <v>2.8885571737041122E-3</v>
      </c>
    </row>
    <row r="3877" spans="1:10" x14ac:dyDescent="0.35">
      <c r="A3877" t="s">
        <v>15</v>
      </c>
      <c r="B3877" t="s">
        <v>33</v>
      </c>
      <c r="C3877" s="77" t="s">
        <v>93</v>
      </c>
      <c r="D3877" t="s">
        <v>81</v>
      </c>
      <c r="E3877" s="77" t="s">
        <v>82</v>
      </c>
      <c r="F3877" s="77" t="s">
        <v>73</v>
      </c>
      <c r="G3877" s="77" t="s">
        <v>74</v>
      </c>
      <c r="H3877" s="77" t="s">
        <v>130</v>
      </c>
      <c r="I3877" s="77" t="s">
        <v>84</v>
      </c>
      <c r="J3877" s="76">
        <f>'SUT_EU27 total'!$Q$113</f>
        <v>1.1972685102906883E-2</v>
      </c>
    </row>
    <row r="3878" spans="1:10" x14ac:dyDescent="0.35">
      <c r="A3878" t="s">
        <v>15</v>
      </c>
      <c r="B3878" t="s">
        <v>33</v>
      </c>
      <c r="C3878" s="77" t="s">
        <v>73</v>
      </c>
      <c r="D3878" t="s">
        <v>81</v>
      </c>
      <c r="E3878" s="77" t="s">
        <v>131</v>
      </c>
      <c r="F3878" s="77" t="s">
        <v>73</v>
      </c>
      <c r="G3878" s="77" t="s">
        <v>74</v>
      </c>
      <c r="H3878" s="77" t="s">
        <v>112</v>
      </c>
      <c r="I3878" s="77" t="s">
        <v>84</v>
      </c>
      <c r="J3878" s="76">
        <f>'SUT_EU27 total'!$R$24</f>
        <v>4.0146105919003111E-8</v>
      </c>
    </row>
    <row r="3879" spans="1:10" x14ac:dyDescent="0.35">
      <c r="A3879" t="s">
        <v>15</v>
      </c>
      <c r="B3879" t="s">
        <v>33</v>
      </c>
      <c r="C3879" s="77" t="s">
        <v>73</v>
      </c>
      <c r="D3879" t="s">
        <v>81</v>
      </c>
      <c r="E3879" s="77" t="s">
        <v>122</v>
      </c>
      <c r="F3879" s="77" t="s">
        <v>73</v>
      </c>
      <c r="G3879" s="77" t="s">
        <v>74</v>
      </c>
      <c r="H3879" s="77" t="s">
        <v>112</v>
      </c>
      <c r="I3879" s="77" t="s">
        <v>84</v>
      </c>
      <c r="J3879" s="76">
        <f>'SUT_EU27 total'!$R$30</f>
        <v>3.9708116569218732E-4</v>
      </c>
    </row>
    <row r="3880" spans="1:10" x14ac:dyDescent="0.35">
      <c r="A3880" t="s">
        <v>15</v>
      </c>
      <c r="B3880" t="s">
        <v>33</v>
      </c>
      <c r="C3880" s="77" t="s">
        <v>73</v>
      </c>
      <c r="D3880" t="s">
        <v>81</v>
      </c>
      <c r="E3880" s="77" t="s">
        <v>101</v>
      </c>
      <c r="F3880" s="77" t="s">
        <v>73</v>
      </c>
      <c r="G3880" s="77" t="s">
        <v>74</v>
      </c>
      <c r="H3880" s="77" t="s">
        <v>112</v>
      </c>
      <c r="I3880" s="77" t="s">
        <v>84</v>
      </c>
      <c r="J3880" s="76" cm="1">
        <f t="array" ref="J3880:J3882">'SUT_EU27 total'!$R$32:$R$34</f>
        <v>1.2183459827918709E-7</v>
      </c>
    </row>
    <row r="3881" spans="1:10" x14ac:dyDescent="0.35">
      <c r="A3881" t="s">
        <v>15</v>
      </c>
      <c r="B3881" t="s">
        <v>33</v>
      </c>
      <c r="C3881" s="77" t="s">
        <v>73</v>
      </c>
      <c r="D3881" t="s">
        <v>81</v>
      </c>
      <c r="E3881" s="77" t="s">
        <v>104</v>
      </c>
      <c r="F3881" s="77" t="s">
        <v>73</v>
      </c>
      <c r="G3881" s="77" t="s">
        <v>74</v>
      </c>
      <c r="H3881" s="77" t="s">
        <v>112</v>
      </c>
      <c r="I3881" s="77" t="s">
        <v>84</v>
      </c>
      <c r="J3881" s="76">
        <v>2.3068290654205609E-7</v>
      </c>
    </row>
    <row r="3882" spans="1:10" x14ac:dyDescent="0.35">
      <c r="A3882" t="s">
        <v>15</v>
      </c>
      <c r="B3882" t="s">
        <v>33</v>
      </c>
      <c r="C3882" s="77" t="s">
        <v>73</v>
      </c>
      <c r="D3882" t="s">
        <v>81</v>
      </c>
      <c r="E3882" s="77" t="s">
        <v>106</v>
      </c>
      <c r="F3882" s="77" t="s">
        <v>73</v>
      </c>
      <c r="G3882" s="77" t="s">
        <v>74</v>
      </c>
      <c r="H3882" s="77" t="s">
        <v>112</v>
      </c>
      <c r="I3882" s="77" t="s">
        <v>84</v>
      </c>
      <c r="J3882" s="76">
        <v>7.8463573653760568E-7</v>
      </c>
    </row>
    <row r="3883" spans="1:10" x14ac:dyDescent="0.35">
      <c r="A3883" t="s">
        <v>15</v>
      </c>
      <c r="B3883" t="s">
        <v>33</v>
      </c>
      <c r="C3883" s="77" t="s">
        <v>88</v>
      </c>
      <c r="D3883" t="s">
        <v>81</v>
      </c>
      <c r="E3883" s="77" t="s">
        <v>131</v>
      </c>
      <c r="F3883" s="77" t="s">
        <v>73</v>
      </c>
      <c r="G3883" s="77" t="s">
        <v>74</v>
      </c>
      <c r="H3883" s="77" t="s">
        <v>112</v>
      </c>
      <c r="I3883" s="77" t="s">
        <v>84</v>
      </c>
      <c r="J3883" s="76">
        <f>'SUT_EU27 total'!$R$41</f>
        <v>0</v>
      </c>
    </row>
    <row r="3884" spans="1:10" x14ac:dyDescent="0.35">
      <c r="A3884" t="s">
        <v>15</v>
      </c>
      <c r="B3884" t="s">
        <v>33</v>
      </c>
      <c r="C3884" s="77" t="s">
        <v>88</v>
      </c>
      <c r="D3884" t="s">
        <v>81</v>
      </c>
      <c r="E3884" s="77" t="s">
        <v>122</v>
      </c>
      <c r="F3884" s="77" t="s">
        <v>73</v>
      </c>
      <c r="G3884" s="77" t="s">
        <v>74</v>
      </c>
      <c r="H3884" s="77" t="s">
        <v>112</v>
      </c>
      <c r="I3884" s="77" t="s">
        <v>84</v>
      </c>
      <c r="J3884" s="76">
        <f>'SUT_EU27 total'!$R$47</f>
        <v>0</v>
      </c>
    </row>
    <row r="3885" spans="1:10" x14ac:dyDescent="0.35">
      <c r="A3885" t="s">
        <v>15</v>
      </c>
      <c r="B3885" t="s">
        <v>33</v>
      </c>
      <c r="C3885" s="77" t="s">
        <v>88</v>
      </c>
      <c r="D3885" t="s">
        <v>81</v>
      </c>
      <c r="E3885" s="77" t="s">
        <v>101</v>
      </c>
      <c r="F3885" s="77" t="s">
        <v>73</v>
      </c>
      <c r="G3885" s="77" t="s">
        <v>74</v>
      </c>
      <c r="H3885" s="77" t="s">
        <v>112</v>
      </c>
      <c r="I3885" s="77" t="s">
        <v>84</v>
      </c>
      <c r="J3885" s="76" cm="1">
        <f t="array" ref="J3885:J3887">'SUT_EU27 total'!$R$49:$R$51</f>
        <v>0</v>
      </c>
    </row>
    <row r="3886" spans="1:10" x14ac:dyDescent="0.35">
      <c r="A3886" t="s">
        <v>15</v>
      </c>
      <c r="B3886" t="s">
        <v>33</v>
      </c>
      <c r="C3886" s="77" t="s">
        <v>88</v>
      </c>
      <c r="D3886" t="s">
        <v>81</v>
      </c>
      <c r="E3886" s="77" t="s">
        <v>104</v>
      </c>
      <c r="F3886" s="77" t="s">
        <v>73</v>
      </c>
      <c r="G3886" s="77" t="s">
        <v>74</v>
      </c>
      <c r="H3886" s="77" t="s">
        <v>112</v>
      </c>
      <c r="I3886" s="77" t="s">
        <v>84</v>
      </c>
      <c r="J3886" s="76">
        <v>0</v>
      </c>
    </row>
    <row r="3887" spans="1:10" x14ac:dyDescent="0.35">
      <c r="A3887" t="s">
        <v>15</v>
      </c>
      <c r="B3887" t="s">
        <v>33</v>
      </c>
      <c r="C3887" s="77" t="s">
        <v>88</v>
      </c>
      <c r="D3887" t="s">
        <v>81</v>
      </c>
      <c r="E3887" s="77" t="s">
        <v>106</v>
      </c>
      <c r="F3887" s="77" t="s">
        <v>73</v>
      </c>
      <c r="G3887" s="77" t="s">
        <v>74</v>
      </c>
      <c r="H3887" s="77" t="s">
        <v>112</v>
      </c>
      <c r="I3887" s="77" t="s">
        <v>84</v>
      </c>
      <c r="J3887" s="76">
        <v>0</v>
      </c>
    </row>
    <row r="3888" spans="1:10" x14ac:dyDescent="0.35">
      <c r="A3888" t="s">
        <v>15</v>
      </c>
      <c r="B3888" t="s">
        <v>33</v>
      </c>
      <c r="C3888" s="77" t="s">
        <v>90</v>
      </c>
      <c r="D3888" t="s">
        <v>81</v>
      </c>
      <c r="E3888" s="77" t="s">
        <v>131</v>
      </c>
      <c r="F3888" s="77" t="s">
        <v>73</v>
      </c>
      <c r="G3888" s="77" t="s">
        <v>74</v>
      </c>
      <c r="H3888" s="77" t="s">
        <v>112</v>
      </c>
      <c r="I3888" s="77" t="s">
        <v>84</v>
      </c>
      <c r="J3888" s="76">
        <f>'SUT_EU27 total'!$R$58</f>
        <v>0</v>
      </c>
    </row>
    <row r="3889" spans="1:10" x14ac:dyDescent="0.35">
      <c r="A3889" t="s">
        <v>15</v>
      </c>
      <c r="B3889" t="s">
        <v>33</v>
      </c>
      <c r="C3889" s="77" t="s">
        <v>90</v>
      </c>
      <c r="D3889" t="s">
        <v>81</v>
      </c>
      <c r="E3889" s="77" t="s">
        <v>122</v>
      </c>
      <c r="F3889" s="77" t="s">
        <v>73</v>
      </c>
      <c r="G3889" s="77" t="s">
        <v>74</v>
      </c>
      <c r="H3889" s="77" t="s">
        <v>112</v>
      </c>
      <c r="I3889" s="77" t="s">
        <v>84</v>
      </c>
      <c r="J3889" s="76">
        <f>'SUT_EU27 total'!$R$64</f>
        <v>6.4108466461028498E-4</v>
      </c>
    </row>
    <row r="3890" spans="1:10" x14ac:dyDescent="0.35">
      <c r="A3890" t="s">
        <v>15</v>
      </c>
      <c r="B3890" t="s">
        <v>33</v>
      </c>
      <c r="C3890" s="77" t="s">
        <v>90</v>
      </c>
      <c r="D3890" t="s">
        <v>81</v>
      </c>
      <c r="E3890" s="77" t="s">
        <v>101</v>
      </c>
      <c r="F3890" s="77" t="s">
        <v>73</v>
      </c>
      <c r="G3890" s="77" t="s">
        <v>74</v>
      </c>
      <c r="H3890" s="77" t="s">
        <v>112</v>
      </c>
      <c r="I3890" s="77" t="s">
        <v>84</v>
      </c>
      <c r="J3890" s="76" cm="1">
        <f t="array" ref="J3890:J3892">'SUT_EU27 total'!$R$66:$R$68</f>
        <v>0</v>
      </c>
    </row>
    <row r="3891" spans="1:10" x14ac:dyDescent="0.35">
      <c r="A3891" t="s">
        <v>15</v>
      </c>
      <c r="B3891" t="s">
        <v>33</v>
      </c>
      <c r="C3891" s="77" t="s">
        <v>90</v>
      </c>
      <c r="D3891" t="s">
        <v>81</v>
      </c>
      <c r="E3891" s="77" t="s">
        <v>104</v>
      </c>
      <c r="F3891" s="77" t="s">
        <v>73</v>
      </c>
      <c r="G3891" s="77" t="s">
        <v>74</v>
      </c>
      <c r="H3891" s="77" t="s">
        <v>112</v>
      </c>
      <c r="I3891" s="77" t="s">
        <v>84</v>
      </c>
      <c r="J3891" s="76">
        <v>0</v>
      </c>
    </row>
    <row r="3892" spans="1:10" x14ac:dyDescent="0.35">
      <c r="A3892" t="s">
        <v>15</v>
      </c>
      <c r="B3892" t="s">
        <v>33</v>
      </c>
      <c r="C3892" s="77" t="s">
        <v>90</v>
      </c>
      <c r="D3892" t="s">
        <v>81</v>
      </c>
      <c r="E3892" s="77" t="s">
        <v>106</v>
      </c>
      <c r="F3892" s="77" t="s">
        <v>73</v>
      </c>
      <c r="G3892" s="77" t="s">
        <v>74</v>
      </c>
      <c r="H3892" s="77" t="s">
        <v>112</v>
      </c>
      <c r="I3892" s="77" t="s">
        <v>84</v>
      </c>
      <c r="J3892" s="76">
        <v>0</v>
      </c>
    </row>
    <row r="3893" spans="1:10" x14ac:dyDescent="0.35">
      <c r="A3893" t="s">
        <v>15</v>
      </c>
      <c r="B3893" t="s">
        <v>33</v>
      </c>
      <c r="C3893" s="77" t="s">
        <v>91</v>
      </c>
      <c r="D3893" t="s">
        <v>81</v>
      </c>
      <c r="E3893" s="77" t="s">
        <v>131</v>
      </c>
      <c r="F3893" s="77" t="s">
        <v>73</v>
      </c>
      <c r="G3893" s="77" t="s">
        <v>74</v>
      </c>
      <c r="H3893" s="77" t="s">
        <v>112</v>
      </c>
      <c r="I3893" s="77" t="s">
        <v>84</v>
      </c>
      <c r="J3893" s="76">
        <f>'SUT_EU27 total'!$R$75</f>
        <v>0</v>
      </c>
    </row>
    <row r="3894" spans="1:10" x14ac:dyDescent="0.35">
      <c r="A3894" t="s">
        <v>15</v>
      </c>
      <c r="B3894" t="s">
        <v>33</v>
      </c>
      <c r="C3894" s="77" t="s">
        <v>91</v>
      </c>
      <c r="D3894" t="s">
        <v>81</v>
      </c>
      <c r="E3894" s="77" t="s">
        <v>122</v>
      </c>
      <c r="F3894" s="77" t="s">
        <v>73</v>
      </c>
      <c r="G3894" s="77" t="s">
        <v>74</v>
      </c>
      <c r="H3894" s="77" t="s">
        <v>112</v>
      </c>
      <c r="I3894" s="77" t="s">
        <v>84</v>
      </c>
      <c r="J3894" s="76">
        <f>'SUT_EU27 total'!$R$81</f>
        <v>0</v>
      </c>
    </row>
    <row r="3895" spans="1:10" x14ac:dyDescent="0.35">
      <c r="A3895" t="s">
        <v>15</v>
      </c>
      <c r="B3895" t="s">
        <v>33</v>
      </c>
      <c r="C3895" s="77" t="s">
        <v>91</v>
      </c>
      <c r="D3895" t="s">
        <v>81</v>
      </c>
      <c r="E3895" s="77" t="s">
        <v>101</v>
      </c>
      <c r="F3895" s="77" t="s">
        <v>73</v>
      </c>
      <c r="G3895" s="77" t="s">
        <v>74</v>
      </c>
      <c r="H3895" s="77" t="s">
        <v>112</v>
      </c>
      <c r="I3895" s="77" t="s">
        <v>84</v>
      </c>
      <c r="J3895" s="76" cm="1">
        <f t="array" ref="J3895:J3897">'SUT_EU27 total'!$R$83:$R$85</f>
        <v>0</v>
      </c>
    </row>
    <row r="3896" spans="1:10" x14ac:dyDescent="0.35">
      <c r="A3896" t="s">
        <v>15</v>
      </c>
      <c r="B3896" t="s">
        <v>33</v>
      </c>
      <c r="C3896" s="77" t="s">
        <v>91</v>
      </c>
      <c r="D3896" t="s">
        <v>81</v>
      </c>
      <c r="E3896" s="77" t="s">
        <v>104</v>
      </c>
      <c r="F3896" s="77" t="s">
        <v>73</v>
      </c>
      <c r="G3896" s="77" t="s">
        <v>74</v>
      </c>
      <c r="H3896" s="77" t="s">
        <v>112</v>
      </c>
      <c r="I3896" s="77" t="s">
        <v>84</v>
      </c>
      <c r="J3896" s="76">
        <v>0</v>
      </c>
    </row>
    <row r="3897" spans="1:10" x14ac:dyDescent="0.35">
      <c r="A3897" t="s">
        <v>15</v>
      </c>
      <c r="B3897" t="s">
        <v>33</v>
      </c>
      <c r="C3897" s="77" t="s">
        <v>91</v>
      </c>
      <c r="D3897" t="s">
        <v>81</v>
      </c>
      <c r="E3897" s="77" t="s">
        <v>106</v>
      </c>
      <c r="F3897" s="77" t="s">
        <v>73</v>
      </c>
      <c r="G3897" s="77" t="s">
        <v>74</v>
      </c>
      <c r="H3897" s="77" t="s">
        <v>112</v>
      </c>
      <c r="I3897" s="77" t="s">
        <v>84</v>
      </c>
      <c r="J3897" s="76">
        <v>0</v>
      </c>
    </row>
    <row r="3898" spans="1:10" x14ac:dyDescent="0.35">
      <c r="A3898" t="s">
        <v>15</v>
      </c>
      <c r="B3898" t="s">
        <v>33</v>
      </c>
      <c r="C3898" s="77" t="s">
        <v>92</v>
      </c>
      <c r="D3898" t="s">
        <v>81</v>
      </c>
      <c r="E3898" s="77" t="s">
        <v>131</v>
      </c>
      <c r="F3898" s="77" t="s">
        <v>73</v>
      </c>
      <c r="G3898" s="77" t="s">
        <v>74</v>
      </c>
      <c r="H3898" s="77" t="s">
        <v>112</v>
      </c>
      <c r="I3898" s="77" t="s">
        <v>84</v>
      </c>
      <c r="J3898" s="76">
        <f>'SUT_EU27 total'!$R$92</f>
        <v>0</v>
      </c>
    </row>
    <row r="3899" spans="1:10" x14ac:dyDescent="0.35">
      <c r="A3899" t="s">
        <v>15</v>
      </c>
      <c r="B3899" t="s">
        <v>33</v>
      </c>
      <c r="C3899" s="77" t="s">
        <v>92</v>
      </c>
      <c r="D3899" t="s">
        <v>81</v>
      </c>
      <c r="E3899" s="77" t="s">
        <v>122</v>
      </c>
      <c r="F3899" s="77" t="s">
        <v>73</v>
      </c>
      <c r="G3899" s="77" t="s">
        <v>74</v>
      </c>
      <c r="H3899" s="77" t="s">
        <v>112</v>
      </c>
      <c r="I3899" s="77" t="s">
        <v>84</v>
      </c>
      <c r="J3899" s="76">
        <f>'SUT_EU27 total'!$R$98</f>
        <v>0</v>
      </c>
    </row>
    <row r="3900" spans="1:10" x14ac:dyDescent="0.35">
      <c r="A3900" t="s">
        <v>15</v>
      </c>
      <c r="B3900" t="s">
        <v>33</v>
      </c>
      <c r="C3900" s="77" t="s">
        <v>92</v>
      </c>
      <c r="D3900" t="s">
        <v>81</v>
      </c>
      <c r="E3900" s="77" t="s">
        <v>101</v>
      </c>
      <c r="F3900" s="77" t="s">
        <v>73</v>
      </c>
      <c r="G3900" s="77" t="s">
        <v>74</v>
      </c>
      <c r="H3900" s="77" t="s">
        <v>112</v>
      </c>
      <c r="I3900" s="77" t="s">
        <v>84</v>
      </c>
      <c r="J3900" s="76" cm="1">
        <f t="array" ref="J3900:J3902">'SUT_EU27 total'!$R$100:$R$102</f>
        <v>0</v>
      </c>
    </row>
    <row r="3901" spans="1:10" x14ac:dyDescent="0.35">
      <c r="A3901" t="s">
        <v>15</v>
      </c>
      <c r="B3901" t="s">
        <v>33</v>
      </c>
      <c r="C3901" s="77" t="s">
        <v>92</v>
      </c>
      <c r="D3901" t="s">
        <v>81</v>
      </c>
      <c r="E3901" s="77" t="s">
        <v>104</v>
      </c>
      <c r="F3901" s="77" t="s">
        <v>73</v>
      </c>
      <c r="G3901" s="77" t="s">
        <v>74</v>
      </c>
      <c r="H3901" s="77" t="s">
        <v>112</v>
      </c>
      <c r="I3901" s="77" t="s">
        <v>84</v>
      </c>
      <c r="J3901" s="76">
        <v>0</v>
      </c>
    </row>
    <row r="3902" spans="1:10" x14ac:dyDescent="0.35">
      <c r="A3902" t="s">
        <v>15</v>
      </c>
      <c r="B3902" t="s">
        <v>33</v>
      </c>
      <c r="C3902" s="77" t="s">
        <v>92</v>
      </c>
      <c r="D3902" t="s">
        <v>81</v>
      </c>
      <c r="E3902" s="77" t="s">
        <v>106</v>
      </c>
      <c r="F3902" s="77" t="s">
        <v>73</v>
      </c>
      <c r="G3902" s="77" t="s">
        <v>74</v>
      </c>
      <c r="H3902" s="77" t="s">
        <v>112</v>
      </c>
      <c r="I3902" s="77" t="s">
        <v>84</v>
      </c>
      <c r="J3902" s="76">
        <v>0</v>
      </c>
    </row>
    <row r="3903" spans="1:10" x14ac:dyDescent="0.35">
      <c r="A3903" t="s">
        <v>15</v>
      </c>
      <c r="B3903" t="s">
        <v>33</v>
      </c>
      <c r="C3903" s="77" t="s">
        <v>93</v>
      </c>
      <c r="D3903" t="s">
        <v>81</v>
      </c>
      <c r="E3903" s="77" t="s">
        <v>131</v>
      </c>
      <c r="F3903" s="77" t="s">
        <v>73</v>
      </c>
      <c r="G3903" s="77" t="s">
        <v>74</v>
      </c>
      <c r="H3903" s="77" t="s">
        <v>112</v>
      </c>
      <c r="I3903" s="77" t="s">
        <v>84</v>
      </c>
      <c r="J3903" s="76">
        <f>'SUT_EU27 total'!$R$109</f>
        <v>0</v>
      </c>
    </row>
    <row r="3904" spans="1:10" x14ac:dyDescent="0.35">
      <c r="A3904" t="s">
        <v>15</v>
      </c>
      <c r="B3904" t="s">
        <v>33</v>
      </c>
      <c r="C3904" s="77" t="s">
        <v>93</v>
      </c>
      <c r="D3904" t="s">
        <v>81</v>
      </c>
      <c r="E3904" s="77" t="s">
        <v>122</v>
      </c>
      <c r="F3904" s="77" t="s">
        <v>73</v>
      </c>
      <c r="G3904" s="77" t="s">
        <v>74</v>
      </c>
      <c r="H3904" s="77" t="s">
        <v>112</v>
      </c>
      <c r="I3904" s="77" t="s">
        <v>84</v>
      </c>
      <c r="J3904" s="76">
        <f>'SUT_EU27 total'!$R$115</f>
        <v>2.188358424259166E-3</v>
      </c>
    </row>
    <row r="3905" spans="1:10" x14ac:dyDescent="0.35">
      <c r="A3905" t="s">
        <v>15</v>
      </c>
      <c r="B3905" t="s">
        <v>33</v>
      </c>
      <c r="C3905" s="77" t="s">
        <v>93</v>
      </c>
      <c r="D3905" t="s">
        <v>81</v>
      </c>
      <c r="E3905" s="77" t="s">
        <v>101</v>
      </c>
      <c r="F3905" s="77" t="s">
        <v>73</v>
      </c>
      <c r="G3905" s="77" t="s">
        <v>74</v>
      </c>
      <c r="H3905" s="77" t="s">
        <v>112</v>
      </c>
      <c r="I3905" s="77" t="s">
        <v>84</v>
      </c>
      <c r="J3905" s="76" cm="1">
        <f t="array" ref="J3905:J3907">'SUT_EU27 total'!$R$117:$R$119</f>
        <v>0</v>
      </c>
    </row>
    <row r="3906" spans="1:10" x14ac:dyDescent="0.35">
      <c r="A3906" t="s">
        <v>15</v>
      </c>
      <c r="B3906" t="s">
        <v>33</v>
      </c>
      <c r="C3906" s="77" t="s">
        <v>93</v>
      </c>
      <c r="D3906" t="s">
        <v>81</v>
      </c>
      <c r="E3906" s="77" t="s">
        <v>104</v>
      </c>
      <c r="F3906" s="77" t="s">
        <v>73</v>
      </c>
      <c r="G3906" s="77" t="s">
        <v>74</v>
      </c>
      <c r="H3906" s="77" t="s">
        <v>112</v>
      </c>
      <c r="I3906" s="77" t="s">
        <v>84</v>
      </c>
      <c r="J3906" s="76">
        <v>0</v>
      </c>
    </row>
    <row r="3907" spans="1:10" x14ac:dyDescent="0.35">
      <c r="A3907" t="s">
        <v>15</v>
      </c>
      <c r="B3907" t="s">
        <v>33</v>
      </c>
      <c r="C3907" s="77" t="s">
        <v>93</v>
      </c>
      <c r="D3907" t="s">
        <v>81</v>
      </c>
      <c r="E3907" s="77" t="s">
        <v>106</v>
      </c>
      <c r="F3907" s="77" t="s">
        <v>73</v>
      </c>
      <c r="G3907" s="77" t="s">
        <v>74</v>
      </c>
      <c r="H3907" s="77" t="s">
        <v>112</v>
      </c>
      <c r="I3907" s="77" t="s">
        <v>84</v>
      </c>
      <c r="J3907" s="76">
        <v>0</v>
      </c>
    </row>
    <row r="3908" spans="1:10" x14ac:dyDescent="0.35">
      <c r="A3908" t="s">
        <v>15</v>
      </c>
      <c r="B3908" t="s">
        <v>33</v>
      </c>
      <c r="C3908" s="77" t="s">
        <v>73</v>
      </c>
      <c r="D3908" t="s">
        <v>81</v>
      </c>
      <c r="E3908" s="77" t="s">
        <v>131</v>
      </c>
      <c r="F3908" s="77" t="s">
        <v>73</v>
      </c>
      <c r="G3908" s="77" t="s">
        <v>74</v>
      </c>
      <c r="H3908" s="77" t="s">
        <v>113</v>
      </c>
      <c r="I3908" s="77" t="s">
        <v>84</v>
      </c>
      <c r="J3908" s="76">
        <f>'SUT_EU27 total'!$S$24</f>
        <v>5.0294789999999994E-8</v>
      </c>
    </row>
    <row r="3909" spans="1:10" x14ac:dyDescent="0.35">
      <c r="A3909" t="s">
        <v>15</v>
      </c>
      <c r="B3909" t="s">
        <v>33</v>
      </c>
      <c r="C3909" s="77" t="s">
        <v>73</v>
      </c>
      <c r="D3909" t="s">
        <v>81</v>
      </c>
      <c r="E3909" s="77" t="s">
        <v>101</v>
      </c>
      <c r="F3909" s="77" t="s">
        <v>73</v>
      </c>
      <c r="G3909" s="77" t="s">
        <v>74</v>
      </c>
      <c r="H3909" s="77" t="s">
        <v>113</v>
      </c>
      <c r="I3909" s="77" t="s">
        <v>84</v>
      </c>
      <c r="J3909" s="76" cm="1">
        <f t="array" ref="J3909:J3911">'SUT_EU27 total'!$S$32:$S$34</f>
        <v>1.7883556705882356E-5</v>
      </c>
    </row>
    <row r="3910" spans="1:10" x14ac:dyDescent="0.35">
      <c r="A3910" t="s">
        <v>15</v>
      </c>
      <c r="B3910" t="s">
        <v>33</v>
      </c>
      <c r="C3910" s="77" t="s">
        <v>73</v>
      </c>
      <c r="D3910" t="s">
        <v>81</v>
      </c>
      <c r="E3910" s="77" t="s">
        <v>104</v>
      </c>
      <c r="F3910" s="77" t="s">
        <v>73</v>
      </c>
      <c r="G3910" s="77" t="s">
        <v>74</v>
      </c>
      <c r="H3910" s="77" t="s">
        <v>113</v>
      </c>
      <c r="I3910" s="77" t="s">
        <v>84</v>
      </c>
      <c r="J3910" s="76">
        <v>3.3860913882352942E-5</v>
      </c>
    </row>
    <row r="3911" spans="1:10" x14ac:dyDescent="0.35">
      <c r="A3911" t="s">
        <v>15</v>
      </c>
      <c r="B3911" t="s">
        <v>33</v>
      </c>
      <c r="C3911" s="77" t="s">
        <v>73</v>
      </c>
      <c r="D3911" t="s">
        <v>81</v>
      </c>
      <c r="E3911" s="77" t="s">
        <v>106</v>
      </c>
      <c r="F3911" s="77" t="s">
        <v>73</v>
      </c>
      <c r="G3911" s="77" t="s">
        <v>74</v>
      </c>
      <c r="H3911" s="77" t="s">
        <v>113</v>
      </c>
      <c r="I3911" s="77" t="s">
        <v>84</v>
      </c>
      <c r="J3911" s="76">
        <v>1.1517317647058823E-4</v>
      </c>
    </row>
    <row r="3912" spans="1:10" x14ac:dyDescent="0.35">
      <c r="A3912" t="s">
        <v>15</v>
      </c>
      <c r="B3912" t="s">
        <v>33</v>
      </c>
      <c r="C3912" s="77" t="s">
        <v>88</v>
      </c>
      <c r="D3912" t="s">
        <v>81</v>
      </c>
      <c r="E3912" s="77" t="s">
        <v>131</v>
      </c>
      <c r="F3912" s="77" t="s">
        <v>73</v>
      </c>
      <c r="G3912" s="77" t="s">
        <v>74</v>
      </c>
      <c r="H3912" s="77" t="s">
        <v>113</v>
      </c>
      <c r="I3912" s="77" t="s">
        <v>84</v>
      </c>
      <c r="J3912" s="76">
        <f>'SUT_EU27 total'!$S$41</f>
        <v>0</v>
      </c>
    </row>
    <row r="3913" spans="1:10" x14ac:dyDescent="0.35">
      <c r="A3913" t="s">
        <v>15</v>
      </c>
      <c r="B3913" t="s">
        <v>33</v>
      </c>
      <c r="C3913" s="77" t="s">
        <v>88</v>
      </c>
      <c r="D3913" t="s">
        <v>81</v>
      </c>
      <c r="E3913" s="77" t="s">
        <v>101</v>
      </c>
      <c r="F3913" s="77" t="s">
        <v>73</v>
      </c>
      <c r="G3913" s="77" t="s">
        <v>74</v>
      </c>
      <c r="H3913" s="77" t="s">
        <v>113</v>
      </c>
      <c r="I3913" s="77" t="s">
        <v>84</v>
      </c>
      <c r="J3913" s="76" cm="1">
        <f t="array" ref="J3913:J3915">'SUT_EU27 total'!$S$49:$S$51</f>
        <v>0</v>
      </c>
    </row>
    <row r="3914" spans="1:10" x14ac:dyDescent="0.35">
      <c r="A3914" t="s">
        <v>15</v>
      </c>
      <c r="B3914" t="s">
        <v>33</v>
      </c>
      <c r="C3914" s="77" t="s">
        <v>88</v>
      </c>
      <c r="D3914" t="s">
        <v>81</v>
      </c>
      <c r="E3914" s="77" t="s">
        <v>104</v>
      </c>
      <c r="F3914" s="77" t="s">
        <v>73</v>
      </c>
      <c r="G3914" s="77" t="s">
        <v>74</v>
      </c>
      <c r="H3914" s="77" t="s">
        <v>113</v>
      </c>
      <c r="I3914" s="77" t="s">
        <v>84</v>
      </c>
      <c r="J3914" s="76">
        <v>0</v>
      </c>
    </row>
    <row r="3915" spans="1:10" x14ac:dyDescent="0.35">
      <c r="A3915" t="s">
        <v>15</v>
      </c>
      <c r="B3915" t="s">
        <v>33</v>
      </c>
      <c r="C3915" s="77" t="s">
        <v>88</v>
      </c>
      <c r="D3915" t="s">
        <v>81</v>
      </c>
      <c r="E3915" s="77" t="s">
        <v>106</v>
      </c>
      <c r="F3915" s="77" t="s">
        <v>73</v>
      </c>
      <c r="G3915" s="77" t="s">
        <v>74</v>
      </c>
      <c r="H3915" s="77" t="s">
        <v>113</v>
      </c>
      <c r="I3915" s="77" t="s">
        <v>84</v>
      </c>
      <c r="J3915" s="76">
        <v>0</v>
      </c>
    </row>
    <row r="3916" spans="1:10" x14ac:dyDescent="0.35">
      <c r="A3916" t="s">
        <v>15</v>
      </c>
      <c r="B3916" t="s">
        <v>33</v>
      </c>
      <c r="C3916" s="77" t="s">
        <v>90</v>
      </c>
      <c r="D3916" t="s">
        <v>81</v>
      </c>
      <c r="E3916" s="77" t="s">
        <v>131</v>
      </c>
      <c r="F3916" s="77" t="s">
        <v>73</v>
      </c>
      <c r="G3916" s="77" t="s">
        <v>74</v>
      </c>
      <c r="H3916" s="77" t="s">
        <v>113</v>
      </c>
      <c r="I3916" s="77" t="s">
        <v>84</v>
      </c>
      <c r="J3916" s="76">
        <f>'SUT_EU27 total'!$S$58</f>
        <v>0</v>
      </c>
    </row>
    <row r="3917" spans="1:10" x14ac:dyDescent="0.35">
      <c r="A3917" t="s">
        <v>15</v>
      </c>
      <c r="B3917" t="s">
        <v>33</v>
      </c>
      <c r="C3917" s="77" t="s">
        <v>90</v>
      </c>
      <c r="D3917" t="s">
        <v>81</v>
      </c>
      <c r="E3917" s="77" t="s">
        <v>101</v>
      </c>
      <c r="F3917" s="77" t="s">
        <v>73</v>
      </c>
      <c r="G3917" s="77" t="s">
        <v>74</v>
      </c>
      <c r="H3917" s="77" t="s">
        <v>113</v>
      </c>
      <c r="I3917" s="77" t="s">
        <v>84</v>
      </c>
      <c r="J3917" s="76" cm="1">
        <f t="array" ref="J3917:J3919">'SUT_EU27 total'!$S$66:$S$68</f>
        <v>0</v>
      </c>
    </row>
    <row r="3918" spans="1:10" x14ac:dyDescent="0.35">
      <c r="A3918" t="s">
        <v>15</v>
      </c>
      <c r="B3918" t="s">
        <v>33</v>
      </c>
      <c r="C3918" s="77" t="s">
        <v>90</v>
      </c>
      <c r="D3918" t="s">
        <v>81</v>
      </c>
      <c r="E3918" s="77" t="s">
        <v>104</v>
      </c>
      <c r="F3918" s="77" t="s">
        <v>73</v>
      </c>
      <c r="G3918" s="77" t="s">
        <v>74</v>
      </c>
      <c r="H3918" s="77" t="s">
        <v>113</v>
      </c>
      <c r="I3918" s="77" t="s">
        <v>84</v>
      </c>
      <c r="J3918" s="76">
        <v>0</v>
      </c>
    </row>
    <row r="3919" spans="1:10" x14ac:dyDescent="0.35">
      <c r="A3919" t="s">
        <v>15</v>
      </c>
      <c r="B3919" t="s">
        <v>33</v>
      </c>
      <c r="C3919" s="77" t="s">
        <v>90</v>
      </c>
      <c r="D3919" t="s">
        <v>81</v>
      </c>
      <c r="E3919" s="77" t="s">
        <v>106</v>
      </c>
      <c r="F3919" s="77" t="s">
        <v>73</v>
      </c>
      <c r="G3919" s="77" t="s">
        <v>74</v>
      </c>
      <c r="H3919" s="77" t="s">
        <v>113</v>
      </c>
      <c r="I3919" s="77" t="s">
        <v>84</v>
      </c>
      <c r="J3919" s="76">
        <v>0</v>
      </c>
    </row>
    <row r="3920" spans="1:10" x14ac:dyDescent="0.35">
      <c r="A3920" t="s">
        <v>15</v>
      </c>
      <c r="B3920" t="s">
        <v>33</v>
      </c>
      <c r="C3920" s="77" t="s">
        <v>91</v>
      </c>
      <c r="D3920" t="s">
        <v>81</v>
      </c>
      <c r="E3920" s="77" t="s">
        <v>131</v>
      </c>
      <c r="F3920" s="77" t="s">
        <v>73</v>
      </c>
      <c r="G3920" s="77" t="s">
        <v>74</v>
      </c>
      <c r="H3920" s="77" t="s">
        <v>113</v>
      </c>
      <c r="I3920" s="77" t="s">
        <v>84</v>
      </c>
      <c r="J3920" s="76">
        <f>'SUT_EU27 total'!$S$75</f>
        <v>0</v>
      </c>
    </row>
    <row r="3921" spans="1:10" x14ac:dyDescent="0.35">
      <c r="A3921" t="s">
        <v>15</v>
      </c>
      <c r="B3921" t="s">
        <v>33</v>
      </c>
      <c r="C3921" s="77" t="s">
        <v>91</v>
      </c>
      <c r="D3921" t="s">
        <v>81</v>
      </c>
      <c r="E3921" s="77" t="s">
        <v>101</v>
      </c>
      <c r="F3921" s="77" t="s">
        <v>73</v>
      </c>
      <c r="G3921" s="77" t="s">
        <v>74</v>
      </c>
      <c r="H3921" s="77" t="s">
        <v>113</v>
      </c>
      <c r="I3921" s="77" t="s">
        <v>84</v>
      </c>
      <c r="J3921" s="76" cm="1">
        <f t="array" ref="J3921:J3923">'SUT_EU27 total'!$S$83:$S$85</f>
        <v>0</v>
      </c>
    </row>
    <row r="3922" spans="1:10" x14ac:dyDescent="0.35">
      <c r="A3922" t="s">
        <v>15</v>
      </c>
      <c r="B3922" t="s">
        <v>33</v>
      </c>
      <c r="C3922" s="77" t="s">
        <v>91</v>
      </c>
      <c r="D3922" t="s">
        <v>81</v>
      </c>
      <c r="E3922" s="77" t="s">
        <v>104</v>
      </c>
      <c r="F3922" s="77" t="s">
        <v>73</v>
      </c>
      <c r="G3922" s="77" t="s">
        <v>74</v>
      </c>
      <c r="H3922" s="77" t="s">
        <v>113</v>
      </c>
      <c r="I3922" s="77" t="s">
        <v>84</v>
      </c>
      <c r="J3922" s="76">
        <v>0</v>
      </c>
    </row>
    <row r="3923" spans="1:10" x14ac:dyDescent="0.35">
      <c r="A3923" t="s">
        <v>15</v>
      </c>
      <c r="B3923" t="s">
        <v>33</v>
      </c>
      <c r="C3923" s="77" t="s">
        <v>91</v>
      </c>
      <c r="D3923" t="s">
        <v>81</v>
      </c>
      <c r="E3923" s="77" t="s">
        <v>106</v>
      </c>
      <c r="F3923" s="77" t="s">
        <v>73</v>
      </c>
      <c r="G3923" s="77" t="s">
        <v>74</v>
      </c>
      <c r="H3923" s="77" t="s">
        <v>113</v>
      </c>
      <c r="I3923" s="77" t="s">
        <v>84</v>
      </c>
      <c r="J3923" s="76">
        <v>0</v>
      </c>
    </row>
    <row r="3924" spans="1:10" x14ac:dyDescent="0.35">
      <c r="A3924" t="s">
        <v>15</v>
      </c>
      <c r="B3924" t="s">
        <v>33</v>
      </c>
      <c r="C3924" s="77" t="s">
        <v>92</v>
      </c>
      <c r="D3924" t="s">
        <v>81</v>
      </c>
      <c r="E3924" s="77" t="s">
        <v>131</v>
      </c>
      <c r="F3924" s="77" t="s">
        <v>73</v>
      </c>
      <c r="G3924" s="77" t="s">
        <v>74</v>
      </c>
      <c r="H3924" s="77" t="s">
        <v>113</v>
      </c>
      <c r="I3924" s="77" t="s">
        <v>84</v>
      </c>
      <c r="J3924" s="76">
        <f>'SUT_EU27 total'!$S$92</f>
        <v>0</v>
      </c>
    </row>
    <row r="3925" spans="1:10" x14ac:dyDescent="0.35">
      <c r="A3925" t="s">
        <v>15</v>
      </c>
      <c r="B3925" t="s">
        <v>33</v>
      </c>
      <c r="C3925" s="77" t="s">
        <v>92</v>
      </c>
      <c r="D3925" t="s">
        <v>81</v>
      </c>
      <c r="E3925" s="77" t="s">
        <v>101</v>
      </c>
      <c r="F3925" s="77" t="s">
        <v>73</v>
      </c>
      <c r="G3925" s="77" t="s">
        <v>74</v>
      </c>
      <c r="H3925" s="77" t="s">
        <v>113</v>
      </c>
      <c r="I3925" s="77" t="s">
        <v>84</v>
      </c>
      <c r="J3925" s="76" cm="1">
        <f t="array" ref="J3925:J3927">'SUT_EU27 total'!$S$100:$S$102</f>
        <v>0</v>
      </c>
    </row>
    <row r="3926" spans="1:10" x14ac:dyDescent="0.35">
      <c r="A3926" t="s">
        <v>15</v>
      </c>
      <c r="B3926" t="s">
        <v>33</v>
      </c>
      <c r="C3926" s="77" t="s">
        <v>92</v>
      </c>
      <c r="D3926" t="s">
        <v>81</v>
      </c>
      <c r="E3926" s="77" t="s">
        <v>104</v>
      </c>
      <c r="F3926" s="77" t="s">
        <v>73</v>
      </c>
      <c r="G3926" s="77" t="s">
        <v>74</v>
      </c>
      <c r="H3926" s="77" t="s">
        <v>113</v>
      </c>
      <c r="I3926" s="77" t="s">
        <v>84</v>
      </c>
      <c r="J3926" s="76">
        <v>0</v>
      </c>
    </row>
    <row r="3927" spans="1:10" x14ac:dyDescent="0.35">
      <c r="A3927" t="s">
        <v>15</v>
      </c>
      <c r="B3927" t="s">
        <v>33</v>
      </c>
      <c r="C3927" s="77" t="s">
        <v>92</v>
      </c>
      <c r="D3927" t="s">
        <v>81</v>
      </c>
      <c r="E3927" s="77" t="s">
        <v>106</v>
      </c>
      <c r="F3927" s="77" t="s">
        <v>73</v>
      </c>
      <c r="G3927" s="77" t="s">
        <v>74</v>
      </c>
      <c r="H3927" s="77" t="s">
        <v>113</v>
      </c>
      <c r="I3927" s="77" t="s">
        <v>84</v>
      </c>
      <c r="J3927" s="76">
        <v>0</v>
      </c>
    </row>
    <row r="3928" spans="1:10" x14ac:dyDescent="0.35">
      <c r="A3928" t="s">
        <v>15</v>
      </c>
      <c r="B3928" t="s">
        <v>33</v>
      </c>
      <c r="C3928" s="77" t="s">
        <v>93</v>
      </c>
      <c r="D3928" t="s">
        <v>81</v>
      </c>
      <c r="E3928" s="77" t="s">
        <v>131</v>
      </c>
      <c r="F3928" s="77" t="s">
        <v>73</v>
      </c>
      <c r="G3928" s="77" t="s">
        <v>74</v>
      </c>
      <c r="H3928" s="77" t="s">
        <v>113</v>
      </c>
      <c r="I3928" s="77" t="s">
        <v>84</v>
      </c>
      <c r="J3928" s="76">
        <f>'SUT_EU27 total'!$S$109</f>
        <v>0</v>
      </c>
    </row>
    <row r="3929" spans="1:10" x14ac:dyDescent="0.35">
      <c r="A3929" t="s">
        <v>15</v>
      </c>
      <c r="B3929" t="s">
        <v>33</v>
      </c>
      <c r="C3929" s="77" t="s">
        <v>93</v>
      </c>
      <c r="D3929" t="s">
        <v>81</v>
      </c>
      <c r="E3929" s="77" t="s">
        <v>101</v>
      </c>
      <c r="F3929" s="77" t="s">
        <v>73</v>
      </c>
      <c r="G3929" s="77" t="s">
        <v>74</v>
      </c>
      <c r="H3929" s="77" t="s">
        <v>113</v>
      </c>
      <c r="I3929" s="77" t="s">
        <v>84</v>
      </c>
      <c r="J3929" s="76" cm="1">
        <f t="array" ref="J3929:J3931">'SUT_EU27 total'!$S$117:$S$119</f>
        <v>0</v>
      </c>
    </row>
    <row r="3930" spans="1:10" x14ac:dyDescent="0.35">
      <c r="A3930" t="s">
        <v>15</v>
      </c>
      <c r="B3930" t="s">
        <v>33</v>
      </c>
      <c r="C3930" s="77" t="s">
        <v>93</v>
      </c>
      <c r="D3930" t="s">
        <v>81</v>
      </c>
      <c r="E3930" s="77" t="s">
        <v>104</v>
      </c>
      <c r="F3930" s="77" t="s">
        <v>73</v>
      </c>
      <c r="G3930" s="77" t="s">
        <v>74</v>
      </c>
      <c r="H3930" s="77" t="s">
        <v>113</v>
      </c>
      <c r="I3930" s="77" t="s">
        <v>84</v>
      </c>
      <c r="J3930" s="76">
        <v>0</v>
      </c>
    </row>
    <row r="3931" spans="1:10" x14ac:dyDescent="0.35">
      <c r="A3931" t="s">
        <v>15</v>
      </c>
      <c r="B3931" t="s">
        <v>33</v>
      </c>
      <c r="C3931" s="77" t="s">
        <v>93</v>
      </c>
      <c r="D3931" t="s">
        <v>81</v>
      </c>
      <c r="E3931" s="77" t="s">
        <v>106</v>
      </c>
      <c r="F3931" s="77" t="s">
        <v>73</v>
      </c>
      <c r="G3931" s="77" t="s">
        <v>74</v>
      </c>
      <c r="H3931" s="77" t="s">
        <v>113</v>
      </c>
      <c r="I3931" s="77" t="s">
        <v>84</v>
      </c>
      <c r="J3931" s="76">
        <v>0</v>
      </c>
    </row>
    <row r="3932" spans="1:10" x14ac:dyDescent="0.35">
      <c r="A3932" t="s">
        <v>15</v>
      </c>
      <c r="B3932" t="s">
        <v>33</v>
      </c>
      <c r="C3932" s="77" t="s">
        <v>73</v>
      </c>
      <c r="D3932" t="s">
        <v>74</v>
      </c>
      <c r="E3932" s="77" t="s">
        <v>123</v>
      </c>
      <c r="F3932" s="77" t="s">
        <v>73</v>
      </c>
      <c r="G3932" s="77" t="s">
        <v>81</v>
      </c>
      <c r="H3932" s="77" t="s">
        <v>115</v>
      </c>
      <c r="I3932" s="77" t="s">
        <v>84</v>
      </c>
      <c r="J3932" s="76" cm="1">
        <f t="array" ref="J3932:J3938">TRANSPOSE('2030 pathways'!$C$10:$I$10)</f>
        <v>0.1003</v>
      </c>
    </row>
    <row r="3933" spans="1:10" x14ac:dyDescent="0.35">
      <c r="A3933" t="s">
        <v>15</v>
      </c>
      <c r="B3933" t="s">
        <v>33</v>
      </c>
      <c r="C3933" s="77" t="s">
        <v>73</v>
      </c>
      <c r="D3933" t="s">
        <v>74</v>
      </c>
      <c r="E3933" s="77" t="s">
        <v>127</v>
      </c>
      <c r="F3933" s="77" t="s">
        <v>73</v>
      </c>
      <c r="G3933" s="77" t="s">
        <v>81</v>
      </c>
      <c r="H3933" s="77" t="s">
        <v>115</v>
      </c>
      <c r="I3933" s="77" t="s">
        <v>84</v>
      </c>
      <c r="J3933" s="76">
        <v>2.9499999999999998E-2</v>
      </c>
    </row>
    <row r="3934" spans="1:10" x14ac:dyDescent="0.35">
      <c r="A3934" t="s">
        <v>15</v>
      </c>
      <c r="B3934" t="s">
        <v>33</v>
      </c>
      <c r="C3934" s="77" t="s">
        <v>73</v>
      </c>
      <c r="D3934" t="s">
        <v>74</v>
      </c>
      <c r="E3934" s="77" t="s">
        <v>128</v>
      </c>
      <c r="F3934" s="77" t="s">
        <v>73</v>
      </c>
      <c r="G3934" s="77" t="s">
        <v>81</v>
      </c>
      <c r="H3934" s="77" t="s">
        <v>115</v>
      </c>
      <c r="I3934" s="77" t="s">
        <v>84</v>
      </c>
      <c r="J3934" s="76">
        <v>8.8499999999999995E-2</v>
      </c>
    </row>
    <row r="3935" spans="1:10" x14ac:dyDescent="0.35">
      <c r="A3935" t="s">
        <v>15</v>
      </c>
      <c r="B3935" t="s">
        <v>33</v>
      </c>
      <c r="C3935" s="77" t="s">
        <v>73</v>
      </c>
      <c r="D3935" t="s">
        <v>74</v>
      </c>
      <c r="E3935" s="77" t="s">
        <v>129</v>
      </c>
      <c r="F3935" s="77" t="s">
        <v>73</v>
      </c>
      <c r="G3935" s="77" t="s">
        <v>81</v>
      </c>
      <c r="H3935" s="77" t="s">
        <v>115</v>
      </c>
      <c r="I3935" s="77" t="s">
        <v>84</v>
      </c>
      <c r="J3935" s="76">
        <v>5.8999999999999999E-3</v>
      </c>
    </row>
    <row r="3936" spans="1:10" x14ac:dyDescent="0.35">
      <c r="A3936" t="s">
        <v>15</v>
      </c>
      <c r="B3936" t="s">
        <v>33</v>
      </c>
      <c r="C3936" s="77" t="s">
        <v>73</v>
      </c>
      <c r="D3936" t="s">
        <v>74</v>
      </c>
      <c r="E3936" s="77" t="s">
        <v>77</v>
      </c>
      <c r="F3936" s="77" t="s">
        <v>73</v>
      </c>
      <c r="G3936" s="77" t="s">
        <v>81</v>
      </c>
      <c r="H3936" s="77" t="s">
        <v>115</v>
      </c>
      <c r="I3936" s="77" t="s">
        <v>84</v>
      </c>
      <c r="J3936" s="76">
        <v>5.8999999999999999E-3</v>
      </c>
    </row>
    <row r="3937" spans="1:10" x14ac:dyDescent="0.35">
      <c r="A3937" t="s">
        <v>15</v>
      </c>
      <c r="B3937" t="s">
        <v>33</v>
      </c>
      <c r="C3937" s="77" t="s">
        <v>73</v>
      </c>
      <c r="D3937" t="s">
        <v>74</v>
      </c>
      <c r="E3937" s="77" t="s">
        <v>130</v>
      </c>
      <c r="F3937" s="77" t="s">
        <v>73</v>
      </c>
      <c r="G3937" s="77" t="s">
        <v>81</v>
      </c>
      <c r="H3937" s="77" t="s">
        <v>115</v>
      </c>
      <c r="I3937" s="77" t="s">
        <v>84</v>
      </c>
      <c r="J3937" s="76">
        <v>0.3599</v>
      </c>
    </row>
    <row r="3938" spans="1:10" x14ac:dyDescent="0.35">
      <c r="A3938" t="s">
        <v>15</v>
      </c>
      <c r="B3938" t="s">
        <v>33</v>
      </c>
      <c r="C3938" s="77" t="s">
        <v>73</v>
      </c>
      <c r="D3938" t="s">
        <v>74</v>
      </c>
      <c r="E3938" s="77" t="s">
        <v>132</v>
      </c>
      <c r="F3938" s="77" t="s">
        <v>73</v>
      </c>
      <c r="G3938" s="77" t="s">
        <v>81</v>
      </c>
      <c r="H3938" s="77" t="s">
        <v>115</v>
      </c>
      <c r="I3938" s="77" t="s">
        <v>84</v>
      </c>
      <c r="J3938" s="76">
        <v>0.41</v>
      </c>
    </row>
    <row r="3939" spans="1:10" x14ac:dyDescent="0.35">
      <c r="A3939" t="s">
        <v>15</v>
      </c>
      <c r="B3939" t="s">
        <v>33</v>
      </c>
      <c r="C3939" s="77" t="s">
        <v>73</v>
      </c>
      <c r="D3939" t="s">
        <v>74</v>
      </c>
      <c r="E3939" s="77" t="s">
        <v>133</v>
      </c>
      <c r="F3939" s="77" t="s">
        <v>73</v>
      </c>
      <c r="G3939" s="77" t="s">
        <v>81</v>
      </c>
      <c r="H3939" s="77" t="s">
        <v>115</v>
      </c>
      <c r="I3939" s="77" t="s">
        <v>84</v>
      </c>
      <c r="J3939" s="76">
        <v>0</v>
      </c>
    </row>
    <row r="3940" spans="1:10" x14ac:dyDescent="0.35">
      <c r="A3940" s="466" t="s">
        <v>15</v>
      </c>
      <c r="B3940" s="466" t="s">
        <v>31</v>
      </c>
      <c r="C3940" s="476" t="s">
        <v>73</v>
      </c>
      <c r="D3940" s="466" t="s">
        <v>81</v>
      </c>
      <c r="E3940" s="476" t="s">
        <v>115</v>
      </c>
      <c r="F3940" s="476" t="s">
        <v>73</v>
      </c>
      <c r="G3940" s="476" t="s">
        <v>74</v>
      </c>
      <c r="H3940" s="476" t="s">
        <v>102</v>
      </c>
      <c r="I3940" s="476" t="s">
        <v>84</v>
      </c>
      <c r="J3940" s="477" cm="1">
        <f t="array" ref="J3940:J3941">'SUT_EU27 total'!$J$19:$J$20</f>
        <v>11.828571428571427</v>
      </c>
    </row>
    <row r="3941" spans="1:10" x14ac:dyDescent="0.35">
      <c r="A3941" t="s">
        <v>15</v>
      </c>
      <c r="B3941" t="s">
        <v>31</v>
      </c>
      <c r="C3941" s="77" t="s">
        <v>73</v>
      </c>
      <c r="D3941" t="s">
        <v>81</v>
      </c>
      <c r="E3941" s="77" t="s">
        <v>116</v>
      </c>
      <c r="F3941" s="77" t="s">
        <v>73</v>
      </c>
      <c r="G3941" s="77" t="s">
        <v>74</v>
      </c>
      <c r="H3941" s="77" t="s">
        <v>102</v>
      </c>
      <c r="I3941" s="77" t="s">
        <v>84</v>
      </c>
      <c r="J3941" s="76">
        <v>3.3421988920214002E-2</v>
      </c>
    </row>
    <row r="3942" spans="1:10" x14ac:dyDescent="0.35">
      <c r="A3942" t="s">
        <v>15</v>
      </c>
      <c r="B3942" t="s">
        <v>31</v>
      </c>
      <c r="C3942" s="77" t="s">
        <v>73</v>
      </c>
      <c r="D3942" t="s">
        <v>81</v>
      </c>
      <c r="E3942" s="77" t="s">
        <v>117</v>
      </c>
      <c r="F3942" s="77" t="s">
        <v>73</v>
      </c>
      <c r="G3942" s="77" t="s">
        <v>74</v>
      </c>
      <c r="H3942" s="77" t="s">
        <v>102</v>
      </c>
      <c r="I3942" s="77" t="s">
        <v>84</v>
      </c>
      <c r="J3942" s="76">
        <f>'SUT_EU27 total'!$J$27</f>
        <v>20.996100000000002</v>
      </c>
    </row>
    <row r="3943" spans="1:10" x14ac:dyDescent="0.35">
      <c r="A3943" t="s">
        <v>15</v>
      </c>
      <c r="B3943" t="s">
        <v>31</v>
      </c>
      <c r="C3943" s="77" t="s">
        <v>73</v>
      </c>
      <c r="D3943" t="s">
        <v>81</v>
      </c>
      <c r="E3943" s="77" t="s">
        <v>101</v>
      </c>
      <c r="F3943" s="77" t="s">
        <v>73</v>
      </c>
      <c r="G3943" s="77" t="s">
        <v>74</v>
      </c>
      <c r="H3943" s="77" t="s">
        <v>102</v>
      </c>
      <c r="I3943" s="77" t="s">
        <v>84</v>
      </c>
      <c r="J3943" s="76" cm="1">
        <f t="array" ref="J3943:J3945">'SUT_EU27 total'!$J$32:$J$34</f>
        <v>0.13437998483817604</v>
      </c>
    </row>
    <row r="3944" spans="1:10" x14ac:dyDescent="0.35">
      <c r="A3944" t="s">
        <v>15</v>
      </c>
      <c r="B3944" t="s">
        <v>31</v>
      </c>
      <c r="C3944" s="77" t="s">
        <v>73</v>
      </c>
      <c r="D3944" t="s">
        <v>81</v>
      </c>
      <c r="E3944" s="77" t="s">
        <v>104</v>
      </c>
      <c r="F3944" s="77" t="s">
        <v>73</v>
      </c>
      <c r="G3944" s="77" t="s">
        <v>74</v>
      </c>
      <c r="H3944" s="77" t="s">
        <v>102</v>
      </c>
      <c r="I3944" s="77" t="s">
        <v>84</v>
      </c>
      <c r="J3944" s="76">
        <v>0.25443647306582401</v>
      </c>
    </row>
    <row r="3945" spans="1:10" x14ac:dyDescent="0.35">
      <c r="A3945" t="s">
        <v>15</v>
      </c>
      <c r="B3945" t="s">
        <v>31</v>
      </c>
      <c r="C3945" s="77" t="s">
        <v>73</v>
      </c>
      <c r="D3945" t="s">
        <v>81</v>
      </c>
      <c r="E3945" s="77" t="s">
        <v>106</v>
      </c>
      <c r="F3945" s="77" t="s">
        <v>73</v>
      </c>
      <c r="G3945" s="77" t="s">
        <v>74</v>
      </c>
      <c r="H3945" s="77" t="s">
        <v>102</v>
      </c>
      <c r="I3945" s="77" t="s">
        <v>84</v>
      </c>
      <c r="J3945" s="76">
        <v>0.86543018049599985</v>
      </c>
    </row>
    <row r="3946" spans="1:10" x14ac:dyDescent="0.35">
      <c r="A3946" t="s">
        <v>15</v>
      </c>
      <c r="B3946" t="s">
        <v>31</v>
      </c>
      <c r="C3946" s="77" t="s">
        <v>88</v>
      </c>
      <c r="D3946" t="s">
        <v>81</v>
      </c>
      <c r="E3946" s="77" t="s">
        <v>115</v>
      </c>
      <c r="F3946" s="77" t="s">
        <v>73</v>
      </c>
      <c r="G3946" s="77" t="s">
        <v>74</v>
      </c>
      <c r="H3946" s="77" t="s">
        <v>102</v>
      </c>
      <c r="I3946" s="77" t="s">
        <v>84</v>
      </c>
      <c r="J3946" s="76" cm="1">
        <f t="array" ref="J3946:J3947">'SUT_EU27 total'!$J$36:$J$37</f>
        <v>78.857142857142847</v>
      </c>
    </row>
    <row r="3947" spans="1:10" x14ac:dyDescent="0.35">
      <c r="A3947" t="s">
        <v>15</v>
      </c>
      <c r="B3947" t="s">
        <v>31</v>
      </c>
      <c r="C3947" s="77" t="s">
        <v>88</v>
      </c>
      <c r="D3947" t="s">
        <v>81</v>
      </c>
      <c r="E3947" s="77" t="s">
        <v>116</v>
      </c>
      <c r="F3947" s="77" t="s">
        <v>73</v>
      </c>
      <c r="G3947" s="77" t="s">
        <v>74</v>
      </c>
      <c r="H3947" s="77" t="s">
        <v>102</v>
      </c>
      <c r="I3947" s="77" t="s">
        <v>84</v>
      </c>
      <c r="J3947" s="76">
        <v>0.7862213561563367</v>
      </c>
    </row>
    <row r="3948" spans="1:10" x14ac:dyDescent="0.35">
      <c r="A3948" t="s">
        <v>15</v>
      </c>
      <c r="B3948" t="s">
        <v>31</v>
      </c>
      <c r="C3948" s="77" t="s">
        <v>88</v>
      </c>
      <c r="D3948" t="s">
        <v>81</v>
      </c>
      <c r="E3948" s="77" t="s">
        <v>117</v>
      </c>
      <c r="F3948" s="77" t="s">
        <v>73</v>
      </c>
      <c r="G3948" s="77" t="s">
        <v>74</v>
      </c>
      <c r="H3948" s="77" t="s">
        <v>102</v>
      </c>
      <c r="I3948" s="77" t="s">
        <v>84</v>
      </c>
      <c r="J3948" s="76">
        <f>'SUT_EU27 total'!$J$44</f>
        <v>286.26390000000004</v>
      </c>
    </row>
    <row r="3949" spans="1:10" x14ac:dyDescent="0.35">
      <c r="A3949" t="s">
        <v>15</v>
      </c>
      <c r="B3949" t="s">
        <v>31</v>
      </c>
      <c r="C3949" s="77" t="s">
        <v>88</v>
      </c>
      <c r="D3949" t="s">
        <v>81</v>
      </c>
      <c r="E3949" s="77" t="s">
        <v>101</v>
      </c>
      <c r="F3949" s="77" t="s">
        <v>73</v>
      </c>
      <c r="G3949" s="77" t="s">
        <v>74</v>
      </c>
      <c r="H3949" s="77" t="s">
        <v>102</v>
      </c>
      <c r="I3949" s="77" t="s">
        <v>84</v>
      </c>
      <c r="J3949" s="76" cm="1">
        <f t="array" ref="J3949:J3951">'SUT_EU27 total'!$J$49:$J$51</f>
        <v>0</v>
      </c>
    </row>
    <row r="3950" spans="1:10" x14ac:dyDescent="0.35">
      <c r="A3950" t="s">
        <v>15</v>
      </c>
      <c r="B3950" t="s">
        <v>31</v>
      </c>
      <c r="C3950" s="77" t="s">
        <v>88</v>
      </c>
      <c r="D3950" t="s">
        <v>81</v>
      </c>
      <c r="E3950" s="77" t="s">
        <v>104</v>
      </c>
      <c r="F3950" s="77" t="s">
        <v>73</v>
      </c>
      <c r="G3950" s="77" t="s">
        <v>74</v>
      </c>
      <c r="H3950" s="77" t="s">
        <v>102</v>
      </c>
      <c r="I3950" s="77" t="s">
        <v>84</v>
      </c>
      <c r="J3950" s="76">
        <v>0</v>
      </c>
    </row>
    <row r="3951" spans="1:10" x14ac:dyDescent="0.35">
      <c r="A3951" t="s">
        <v>15</v>
      </c>
      <c r="B3951" t="s">
        <v>31</v>
      </c>
      <c r="C3951" s="77" t="s">
        <v>88</v>
      </c>
      <c r="D3951" t="s">
        <v>81</v>
      </c>
      <c r="E3951" s="77" t="s">
        <v>106</v>
      </c>
      <c r="F3951" s="77" t="s">
        <v>73</v>
      </c>
      <c r="G3951" s="77" t="s">
        <v>74</v>
      </c>
      <c r="H3951" s="77" t="s">
        <v>102</v>
      </c>
      <c r="I3951" s="77" t="s">
        <v>84</v>
      </c>
      <c r="J3951" s="76">
        <v>0</v>
      </c>
    </row>
    <row r="3952" spans="1:10" x14ac:dyDescent="0.35">
      <c r="A3952" t="s">
        <v>15</v>
      </c>
      <c r="B3952" t="s">
        <v>31</v>
      </c>
      <c r="C3952" s="77" t="s">
        <v>90</v>
      </c>
      <c r="D3952" t="s">
        <v>81</v>
      </c>
      <c r="E3952" s="77" t="s">
        <v>115</v>
      </c>
      <c r="F3952" s="77" t="s">
        <v>73</v>
      </c>
      <c r="G3952" s="77" t="s">
        <v>74</v>
      </c>
      <c r="H3952" s="77" t="s">
        <v>102</v>
      </c>
      <c r="I3952" s="77" t="s">
        <v>84</v>
      </c>
      <c r="J3952" s="76" cm="1">
        <f t="array" ref="J3952:J3953">'SUT_EU27 total'!$J$53:$J$54</f>
        <v>7.7904761904761894</v>
      </c>
    </row>
    <row r="3953" spans="1:10" x14ac:dyDescent="0.35">
      <c r="A3953" t="s">
        <v>15</v>
      </c>
      <c r="B3953" t="s">
        <v>31</v>
      </c>
      <c r="C3953" s="77" t="s">
        <v>90</v>
      </c>
      <c r="D3953" t="s">
        <v>81</v>
      </c>
      <c r="E3953" s="77" t="s">
        <v>116</v>
      </c>
      <c r="F3953" s="77" t="s">
        <v>73</v>
      </c>
      <c r="G3953" s="77" t="s">
        <v>74</v>
      </c>
      <c r="H3953" s="77" t="s">
        <v>102</v>
      </c>
      <c r="I3953" s="77" t="s">
        <v>84</v>
      </c>
      <c r="J3953" s="76">
        <v>1.5473889063756709E-2</v>
      </c>
    </row>
    <row r="3954" spans="1:10" x14ac:dyDescent="0.35">
      <c r="A3954" t="s">
        <v>15</v>
      </c>
      <c r="B3954" t="s">
        <v>31</v>
      </c>
      <c r="C3954" s="77" t="s">
        <v>90</v>
      </c>
      <c r="D3954" t="s">
        <v>81</v>
      </c>
      <c r="E3954" s="77" t="s">
        <v>117</v>
      </c>
      <c r="F3954" s="77" t="s">
        <v>73</v>
      </c>
      <c r="G3954" s="77" t="s">
        <v>74</v>
      </c>
      <c r="H3954" s="77" t="s">
        <v>102</v>
      </c>
      <c r="I3954" s="77" t="s">
        <v>84</v>
      </c>
      <c r="J3954" s="76">
        <f>'SUT_EU27 total'!$J$61</f>
        <v>11.2662</v>
      </c>
    </row>
    <row r="3955" spans="1:10" x14ac:dyDescent="0.35">
      <c r="A3955" t="s">
        <v>15</v>
      </c>
      <c r="B3955" t="s">
        <v>31</v>
      </c>
      <c r="C3955" s="77" t="s">
        <v>90</v>
      </c>
      <c r="D3955" t="s">
        <v>81</v>
      </c>
      <c r="E3955" s="77" t="s">
        <v>101</v>
      </c>
      <c r="F3955" s="77" t="s">
        <v>73</v>
      </c>
      <c r="G3955" s="77" t="s">
        <v>74</v>
      </c>
      <c r="H3955" s="77" t="s">
        <v>102</v>
      </c>
      <c r="I3955" s="77" t="s">
        <v>84</v>
      </c>
      <c r="J3955" s="76" cm="1">
        <f t="array" ref="J3955:J3957">'SUT_EU27 total'!$J$66:$J$68</f>
        <v>0</v>
      </c>
    </row>
    <row r="3956" spans="1:10" x14ac:dyDescent="0.35">
      <c r="A3956" t="s">
        <v>15</v>
      </c>
      <c r="B3956" t="s">
        <v>31</v>
      </c>
      <c r="C3956" s="77" t="s">
        <v>90</v>
      </c>
      <c r="D3956" t="s">
        <v>81</v>
      </c>
      <c r="E3956" s="77" t="s">
        <v>104</v>
      </c>
      <c r="F3956" s="77" t="s">
        <v>73</v>
      </c>
      <c r="G3956" s="77" t="s">
        <v>74</v>
      </c>
      <c r="H3956" s="77" t="s">
        <v>102</v>
      </c>
      <c r="I3956" s="77" t="s">
        <v>84</v>
      </c>
      <c r="J3956" s="76">
        <v>0</v>
      </c>
    </row>
    <row r="3957" spans="1:10" x14ac:dyDescent="0.35">
      <c r="A3957" t="s">
        <v>15</v>
      </c>
      <c r="B3957" t="s">
        <v>31</v>
      </c>
      <c r="C3957" s="77" t="s">
        <v>90</v>
      </c>
      <c r="D3957" t="s">
        <v>81</v>
      </c>
      <c r="E3957" s="77" t="s">
        <v>106</v>
      </c>
      <c r="F3957" s="77" t="s">
        <v>73</v>
      </c>
      <c r="G3957" s="77" t="s">
        <v>74</v>
      </c>
      <c r="H3957" s="77" t="s">
        <v>102</v>
      </c>
      <c r="I3957" s="77" t="s">
        <v>84</v>
      </c>
      <c r="J3957" s="76">
        <v>0</v>
      </c>
    </row>
    <row r="3958" spans="1:10" x14ac:dyDescent="0.35">
      <c r="A3958" t="s">
        <v>15</v>
      </c>
      <c r="B3958" t="s">
        <v>31</v>
      </c>
      <c r="C3958" s="77" t="s">
        <v>91</v>
      </c>
      <c r="D3958" t="s">
        <v>81</v>
      </c>
      <c r="E3958" s="77" t="s">
        <v>115</v>
      </c>
      <c r="F3958" s="77" t="s">
        <v>73</v>
      </c>
      <c r="G3958" s="77" t="s">
        <v>74</v>
      </c>
      <c r="H3958" s="77" t="s">
        <v>102</v>
      </c>
      <c r="I3958" s="77" t="s">
        <v>84</v>
      </c>
      <c r="J3958" s="76" cm="1">
        <f t="array" ref="J3958:J3959">'SUT_EU27 total'!$J$70:$J$71</f>
        <v>15.771428571428569</v>
      </c>
    </row>
    <row r="3959" spans="1:10" x14ac:dyDescent="0.35">
      <c r="A3959" t="s">
        <v>15</v>
      </c>
      <c r="B3959" t="s">
        <v>31</v>
      </c>
      <c r="C3959" s="77" t="s">
        <v>91</v>
      </c>
      <c r="D3959" t="s">
        <v>81</v>
      </c>
      <c r="E3959" s="77" t="s">
        <v>116</v>
      </c>
      <c r="F3959" s="77" t="s">
        <v>73</v>
      </c>
      <c r="G3959" s="77" t="s">
        <v>74</v>
      </c>
      <c r="H3959" s="77" t="s">
        <v>102</v>
      </c>
      <c r="I3959" s="77" t="s">
        <v>84</v>
      </c>
      <c r="J3959" s="76">
        <v>8.7507175559917313E-2</v>
      </c>
    </row>
    <row r="3960" spans="1:10" x14ac:dyDescent="0.35">
      <c r="A3960" t="s">
        <v>15</v>
      </c>
      <c r="B3960" t="s">
        <v>31</v>
      </c>
      <c r="C3960" s="77" t="s">
        <v>91</v>
      </c>
      <c r="D3960" t="s">
        <v>81</v>
      </c>
      <c r="E3960" s="77" t="s">
        <v>117</v>
      </c>
      <c r="F3960" s="77" t="s">
        <v>73</v>
      </c>
      <c r="G3960" s="77" t="s">
        <v>74</v>
      </c>
      <c r="H3960" s="77" t="s">
        <v>102</v>
      </c>
      <c r="I3960" s="77" t="s">
        <v>84</v>
      </c>
      <c r="J3960" s="76">
        <f>'SUT_EU27 total'!$J$78</f>
        <v>41.4801</v>
      </c>
    </row>
    <row r="3961" spans="1:10" x14ac:dyDescent="0.35">
      <c r="A3961" t="s">
        <v>15</v>
      </c>
      <c r="B3961" t="s">
        <v>31</v>
      </c>
      <c r="C3961" s="77" t="s">
        <v>91</v>
      </c>
      <c r="D3961" t="s">
        <v>81</v>
      </c>
      <c r="E3961" s="77" t="s">
        <v>101</v>
      </c>
      <c r="F3961" s="77" t="s">
        <v>73</v>
      </c>
      <c r="G3961" s="77" t="s">
        <v>74</v>
      </c>
      <c r="H3961" s="77" t="s">
        <v>102</v>
      </c>
      <c r="I3961" s="77" t="s">
        <v>84</v>
      </c>
      <c r="J3961" s="76" cm="1">
        <f t="array" ref="J3961:J3963">'SUT_EU27 total'!$J$83:$J$85</f>
        <v>0</v>
      </c>
    </row>
    <row r="3962" spans="1:10" x14ac:dyDescent="0.35">
      <c r="A3962" t="s">
        <v>15</v>
      </c>
      <c r="B3962" t="s">
        <v>31</v>
      </c>
      <c r="C3962" s="77" t="s">
        <v>91</v>
      </c>
      <c r="D3962" t="s">
        <v>81</v>
      </c>
      <c r="E3962" s="77" t="s">
        <v>104</v>
      </c>
      <c r="F3962" s="77" t="s">
        <v>73</v>
      </c>
      <c r="G3962" s="77" t="s">
        <v>74</v>
      </c>
      <c r="H3962" s="77" t="s">
        <v>102</v>
      </c>
      <c r="I3962" s="77" t="s">
        <v>84</v>
      </c>
      <c r="J3962" s="76">
        <v>0</v>
      </c>
    </row>
    <row r="3963" spans="1:10" x14ac:dyDescent="0.35">
      <c r="A3963" t="s">
        <v>15</v>
      </c>
      <c r="B3963" t="s">
        <v>31</v>
      </c>
      <c r="C3963" s="77" t="s">
        <v>91</v>
      </c>
      <c r="D3963" t="s">
        <v>81</v>
      </c>
      <c r="E3963" s="77" t="s">
        <v>106</v>
      </c>
      <c r="F3963" s="77" t="s">
        <v>73</v>
      </c>
      <c r="G3963" s="77" t="s">
        <v>74</v>
      </c>
      <c r="H3963" s="77" t="s">
        <v>102</v>
      </c>
      <c r="I3963" s="77" t="s">
        <v>84</v>
      </c>
      <c r="J3963" s="76">
        <v>0</v>
      </c>
    </row>
    <row r="3964" spans="1:10" x14ac:dyDescent="0.35">
      <c r="A3964" t="s">
        <v>15</v>
      </c>
      <c r="B3964" t="s">
        <v>31</v>
      </c>
      <c r="C3964" s="77" t="s">
        <v>92</v>
      </c>
      <c r="D3964" t="s">
        <v>81</v>
      </c>
      <c r="E3964" s="77" t="s">
        <v>115</v>
      </c>
      <c r="F3964" s="77" t="s">
        <v>73</v>
      </c>
      <c r="G3964" s="77" t="s">
        <v>74</v>
      </c>
      <c r="H3964" s="77" t="s">
        <v>102</v>
      </c>
      <c r="I3964" s="77" t="s">
        <v>84</v>
      </c>
      <c r="J3964" s="76" cm="1">
        <f t="array" ref="J3964:J3965">'SUT_EU27 total'!$J$87:$J$88</f>
        <v>6.6239999999999997</v>
      </c>
    </row>
    <row r="3965" spans="1:10" x14ac:dyDescent="0.35">
      <c r="A3965" t="s">
        <v>15</v>
      </c>
      <c r="B3965" t="s">
        <v>31</v>
      </c>
      <c r="C3965" s="77" t="s">
        <v>92</v>
      </c>
      <c r="D3965" t="s">
        <v>81</v>
      </c>
      <c r="E3965" s="77" t="s">
        <v>116</v>
      </c>
      <c r="F3965" s="77" t="s">
        <v>73</v>
      </c>
      <c r="G3965" s="77" t="s">
        <v>74</v>
      </c>
      <c r="H3965" s="77" t="s">
        <v>102</v>
      </c>
      <c r="I3965" s="77" t="s">
        <v>84</v>
      </c>
      <c r="J3965" s="76">
        <v>6.0040746268656714E-2</v>
      </c>
    </row>
    <row r="3966" spans="1:10" x14ac:dyDescent="0.35">
      <c r="A3966" t="s">
        <v>15</v>
      </c>
      <c r="B3966" t="s">
        <v>31</v>
      </c>
      <c r="C3966" s="77" t="s">
        <v>92</v>
      </c>
      <c r="D3966" t="s">
        <v>81</v>
      </c>
      <c r="E3966" s="77" t="s">
        <v>117</v>
      </c>
      <c r="F3966" s="77" t="s">
        <v>73</v>
      </c>
      <c r="G3966" s="77" t="s">
        <v>74</v>
      </c>
      <c r="H3966" s="77" t="s">
        <v>102</v>
      </c>
      <c r="I3966" s="77" t="s">
        <v>84</v>
      </c>
      <c r="J3966" s="76">
        <f>'SUT_EU27 total'!$J$95</f>
        <v>13.3146</v>
      </c>
    </row>
    <row r="3967" spans="1:10" x14ac:dyDescent="0.35">
      <c r="A3967" t="s">
        <v>15</v>
      </c>
      <c r="B3967" t="s">
        <v>31</v>
      </c>
      <c r="C3967" s="77" t="s">
        <v>92</v>
      </c>
      <c r="D3967" t="s">
        <v>81</v>
      </c>
      <c r="E3967" s="77" t="s">
        <v>101</v>
      </c>
      <c r="F3967" s="77" t="s">
        <v>73</v>
      </c>
      <c r="G3967" s="77" t="s">
        <v>74</v>
      </c>
      <c r="H3967" s="77" t="s">
        <v>102</v>
      </c>
      <c r="I3967" s="77" t="s">
        <v>84</v>
      </c>
      <c r="J3967" s="76" cm="1">
        <f t="array" ref="J3967:J3969">'SUT_EU27 total'!$J$100:$J$102</f>
        <v>0</v>
      </c>
    </row>
    <row r="3968" spans="1:10" x14ac:dyDescent="0.35">
      <c r="A3968" t="s">
        <v>15</v>
      </c>
      <c r="B3968" t="s">
        <v>31</v>
      </c>
      <c r="C3968" s="77" t="s">
        <v>92</v>
      </c>
      <c r="D3968" t="s">
        <v>81</v>
      </c>
      <c r="E3968" s="77" t="s">
        <v>104</v>
      </c>
      <c r="F3968" s="77" t="s">
        <v>73</v>
      </c>
      <c r="G3968" s="77" t="s">
        <v>74</v>
      </c>
      <c r="H3968" s="77" t="s">
        <v>102</v>
      </c>
      <c r="I3968" s="77" t="s">
        <v>84</v>
      </c>
      <c r="J3968" s="76">
        <v>0</v>
      </c>
    </row>
    <row r="3969" spans="1:10" x14ac:dyDescent="0.35">
      <c r="A3969" t="s">
        <v>15</v>
      </c>
      <c r="B3969" t="s">
        <v>31</v>
      </c>
      <c r="C3969" s="77" t="s">
        <v>92</v>
      </c>
      <c r="D3969" t="s">
        <v>81</v>
      </c>
      <c r="E3969" s="77" t="s">
        <v>106</v>
      </c>
      <c r="F3969" s="77" t="s">
        <v>73</v>
      </c>
      <c r="G3969" s="77" t="s">
        <v>74</v>
      </c>
      <c r="H3969" s="77" t="s">
        <v>102</v>
      </c>
      <c r="I3969" s="77" t="s">
        <v>84</v>
      </c>
      <c r="J3969" s="76">
        <v>0</v>
      </c>
    </row>
    <row r="3970" spans="1:10" x14ac:dyDescent="0.35">
      <c r="A3970" t="s">
        <v>15</v>
      </c>
      <c r="B3970" t="s">
        <v>31</v>
      </c>
      <c r="C3970" s="77" t="s">
        <v>93</v>
      </c>
      <c r="D3970" t="s">
        <v>81</v>
      </c>
      <c r="E3970" s="77" t="s">
        <v>115</v>
      </c>
      <c r="F3970" s="77" t="s">
        <v>73</v>
      </c>
      <c r="G3970" s="77" t="s">
        <v>74</v>
      </c>
      <c r="H3970" s="77" t="s">
        <v>102</v>
      </c>
      <c r="I3970" s="77" t="s">
        <v>84</v>
      </c>
      <c r="J3970" s="76" cm="1">
        <f t="array" ref="J3970:J3971">'SUT_EU27 total'!$J$104:$J$105</f>
        <v>44.633142857142865</v>
      </c>
    </row>
    <row r="3971" spans="1:10" x14ac:dyDescent="0.35">
      <c r="A3971" t="s">
        <v>15</v>
      </c>
      <c r="B3971" t="s">
        <v>31</v>
      </c>
      <c r="C3971" s="77" t="s">
        <v>93</v>
      </c>
      <c r="D3971" t="s">
        <v>81</v>
      </c>
      <c r="E3971" s="77" t="s">
        <v>116</v>
      </c>
      <c r="F3971" s="77" t="s">
        <v>73</v>
      </c>
      <c r="G3971" s="77" t="s">
        <v>74</v>
      </c>
      <c r="H3971" s="77" t="s">
        <v>102</v>
      </c>
      <c r="I3971" s="77" t="s">
        <v>84</v>
      </c>
      <c r="J3971" s="76">
        <v>0.3673348440311186</v>
      </c>
    </row>
    <row r="3972" spans="1:10" x14ac:dyDescent="0.35">
      <c r="A3972" t="s">
        <v>15</v>
      </c>
      <c r="B3972" t="s">
        <v>31</v>
      </c>
      <c r="C3972" s="77" t="s">
        <v>93</v>
      </c>
      <c r="D3972" t="s">
        <v>81</v>
      </c>
      <c r="E3972" s="77" t="s">
        <v>117</v>
      </c>
      <c r="F3972" s="77" t="s">
        <v>73</v>
      </c>
      <c r="G3972" s="77" t="s">
        <v>74</v>
      </c>
      <c r="H3972" s="77" t="s">
        <v>102</v>
      </c>
      <c r="I3972" s="77" t="s">
        <v>84</v>
      </c>
      <c r="J3972" s="76">
        <f>'SUT_EU27 total'!$J$112</f>
        <v>138.77909999999997</v>
      </c>
    </row>
    <row r="3973" spans="1:10" x14ac:dyDescent="0.35">
      <c r="A3973" t="s">
        <v>15</v>
      </c>
      <c r="B3973" t="s">
        <v>31</v>
      </c>
      <c r="C3973" s="77" t="s">
        <v>93</v>
      </c>
      <c r="D3973" t="s">
        <v>81</v>
      </c>
      <c r="E3973" s="77" t="s">
        <v>101</v>
      </c>
      <c r="F3973" s="77" t="s">
        <v>73</v>
      </c>
      <c r="G3973" s="77" t="s">
        <v>74</v>
      </c>
      <c r="H3973" s="77" t="s">
        <v>102</v>
      </c>
      <c r="I3973" s="77" t="s">
        <v>84</v>
      </c>
      <c r="J3973" s="76" cm="1">
        <f t="array" ref="J3973:J3975">'SUT_EU27 total'!$J$117:$J$119</f>
        <v>0</v>
      </c>
    </row>
    <row r="3974" spans="1:10" x14ac:dyDescent="0.35">
      <c r="A3974" t="s">
        <v>15</v>
      </c>
      <c r="B3974" t="s">
        <v>31</v>
      </c>
      <c r="C3974" s="77" t="s">
        <v>93</v>
      </c>
      <c r="D3974" t="s">
        <v>81</v>
      </c>
      <c r="E3974" s="77" t="s">
        <v>104</v>
      </c>
      <c r="F3974" s="77" t="s">
        <v>73</v>
      </c>
      <c r="G3974" s="77" t="s">
        <v>74</v>
      </c>
      <c r="H3974" s="77" t="s">
        <v>102</v>
      </c>
      <c r="I3974" s="77" t="s">
        <v>84</v>
      </c>
      <c r="J3974" s="76">
        <v>0</v>
      </c>
    </row>
    <row r="3975" spans="1:10" x14ac:dyDescent="0.35">
      <c r="A3975" t="s">
        <v>15</v>
      </c>
      <c r="B3975" t="s">
        <v>31</v>
      </c>
      <c r="C3975" s="77" t="s">
        <v>93</v>
      </c>
      <c r="D3975" t="s">
        <v>81</v>
      </c>
      <c r="E3975" s="77" t="s">
        <v>106</v>
      </c>
      <c r="F3975" s="77" t="s">
        <v>73</v>
      </c>
      <c r="G3975" s="77" t="s">
        <v>74</v>
      </c>
      <c r="H3975" s="77" t="s">
        <v>102</v>
      </c>
      <c r="I3975" s="77" t="s">
        <v>84</v>
      </c>
      <c r="J3975" s="76">
        <v>0</v>
      </c>
    </row>
    <row r="3976" spans="1:10" x14ac:dyDescent="0.35">
      <c r="A3976" t="s">
        <v>15</v>
      </c>
      <c r="B3976" t="s">
        <v>31</v>
      </c>
      <c r="C3976" s="77" t="s">
        <v>73</v>
      </c>
      <c r="D3976" t="s">
        <v>81</v>
      </c>
      <c r="E3976" s="77" t="s">
        <v>118</v>
      </c>
      <c r="F3976" s="77" t="s">
        <v>73</v>
      </c>
      <c r="G3976" s="77" t="s">
        <v>74</v>
      </c>
      <c r="H3976" s="77" t="s">
        <v>108</v>
      </c>
      <c r="I3976" s="77" t="s">
        <v>84</v>
      </c>
      <c r="J3976" s="76" cm="1">
        <f t="array" ref="J3976:J3978">'SUT_EU27 total'!$K$21:$K$23</f>
        <v>1.4582562144772118E-3</v>
      </c>
    </row>
    <row r="3977" spans="1:10" x14ac:dyDescent="0.35">
      <c r="A3977" t="s">
        <v>15</v>
      </c>
      <c r="B3977" t="s">
        <v>31</v>
      </c>
      <c r="C3977" s="77" t="s">
        <v>73</v>
      </c>
      <c r="D3977" t="s">
        <v>81</v>
      </c>
      <c r="E3977" s="77" t="s">
        <v>119</v>
      </c>
      <c r="F3977" s="77" t="s">
        <v>73</v>
      </c>
      <c r="G3977" s="77" t="s">
        <v>74</v>
      </c>
      <c r="H3977" s="77" t="s">
        <v>108</v>
      </c>
      <c r="I3977" s="77" t="s">
        <v>84</v>
      </c>
      <c r="J3977" s="76">
        <v>8.4634636521458274E-4</v>
      </c>
    </row>
    <row r="3978" spans="1:10" x14ac:dyDescent="0.35">
      <c r="A3978" t="s">
        <v>15</v>
      </c>
      <c r="B3978" t="s">
        <v>31</v>
      </c>
      <c r="C3978" s="77" t="s">
        <v>73</v>
      </c>
      <c r="D3978" t="s">
        <v>81</v>
      </c>
      <c r="E3978" s="77" t="s">
        <v>120</v>
      </c>
      <c r="F3978" s="77" t="s">
        <v>73</v>
      </c>
      <c r="G3978" s="77" t="s">
        <v>74</v>
      </c>
      <c r="H3978" s="77" t="s">
        <v>108</v>
      </c>
      <c r="I3978" s="77" t="s">
        <v>84</v>
      </c>
      <c r="J3978" s="76">
        <v>1.2517329093179335E-4</v>
      </c>
    </row>
    <row r="3979" spans="1:10" x14ac:dyDescent="0.35">
      <c r="A3979" t="s">
        <v>15</v>
      </c>
      <c r="B3979" t="s">
        <v>31</v>
      </c>
      <c r="C3979" s="77" t="s">
        <v>73</v>
      </c>
      <c r="D3979" t="s">
        <v>81</v>
      </c>
      <c r="E3979" s="77" t="s">
        <v>121</v>
      </c>
      <c r="F3979" s="77" t="s">
        <v>73</v>
      </c>
      <c r="G3979" s="77" t="s">
        <v>74</v>
      </c>
      <c r="H3979" s="77" t="s">
        <v>108</v>
      </c>
      <c r="I3979" s="77" t="s">
        <v>84</v>
      </c>
      <c r="J3979" s="76">
        <f>'SUT_EU27 total'!$K$25</f>
        <v>6.9749679999999994E-2</v>
      </c>
    </row>
    <row r="3980" spans="1:10" x14ac:dyDescent="0.35">
      <c r="A3980" t="s">
        <v>15</v>
      </c>
      <c r="B3980" t="s">
        <v>31</v>
      </c>
      <c r="C3980" s="77" t="s">
        <v>73</v>
      </c>
      <c r="D3980" t="s">
        <v>81</v>
      </c>
      <c r="E3980" s="77" t="s">
        <v>117</v>
      </c>
      <c r="F3980" s="77" t="s">
        <v>73</v>
      </c>
      <c r="G3980" s="77" t="s">
        <v>74</v>
      </c>
      <c r="H3980" s="77" t="s">
        <v>108</v>
      </c>
      <c r="I3980" s="77" t="s">
        <v>84</v>
      </c>
      <c r="J3980" s="76">
        <f>'SUT_EU27 total'!$K$27</f>
        <v>1.1932942595726979E-3</v>
      </c>
    </row>
    <row r="3981" spans="1:10" x14ac:dyDescent="0.35">
      <c r="A3981" t="s">
        <v>15</v>
      </c>
      <c r="B3981" t="s">
        <v>31</v>
      </c>
      <c r="C3981" s="77" t="s">
        <v>73</v>
      </c>
      <c r="D3981" t="s">
        <v>81</v>
      </c>
      <c r="E3981" s="77" t="s">
        <v>122</v>
      </c>
      <c r="F3981" s="77" t="s">
        <v>73</v>
      </c>
      <c r="G3981" s="77" t="s">
        <v>74</v>
      </c>
      <c r="H3981" s="77" t="s">
        <v>108</v>
      </c>
      <c r="I3981" s="77" t="s">
        <v>84</v>
      </c>
      <c r="J3981" s="76">
        <f>'SUT_EU27 total'!$K$30</f>
        <v>1.5965533412604042E-3</v>
      </c>
    </row>
    <row r="3982" spans="1:10" x14ac:dyDescent="0.35">
      <c r="A3982" t="s">
        <v>15</v>
      </c>
      <c r="B3982" t="s">
        <v>31</v>
      </c>
      <c r="C3982" s="77" t="s">
        <v>73</v>
      </c>
      <c r="D3982" t="s">
        <v>81</v>
      </c>
      <c r="E3982" s="77" t="s">
        <v>101</v>
      </c>
      <c r="F3982" s="77" t="s">
        <v>73</v>
      </c>
      <c r="G3982" s="77" t="s">
        <v>74</v>
      </c>
      <c r="H3982" s="77" t="s">
        <v>108</v>
      </c>
      <c r="I3982" s="77" t="s">
        <v>84</v>
      </c>
      <c r="J3982" s="76" cm="1">
        <f t="array" ref="J3982:J3984">'SUT_EU27 total'!$K$32:$K$34</f>
        <v>2.4335351040000001E-4</v>
      </c>
    </row>
    <row r="3983" spans="1:10" x14ac:dyDescent="0.35">
      <c r="A3983" t="s">
        <v>15</v>
      </c>
      <c r="B3983" t="s">
        <v>31</v>
      </c>
      <c r="C3983" s="77" t="s">
        <v>73</v>
      </c>
      <c r="D3983" t="s">
        <v>81</v>
      </c>
      <c r="E3983" s="77" t="s">
        <v>104</v>
      </c>
      <c r="F3983" s="77" t="s">
        <v>73</v>
      </c>
      <c r="G3983" s="77" t="s">
        <v>74</v>
      </c>
      <c r="H3983" s="77" t="s">
        <v>108</v>
      </c>
      <c r="I3983" s="77" t="s">
        <v>84</v>
      </c>
      <c r="J3983" s="76">
        <v>4.6076808959999996E-4</v>
      </c>
    </row>
    <row r="3984" spans="1:10" x14ac:dyDescent="0.35">
      <c r="A3984" t="s">
        <v>15</v>
      </c>
      <c r="B3984" t="s">
        <v>31</v>
      </c>
      <c r="C3984" s="77" t="s">
        <v>73</v>
      </c>
      <c r="D3984" t="s">
        <v>81</v>
      </c>
      <c r="E3984" s="77" t="s">
        <v>106</v>
      </c>
      <c r="F3984" s="77" t="s">
        <v>73</v>
      </c>
      <c r="G3984" s="77" t="s">
        <v>74</v>
      </c>
      <c r="H3984" s="77" t="s">
        <v>108</v>
      </c>
      <c r="I3984" s="77" t="s">
        <v>84</v>
      </c>
      <c r="J3984" s="76">
        <v>1.5672383999999996E-3</v>
      </c>
    </row>
    <row r="3985" spans="1:10" x14ac:dyDescent="0.35">
      <c r="A3985" t="s">
        <v>15</v>
      </c>
      <c r="B3985" t="s">
        <v>31</v>
      </c>
      <c r="C3985" s="77" t="s">
        <v>88</v>
      </c>
      <c r="D3985" t="s">
        <v>81</v>
      </c>
      <c r="E3985" s="77" t="s">
        <v>118</v>
      </c>
      <c r="F3985" s="77" t="s">
        <v>73</v>
      </c>
      <c r="G3985" s="77" t="s">
        <v>74</v>
      </c>
      <c r="H3985" s="77" t="s">
        <v>108</v>
      </c>
      <c r="I3985" s="77" t="s">
        <v>84</v>
      </c>
      <c r="J3985" s="76" cm="1">
        <f t="array" ref="J3985:J3987">'SUT_EU27 total'!$K$38:$K$40</f>
        <v>3.3029309855227888E-2</v>
      </c>
    </row>
    <row r="3986" spans="1:10" x14ac:dyDescent="0.35">
      <c r="A3986" t="s">
        <v>15</v>
      </c>
      <c r="B3986" t="s">
        <v>31</v>
      </c>
      <c r="C3986" s="77" t="s">
        <v>88</v>
      </c>
      <c r="D3986" t="s">
        <v>81</v>
      </c>
      <c r="E3986" s="77" t="s">
        <v>119</v>
      </c>
      <c r="F3986" s="77" t="s">
        <v>73</v>
      </c>
      <c r="G3986" s="77" t="s">
        <v>74</v>
      </c>
      <c r="H3986" s="77" t="s">
        <v>108</v>
      </c>
      <c r="I3986" s="77" t="s">
        <v>84</v>
      </c>
      <c r="J3986" s="76">
        <v>6.9915569300335089E-3</v>
      </c>
    </row>
    <row r="3987" spans="1:10" x14ac:dyDescent="0.35">
      <c r="A3987" t="s">
        <v>15</v>
      </c>
      <c r="B3987" t="s">
        <v>31</v>
      </c>
      <c r="C3987" s="77" t="s">
        <v>88</v>
      </c>
      <c r="D3987" t="s">
        <v>81</v>
      </c>
      <c r="E3987" s="77" t="s">
        <v>120</v>
      </c>
      <c r="F3987" s="77" t="s">
        <v>73</v>
      </c>
      <c r="G3987" s="77" t="s">
        <v>74</v>
      </c>
      <c r="H3987" s="77" t="s">
        <v>108</v>
      </c>
      <c r="I3987" s="77" t="s">
        <v>84</v>
      </c>
      <c r="J3987" s="76">
        <v>1.5283979779928203E-3</v>
      </c>
    </row>
    <row r="3988" spans="1:10" x14ac:dyDescent="0.35">
      <c r="A3988" t="s">
        <v>15</v>
      </c>
      <c r="B3988" t="s">
        <v>31</v>
      </c>
      <c r="C3988" s="77" t="s">
        <v>88</v>
      </c>
      <c r="D3988" t="s">
        <v>81</v>
      </c>
      <c r="E3988" s="77" t="s">
        <v>121</v>
      </c>
      <c r="F3988" s="77" t="s">
        <v>73</v>
      </c>
      <c r="G3988" s="77" t="s">
        <v>74</v>
      </c>
      <c r="H3988" s="77" t="s">
        <v>108</v>
      </c>
      <c r="I3988" s="77" t="s">
        <v>84</v>
      </c>
      <c r="J3988" s="76">
        <f>'SUT_EU27 total'!$K$42</f>
        <v>0</v>
      </c>
    </row>
    <row r="3989" spans="1:10" x14ac:dyDescent="0.35">
      <c r="A3989" t="s">
        <v>15</v>
      </c>
      <c r="B3989" t="s">
        <v>31</v>
      </c>
      <c r="C3989" s="77" t="s">
        <v>88</v>
      </c>
      <c r="D3989" t="s">
        <v>81</v>
      </c>
      <c r="E3989" s="77" t="s">
        <v>117</v>
      </c>
      <c r="F3989" s="77" t="s">
        <v>73</v>
      </c>
      <c r="G3989" s="77" t="s">
        <v>74</v>
      </c>
      <c r="H3989" s="77" t="s">
        <v>108</v>
      </c>
      <c r="I3989" s="77" t="s">
        <v>84</v>
      </c>
      <c r="J3989" s="76">
        <f>'SUT_EU27 total'!$K$44</f>
        <v>9.9090099874062521E-4</v>
      </c>
    </row>
    <row r="3990" spans="1:10" x14ac:dyDescent="0.35">
      <c r="A3990" t="s">
        <v>15</v>
      </c>
      <c r="B3990" t="s">
        <v>31</v>
      </c>
      <c r="C3990" s="77" t="s">
        <v>88</v>
      </c>
      <c r="D3990" t="s">
        <v>81</v>
      </c>
      <c r="E3990" s="77" t="s">
        <v>122</v>
      </c>
      <c r="F3990" s="77" t="s">
        <v>73</v>
      </c>
      <c r="G3990" s="77" t="s">
        <v>74</v>
      </c>
      <c r="H3990" s="77" t="s">
        <v>108</v>
      </c>
      <c r="I3990" s="77" t="s">
        <v>84</v>
      </c>
      <c r="J3990" s="76">
        <f>'SUT_EU27 total'!$K$47</f>
        <v>0</v>
      </c>
    </row>
    <row r="3991" spans="1:10" x14ac:dyDescent="0.35">
      <c r="A3991" t="s">
        <v>15</v>
      </c>
      <c r="B3991" t="s">
        <v>31</v>
      </c>
      <c r="C3991" s="77" t="s">
        <v>88</v>
      </c>
      <c r="D3991" t="s">
        <v>81</v>
      </c>
      <c r="E3991" s="77" t="s">
        <v>101</v>
      </c>
      <c r="F3991" s="77" t="s">
        <v>73</v>
      </c>
      <c r="G3991" s="77" t="s">
        <v>74</v>
      </c>
      <c r="H3991" s="77" t="s">
        <v>108</v>
      </c>
      <c r="I3991" s="77" t="s">
        <v>84</v>
      </c>
      <c r="J3991" s="76" cm="1">
        <f t="array" ref="J3991:J3993">'SUT_EU27 total'!$K$49:$K$51</f>
        <v>0</v>
      </c>
    </row>
    <row r="3992" spans="1:10" x14ac:dyDescent="0.35">
      <c r="A3992" t="s">
        <v>15</v>
      </c>
      <c r="B3992" t="s">
        <v>31</v>
      </c>
      <c r="C3992" s="77" t="s">
        <v>88</v>
      </c>
      <c r="D3992" t="s">
        <v>81</v>
      </c>
      <c r="E3992" s="77" t="s">
        <v>104</v>
      </c>
      <c r="F3992" s="77" t="s">
        <v>73</v>
      </c>
      <c r="G3992" s="77" t="s">
        <v>74</v>
      </c>
      <c r="H3992" s="77" t="s">
        <v>108</v>
      </c>
      <c r="I3992" s="77" t="s">
        <v>84</v>
      </c>
      <c r="J3992" s="76">
        <v>0</v>
      </c>
    </row>
    <row r="3993" spans="1:10" x14ac:dyDescent="0.35">
      <c r="A3993" t="s">
        <v>15</v>
      </c>
      <c r="B3993" t="s">
        <v>31</v>
      </c>
      <c r="C3993" s="77" t="s">
        <v>88</v>
      </c>
      <c r="D3993" t="s">
        <v>81</v>
      </c>
      <c r="E3993" s="77" t="s">
        <v>106</v>
      </c>
      <c r="F3993" s="77" t="s">
        <v>73</v>
      </c>
      <c r="G3993" s="77" t="s">
        <v>74</v>
      </c>
      <c r="H3993" s="77" t="s">
        <v>108</v>
      </c>
      <c r="I3993" s="77" t="s">
        <v>84</v>
      </c>
      <c r="J3993" s="76">
        <v>0</v>
      </c>
    </row>
    <row r="3994" spans="1:10" x14ac:dyDescent="0.35">
      <c r="A3994" t="s">
        <v>15</v>
      </c>
      <c r="B3994" t="s">
        <v>31</v>
      </c>
      <c r="C3994" s="77" t="s">
        <v>90</v>
      </c>
      <c r="D3994" t="s">
        <v>81</v>
      </c>
      <c r="E3994" s="77" t="s">
        <v>118</v>
      </c>
      <c r="F3994" s="77" t="s">
        <v>73</v>
      </c>
      <c r="G3994" s="77" t="s">
        <v>74</v>
      </c>
      <c r="H3994" s="77" t="s">
        <v>108</v>
      </c>
      <c r="I3994" s="77" t="s">
        <v>84</v>
      </c>
      <c r="J3994" s="76" cm="1">
        <f t="array" ref="J3994:J3996">'SUT_EU27 total'!$K$55:$K$57</f>
        <v>4.323194595174263E-3</v>
      </c>
    </row>
    <row r="3995" spans="1:10" x14ac:dyDescent="0.35">
      <c r="A3995" t="s">
        <v>15</v>
      </c>
      <c r="B3995" t="s">
        <v>31</v>
      </c>
      <c r="C3995" s="77" t="s">
        <v>90</v>
      </c>
      <c r="D3995" t="s">
        <v>81</v>
      </c>
      <c r="E3995" s="77" t="s">
        <v>119</v>
      </c>
      <c r="F3995" s="77" t="s">
        <v>73</v>
      </c>
      <c r="G3995" s="77" t="s">
        <v>74</v>
      </c>
      <c r="H3995" s="77" t="s">
        <v>108</v>
      </c>
      <c r="I3995" s="77" t="s">
        <v>84</v>
      </c>
      <c r="J3995" s="76">
        <v>1.2800331672655335E-3</v>
      </c>
    </row>
    <row r="3996" spans="1:10" x14ac:dyDescent="0.35">
      <c r="A3996" t="s">
        <v>15</v>
      </c>
      <c r="B3996" t="s">
        <v>31</v>
      </c>
      <c r="C3996" s="77" t="s">
        <v>90</v>
      </c>
      <c r="D3996" t="s">
        <v>81</v>
      </c>
      <c r="E3996" s="77" t="s">
        <v>120</v>
      </c>
      <c r="F3996" s="77" t="s">
        <v>73</v>
      </c>
      <c r="G3996" s="77" t="s">
        <v>74</v>
      </c>
      <c r="H3996" s="77" t="s">
        <v>108</v>
      </c>
      <c r="I3996" s="77" t="s">
        <v>84</v>
      </c>
      <c r="J3996" s="76">
        <v>5.6700291220540041E-3</v>
      </c>
    </row>
    <row r="3997" spans="1:10" x14ac:dyDescent="0.35">
      <c r="A3997" t="s">
        <v>15</v>
      </c>
      <c r="B3997" t="s">
        <v>31</v>
      </c>
      <c r="C3997" s="77" t="s">
        <v>90</v>
      </c>
      <c r="D3997" t="s">
        <v>81</v>
      </c>
      <c r="E3997" s="77" t="s">
        <v>121</v>
      </c>
      <c r="F3997" s="77" t="s">
        <v>73</v>
      </c>
      <c r="G3997" s="77" t="s">
        <v>74</v>
      </c>
      <c r="H3997" s="77" t="s">
        <v>108</v>
      </c>
      <c r="I3997" s="77" t="s">
        <v>84</v>
      </c>
      <c r="J3997" s="76">
        <f>'SUT_EU27 total'!$K$59</f>
        <v>0</v>
      </c>
    </row>
    <row r="3998" spans="1:10" x14ac:dyDescent="0.35">
      <c r="A3998" t="s">
        <v>15</v>
      </c>
      <c r="B3998" t="s">
        <v>31</v>
      </c>
      <c r="C3998" s="77" t="s">
        <v>90</v>
      </c>
      <c r="D3998" t="s">
        <v>81</v>
      </c>
      <c r="E3998" s="77" t="s">
        <v>117</v>
      </c>
      <c r="F3998" s="77" t="s">
        <v>73</v>
      </c>
      <c r="G3998" s="77" t="s">
        <v>74</v>
      </c>
      <c r="H3998" s="77" t="s">
        <v>108</v>
      </c>
      <c r="I3998" s="77" t="s">
        <v>84</v>
      </c>
      <c r="J3998" s="76">
        <f>'SUT_EU27 total'!$K$61</f>
        <v>1.1930979242119881E-3</v>
      </c>
    </row>
    <row r="3999" spans="1:10" x14ac:dyDescent="0.35">
      <c r="A3999" t="s">
        <v>15</v>
      </c>
      <c r="B3999" t="s">
        <v>31</v>
      </c>
      <c r="C3999" s="77" t="s">
        <v>90</v>
      </c>
      <c r="D3999" t="s">
        <v>81</v>
      </c>
      <c r="E3999" s="77" t="s">
        <v>122</v>
      </c>
      <c r="F3999" s="77" t="s">
        <v>73</v>
      </c>
      <c r="G3999" s="77" t="s">
        <v>74</v>
      </c>
      <c r="H3999" s="77" t="s">
        <v>108</v>
      </c>
      <c r="I3999" s="77" t="s">
        <v>84</v>
      </c>
      <c r="J3999" s="76">
        <f>'SUT_EU27 total'!$K$64</f>
        <v>2.5776238002378116E-3</v>
      </c>
    </row>
    <row r="4000" spans="1:10" x14ac:dyDescent="0.35">
      <c r="A4000" t="s">
        <v>15</v>
      </c>
      <c r="B4000" t="s">
        <v>31</v>
      </c>
      <c r="C4000" s="77" t="s">
        <v>90</v>
      </c>
      <c r="D4000" t="s">
        <v>81</v>
      </c>
      <c r="E4000" s="77" t="s">
        <v>101</v>
      </c>
      <c r="F4000" s="77" t="s">
        <v>73</v>
      </c>
      <c r="G4000" s="77" t="s">
        <v>74</v>
      </c>
      <c r="H4000" s="77" t="s">
        <v>108</v>
      </c>
      <c r="I4000" s="77" t="s">
        <v>84</v>
      </c>
      <c r="J4000" s="76" cm="1">
        <f t="array" ref="J4000:J4002">'SUT_EU27 total'!$K$66:$K$68</f>
        <v>0</v>
      </c>
    </row>
    <row r="4001" spans="1:10" x14ac:dyDescent="0.35">
      <c r="A4001" t="s">
        <v>15</v>
      </c>
      <c r="B4001" t="s">
        <v>31</v>
      </c>
      <c r="C4001" s="77" t="s">
        <v>90</v>
      </c>
      <c r="D4001" t="s">
        <v>81</v>
      </c>
      <c r="E4001" s="77" t="s">
        <v>104</v>
      </c>
      <c r="F4001" s="77" t="s">
        <v>73</v>
      </c>
      <c r="G4001" s="77" t="s">
        <v>74</v>
      </c>
      <c r="H4001" s="77" t="s">
        <v>108</v>
      </c>
      <c r="I4001" s="77" t="s">
        <v>84</v>
      </c>
      <c r="J4001" s="76">
        <v>0</v>
      </c>
    </row>
    <row r="4002" spans="1:10" x14ac:dyDescent="0.35">
      <c r="A4002" t="s">
        <v>15</v>
      </c>
      <c r="B4002" t="s">
        <v>31</v>
      </c>
      <c r="C4002" s="77" t="s">
        <v>90</v>
      </c>
      <c r="D4002" t="s">
        <v>81</v>
      </c>
      <c r="E4002" s="77" t="s">
        <v>106</v>
      </c>
      <c r="F4002" s="77" t="s">
        <v>73</v>
      </c>
      <c r="G4002" s="77" t="s">
        <v>74</v>
      </c>
      <c r="H4002" s="77" t="s">
        <v>108</v>
      </c>
      <c r="I4002" s="77" t="s">
        <v>84</v>
      </c>
      <c r="J4002" s="76">
        <v>0</v>
      </c>
    </row>
    <row r="4003" spans="1:10" x14ac:dyDescent="0.35">
      <c r="A4003" t="s">
        <v>15</v>
      </c>
      <c r="B4003" t="s">
        <v>31</v>
      </c>
      <c r="C4003" s="77" t="s">
        <v>91</v>
      </c>
      <c r="D4003" t="s">
        <v>81</v>
      </c>
      <c r="E4003" s="77" t="s">
        <v>118</v>
      </c>
      <c r="F4003" s="77" t="s">
        <v>73</v>
      </c>
      <c r="G4003" s="77" t="s">
        <v>74</v>
      </c>
      <c r="H4003" s="77" t="s">
        <v>108</v>
      </c>
      <c r="I4003" s="77" t="s">
        <v>84</v>
      </c>
      <c r="J4003" s="76" cm="1">
        <f t="array" ref="J4003:J4005">'SUT_EU27 total'!$K$72:$K$74</f>
        <v>5.3791732332439677E-3</v>
      </c>
    </row>
    <row r="4004" spans="1:10" x14ac:dyDescent="0.35">
      <c r="A4004" t="s">
        <v>15</v>
      </c>
      <c r="B4004" t="s">
        <v>31</v>
      </c>
      <c r="C4004" s="77" t="s">
        <v>91</v>
      </c>
      <c r="D4004" t="s">
        <v>81</v>
      </c>
      <c r="E4004" s="77" t="s">
        <v>119</v>
      </c>
      <c r="F4004" s="77" t="s">
        <v>73</v>
      </c>
      <c r="G4004" s="77" t="s">
        <v>74</v>
      </c>
      <c r="H4004" s="77" t="s">
        <v>108</v>
      </c>
      <c r="I4004" s="77" t="s">
        <v>84</v>
      </c>
      <c r="J4004" s="76">
        <v>6.5526133182607291E-3</v>
      </c>
    </row>
    <row r="4005" spans="1:10" x14ac:dyDescent="0.35">
      <c r="A4005" t="s">
        <v>15</v>
      </c>
      <c r="B4005" t="s">
        <v>31</v>
      </c>
      <c r="C4005" s="77" t="s">
        <v>91</v>
      </c>
      <c r="D4005" t="s">
        <v>81</v>
      </c>
      <c r="E4005" s="77" t="s">
        <v>120</v>
      </c>
      <c r="F4005" s="77" t="s">
        <v>73</v>
      </c>
      <c r="G4005" s="77" t="s">
        <v>74</v>
      </c>
      <c r="H4005" s="77" t="s">
        <v>108</v>
      </c>
      <c r="I4005" s="77" t="s">
        <v>84</v>
      </c>
      <c r="J4005" s="76">
        <v>2.464950959887623E-4</v>
      </c>
    </row>
    <row r="4006" spans="1:10" x14ac:dyDescent="0.35">
      <c r="A4006" t="s">
        <v>15</v>
      </c>
      <c r="B4006" t="s">
        <v>31</v>
      </c>
      <c r="C4006" s="77" t="s">
        <v>91</v>
      </c>
      <c r="D4006" t="s">
        <v>81</v>
      </c>
      <c r="E4006" s="77" t="s">
        <v>121</v>
      </c>
      <c r="F4006" s="77" t="s">
        <v>73</v>
      </c>
      <c r="G4006" s="77" t="s">
        <v>74</v>
      </c>
      <c r="H4006" s="77" t="s">
        <v>108</v>
      </c>
      <c r="I4006" s="77" t="s">
        <v>84</v>
      </c>
      <c r="J4006" s="76">
        <f>'SUT_EU27 total'!$K$76</f>
        <v>0</v>
      </c>
    </row>
    <row r="4007" spans="1:10" x14ac:dyDescent="0.35">
      <c r="A4007" t="s">
        <v>15</v>
      </c>
      <c r="B4007" t="s">
        <v>31</v>
      </c>
      <c r="C4007" s="77" t="s">
        <v>91</v>
      </c>
      <c r="D4007" t="s">
        <v>81</v>
      </c>
      <c r="E4007" s="77" t="s">
        <v>117</v>
      </c>
      <c r="F4007" s="77" t="s">
        <v>73</v>
      </c>
      <c r="G4007" s="77" t="s">
        <v>74</v>
      </c>
      <c r="H4007" s="77" t="s">
        <v>108</v>
      </c>
      <c r="I4007" s="77" t="s">
        <v>84</v>
      </c>
      <c r="J4007" s="76">
        <f>'SUT_EU27 total'!$K$78</f>
        <v>1.1485683451306521E-3</v>
      </c>
    </row>
    <row r="4008" spans="1:10" x14ac:dyDescent="0.35">
      <c r="A4008" t="s">
        <v>15</v>
      </c>
      <c r="B4008" t="s">
        <v>31</v>
      </c>
      <c r="C4008" s="77" t="s">
        <v>91</v>
      </c>
      <c r="D4008" t="s">
        <v>81</v>
      </c>
      <c r="E4008" s="77" t="s">
        <v>122</v>
      </c>
      <c r="F4008" s="77" t="s">
        <v>73</v>
      </c>
      <c r="G4008" s="77" t="s">
        <v>74</v>
      </c>
      <c r="H4008" s="77" t="s">
        <v>108</v>
      </c>
      <c r="I4008" s="77" t="s">
        <v>84</v>
      </c>
      <c r="J4008" s="76">
        <f>'SUT_EU27 total'!$K$81</f>
        <v>0</v>
      </c>
    </row>
    <row r="4009" spans="1:10" x14ac:dyDescent="0.35">
      <c r="A4009" t="s">
        <v>15</v>
      </c>
      <c r="B4009" t="s">
        <v>31</v>
      </c>
      <c r="C4009" s="77" t="s">
        <v>91</v>
      </c>
      <c r="D4009" t="s">
        <v>81</v>
      </c>
      <c r="E4009" s="77" t="s">
        <v>101</v>
      </c>
      <c r="F4009" s="77" t="s">
        <v>73</v>
      </c>
      <c r="G4009" s="77" t="s">
        <v>74</v>
      </c>
      <c r="H4009" s="77" t="s">
        <v>108</v>
      </c>
      <c r="I4009" s="77" t="s">
        <v>84</v>
      </c>
      <c r="J4009" s="76" cm="1">
        <f t="array" ref="J4009:J4011">'SUT_EU27 total'!$K$83:$K$85</f>
        <v>0</v>
      </c>
    </row>
    <row r="4010" spans="1:10" x14ac:dyDescent="0.35">
      <c r="A4010" t="s">
        <v>15</v>
      </c>
      <c r="B4010" t="s">
        <v>31</v>
      </c>
      <c r="C4010" s="77" t="s">
        <v>91</v>
      </c>
      <c r="D4010" t="s">
        <v>81</v>
      </c>
      <c r="E4010" s="77" t="s">
        <v>104</v>
      </c>
      <c r="F4010" s="77" t="s">
        <v>73</v>
      </c>
      <c r="G4010" s="77" t="s">
        <v>74</v>
      </c>
      <c r="H4010" s="77" t="s">
        <v>108</v>
      </c>
      <c r="I4010" s="77" t="s">
        <v>84</v>
      </c>
      <c r="J4010" s="76">
        <v>0</v>
      </c>
    </row>
    <row r="4011" spans="1:10" x14ac:dyDescent="0.35">
      <c r="A4011" t="s">
        <v>15</v>
      </c>
      <c r="B4011" t="s">
        <v>31</v>
      </c>
      <c r="C4011" s="77" t="s">
        <v>91</v>
      </c>
      <c r="D4011" t="s">
        <v>81</v>
      </c>
      <c r="E4011" s="77" t="s">
        <v>106</v>
      </c>
      <c r="F4011" s="77" t="s">
        <v>73</v>
      </c>
      <c r="G4011" s="77" t="s">
        <v>74</v>
      </c>
      <c r="H4011" s="77" t="s">
        <v>108</v>
      </c>
      <c r="I4011" s="77" t="s">
        <v>84</v>
      </c>
      <c r="J4011" s="76">
        <v>0</v>
      </c>
    </row>
    <row r="4012" spans="1:10" x14ac:dyDescent="0.35">
      <c r="A4012" t="s">
        <v>15</v>
      </c>
      <c r="B4012" t="s">
        <v>31</v>
      </c>
      <c r="C4012" s="77" t="s">
        <v>92</v>
      </c>
      <c r="D4012" t="s">
        <v>81</v>
      </c>
      <c r="E4012" s="77" t="s">
        <v>118</v>
      </c>
      <c r="F4012" s="77" t="s">
        <v>73</v>
      </c>
      <c r="G4012" s="77" t="s">
        <v>74</v>
      </c>
      <c r="H4012" s="77" t="s">
        <v>108</v>
      </c>
      <c r="I4012" s="77" t="s">
        <v>84</v>
      </c>
      <c r="J4012" s="76" cm="1">
        <f t="array" ref="J4012:J4014">'SUT_EU27 total'!$K$89:$K$91</f>
        <v>3.3497344343163542E-3</v>
      </c>
    </row>
    <row r="4013" spans="1:10" x14ac:dyDescent="0.35">
      <c r="A4013" t="s">
        <v>15</v>
      </c>
      <c r="B4013" t="s">
        <v>31</v>
      </c>
      <c r="C4013" s="77" t="s">
        <v>92</v>
      </c>
      <c r="D4013" t="s">
        <v>81</v>
      </c>
      <c r="E4013" s="77" t="s">
        <v>119</v>
      </c>
      <c r="F4013" s="77" t="s">
        <v>73</v>
      </c>
      <c r="G4013" s="77" t="s">
        <v>74</v>
      </c>
      <c r="H4013" s="77" t="s">
        <v>108</v>
      </c>
      <c r="I4013" s="77" t="s">
        <v>84</v>
      </c>
      <c r="J4013" s="76">
        <v>6.0269323460777589E-3</v>
      </c>
    </row>
    <row r="4014" spans="1:10" x14ac:dyDescent="0.35">
      <c r="A4014" t="s">
        <v>15</v>
      </c>
      <c r="B4014" t="s">
        <v>31</v>
      </c>
      <c r="C4014" s="77" t="s">
        <v>92</v>
      </c>
      <c r="D4014" t="s">
        <v>81</v>
      </c>
      <c r="E4014" s="77" t="s">
        <v>120</v>
      </c>
      <c r="F4014" s="77" t="s">
        <v>73</v>
      </c>
      <c r="G4014" s="77" t="s">
        <v>74</v>
      </c>
      <c r="H4014" s="77" t="s">
        <v>108</v>
      </c>
      <c r="I4014" s="77" t="s">
        <v>84</v>
      </c>
      <c r="J4014" s="76">
        <v>4.0947713992508196E-3</v>
      </c>
    </row>
    <row r="4015" spans="1:10" x14ac:dyDescent="0.35">
      <c r="A4015" t="s">
        <v>15</v>
      </c>
      <c r="B4015" t="s">
        <v>31</v>
      </c>
      <c r="C4015" s="77" t="s">
        <v>92</v>
      </c>
      <c r="D4015" t="s">
        <v>81</v>
      </c>
      <c r="E4015" s="77" t="s">
        <v>121</v>
      </c>
      <c r="F4015" s="77" t="s">
        <v>73</v>
      </c>
      <c r="G4015" s="77" t="s">
        <v>74</v>
      </c>
      <c r="H4015" s="77" t="s">
        <v>108</v>
      </c>
      <c r="I4015" s="77" t="s">
        <v>84</v>
      </c>
      <c r="J4015" s="76">
        <f>'SUT_EU27 total'!$K$93</f>
        <v>0</v>
      </c>
    </row>
    <row r="4016" spans="1:10" x14ac:dyDescent="0.35">
      <c r="A4016" t="s">
        <v>15</v>
      </c>
      <c r="B4016" t="s">
        <v>31</v>
      </c>
      <c r="C4016" s="77" t="s">
        <v>92</v>
      </c>
      <c r="D4016" t="s">
        <v>81</v>
      </c>
      <c r="E4016" s="77" t="s">
        <v>117</v>
      </c>
      <c r="F4016" s="77" t="s">
        <v>73</v>
      </c>
      <c r="G4016" s="77" t="s">
        <v>74</v>
      </c>
      <c r="H4016" s="77" t="s">
        <v>108</v>
      </c>
      <c r="I4016" s="77" t="s">
        <v>84</v>
      </c>
      <c r="J4016" s="76">
        <f>'SUT_EU27 total'!$K$95</f>
        <v>0</v>
      </c>
    </row>
    <row r="4017" spans="1:10" x14ac:dyDescent="0.35">
      <c r="A4017" t="s">
        <v>15</v>
      </c>
      <c r="B4017" t="s">
        <v>31</v>
      </c>
      <c r="C4017" s="77" t="s">
        <v>92</v>
      </c>
      <c r="D4017" t="s">
        <v>81</v>
      </c>
      <c r="E4017" s="77" t="s">
        <v>122</v>
      </c>
      <c r="F4017" s="77" t="s">
        <v>73</v>
      </c>
      <c r="G4017" s="77" t="s">
        <v>74</v>
      </c>
      <c r="H4017" s="77" t="s">
        <v>108</v>
      </c>
      <c r="I4017" s="77" t="s">
        <v>84</v>
      </c>
      <c r="J4017" s="76">
        <f>'SUT_EU27 total'!$K$98</f>
        <v>0</v>
      </c>
    </row>
    <row r="4018" spans="1:10" x14ac:dyDescent="0.35">
      <c r="A4018" t="s">
        <v>15</v>
      </c>
      <c r="B4018" t="s">
        <v>31</v>
      </c>
      <c r="C4018" s="77" t="s">
        <v>92</v>
      </c>
      <c r="D4018" t="s">
        <v>81</v>
      </c>
      <c r="E4018" s="77" t="s">
        <v>101</v>
      </c>
      <c r="F4018" s="77" t="s">
        <v>73</v>
      </c>
      <c r="G4018" s="77" t="s">
        <v>74</v>
      </c>
      <c r="H4018" s="77" t="s">
        <v>108</v>
      </c>
      <c r="I4018" s="77" t="s">
        <v>84</v>
      </c>
      <c r="J4018" s="76" cm="1">
        <f t="array" ref="J4018:J4020">'SUT_EU27 total'!$K$100:$K$102</f>
        <v>0</v>
      </c>
    </row>
    <row r="4019" spans="1:10" x14ac:dyDescent="0.35">
      <c r="A4019" t="s">
        <v>15</v>
      </c>
      <c r="B4019" t="s">
        <v>31</v>
      </c>
      <c r="C4019" s="77" t="s">
        <v>92</v>
      </c>
      <c r="D4019" t="s">
        <v>81</v>
      </c>
      <c r="E4019" s="77" t="s">
        <v>104</v>
      </c>
      <c r="F4019" s="77" t="s">
        <v>73</v>
      </c>
      <c r="G4019" s="77" t="s">
        <v>74</v>
      </c>
      <c r="H4019" s="77" t="s">
        <v>108</v>
      </c>
      <c r="I4019" s="77" t="s">
        <v>84</v>
      </c>
      <c r="J4019" s="76">
        <v>0</v>
      </c>
    </row>
    <row r="4020" spans="1:10" x14ac:dyDescent="0.35">
      <c r="A4020" t="s">
        <v>15</v>
      </c>
      <c r="B4020" t="s">
        <v>31</v>
      </c>
      <c r="C4020" s="77" t="s">
        <v>92</v>
      </c>
      <c r="D4020" t="s">
        <v>81</v>
      </c>
      <c r="E4020" s="77" t="s">
        <v>106</v>
      </c>
      <c r="F4020" s="77" t="s">
        <v>73</v>
      </c>
      <c r="G4020" s="77" t="s">
        <v>74</v>
      </c>
      <c r="H4020" s="77" t="s">
        <v>108</v>
      </c>
      <c r="I4020" s="77" t="s">
        <v>84</v>
      </c>
      <c r="J4020" s="76">
        <v>0</v>
      </c>
    </row>
    <row r="4021" spans="1:10" x14ac:dyDescent="0.35">
      <c r="A4021" t="s">
        <v>15</v>
      </c>
      <c r="B4021" t="s">
        <v>31</v>
      </c>
      <c r="C4021" s="77" t="s">
        <v>93</v>
      </c>
      <c r="D4021" t="s">
        <v>81</v>
      </c>
      <c r="E4021" s="77" t="s">
        <v>118</v>
      </c>
      <c r="F4021" s="77" t="s">
        <v>73</v>
      </c>
      <c r="G4021" s="77" t="s">
        <v>74</v>
      </c>
      <c r="H4021" s="77" t="s">
        <v>108</v>
      </c>
      <c r="I4021" s="77" t="s">
        <v>84</v>
      </c>
      <c r="J4021" s="76" cm="1">
        <f t="array" ref="J4021:J4023">'SUT_EU27 total'!$K$106:$K$108</f>
        <v>1.4980971667560324E-2</v>
      </c>
    </row>
    <row r="4022" spans="1:10" x14ac:dyDescent="0.35">
      <c r="A4022" t="s">
        <v>15</v>
      </c>
      <c r="B4022" t="s">
        <v>31</v>
      </c>
      <c r="C4022" s="77" t="s">
        <v>93</v>
      </c>
      <c r="D4022" t="s">
        <v>81</v>
      </c>
      <c r="E4022" s="77" t="s">
        <v>119</v>
      </c>
      <c r="F4022" s="77" t="s">
        <v>73</v>
      </c>
      <c r="G4022" s="77" t="s">
        <v>74</v>
      </c>
      <c r="H4022" s="77" t="s">
        <v>108</v>
      </c>
      <c r="I4022" s="77" t="s">
        <v>84</v>
      </c>
      <c r="J4022" s="76">
        <v>4.3405477873147885E-2</v>
      </c>
    </row>
    <row r="4023" spans="1:10" x14ac:dyDescent="0.35">
      <c r="A4023" t="s">
        <v>15</v>
      </c>
      <c r="B4023" t="s">
        <v>31</v>
      </c>
      <c r="C4023" s="77" t="s">
        <v>93</v>
      </c>
      <c r="D4023" t="s">
        <v>81</v>
      </c>
      <c r="E4023" s="77" t="s">
        <v>120</v>
      </c>
      <c r="F4023" s="77" t="s">
        <v>73</v>
      </c>
      <c r="G4023" s="77" t="s">
        <v>74</v>
      </c>
      <c r="H4023" s="77" t="s">
        <v>108</v>
      </c>
      <c r="I4023" s="77" t="s">
        <v>84</v>
      </c>
      <c r="J4023" s="76">
        <v>2.1237093113781802E-2</v>
      </c>
    </row>
    <row r="4024" spans="1:10" x14ac:dyDescent="0.35">
      <c r="A4024" t="s">
        <v>15</v>
      </c>
      <c r="B4024" t="s">
        <v>31</v>
      </c>
      <c r="C4024" s="77" t="s">
        <v>93</v>
      </c>
      <c r="D4024" t="s">
        <v>81</v>
      </c>
      <c r="E4024" s="77" t="s">
        <v>121</v>
      </c>
      <c r="F4024" s="77" t="s">
        <v>73</v>
      </c>
      <c r="G4024" s="77" t="s">
        <v>74</v>
      </c>
      <c r="H4024" s="77" t="s">
        <v>108</v>
      </c>
      <c r="I4024" s="77" t="s">
        <v>84</v>
      </c>
      <c r="J4024" s="76">
        <f>'SUT_EU27 total'!$K$110</f>
        <v>0</v>
      </c>
    </row>
    <row r="4025" spans="1:10" x14ac:dyDescent="0.35">
      <c r="A4025" t="s">
        <v>15</v>
      </c>
      <c r="B4025" t="s">
        <v>31</v>
      </c>
      <c r="C4025" s="77" t="s">
        <v>93</v>
      </c>
      <c r="D4025" t="s">
        <v>81</v>
      </c>
      <c r="E4025" s="77" t="s">
        <v>117</v>
      </c>
      <c r="F4025" s="77" t="s">
        <v>73</v>
      </c>
      <c r="G4025" s="77" t="s">
        <v>74</v>
      </c>
      <c r="H4025" s="77" t="s">
        <v>108</v>
      </c>
      <c r="I4025" s="77" t="s">
        <v>84</v>
      </c>
      <c r="J4025" s="76">
        <f>'SUT_EU27 total'!$K$112</f>
        <v>1.1930984723440377E-3</v>
      </c>
    </row>
    <row r="4026" spans="1:10" x14ac:dyDescent="0.35">
      <c r="A4026" t="s">
        <v>15</v>
      </c>
      <c r="B4026" t="s">
        <v>31</v>
      </c>
      <c r="C4026" s="77" t="s">
        <v>93</v>
      </c>
      <c r="D4026" t="s">
        <v>81</v>
      </c>
      <c r="E4026" s="77" t="s">
        <v>122</v>
      </c>
      <c r="F4026" s="77" t="s">
        <v>73</v>
      </c>
      <c r="G4026" s="77" t="s">
        <v>74</v>
      </c>
      <c r="H4026" s="77" t="s">
        <v>108</v>
      </c>
      <c r="I4026" s="77" t="s">
        <v>84</v>
      </c>
      <c r="J4026" s="76">
        <f>'SUT_EU27 total'!$K$115</f>
        <v>8.7987828585017833E-3</v>
      </c>
    </row>
    <row r="4027" spans="1:10" x14ac:dyDescent="0.35">
      <c r="A4027" t="s">
        <v>15</v>
      </c>
      <c r="B4027" t="s">
        <v>31</v>
      </c>
      <c r="C4027" s="77" t="s">
        <v>93</v>
      </c>
      <c r="D4027" t="s">
        <v>81</v>
      </c>
      <c r="E4027" s="77" t="s">
        <v>101</v>
      </c>
      <c r="F4027" s="77" t="s">
        <v>73</v>
      </c>
      <c r="G4027" s="77" t="s">
        <v>74</v>
      </c>
      <c r="H4027" s="77" t="s">
        <v>108</v>
      </c>
      <c r="I4027" s="77" t="s">
        <v>84</v>
      </c>
      <c r="J4027" s="76" cm="1">
        <f t="array" ref="J4027:J4029">'SUT_EU27 total'!$K$117:$K$119</f>
        <v>0</v>
      </c>
    </row>
    <row r="4028" spans="1:10" x14ac:dyDescent="0.35">
      <c r="A4028" t="s">
        <v>15</v>
      </c>
      <c r="B4028" t="s">
        <v>31</v>
      </c>
      <c r="C4028" s="77" t="s">
        <v>93</v>
      </c>
      <c r="D4028" t="s">
        <v>81</v>
      </c>
      <c r="E4028" s="77" t="s">
        <v>104</v>
      </c>
      <c r="F4028" s="77" t="s">
        <v>73</v>
      </c>
      <c r="G4028" s="77" t="s">
        <v>74</v>
      </c>
      <c r="H4028" s="77" t="s">
        <v>108</v>
      </c>
      <c r="I4028" s="77" t="s">
        <v>84</v>
      </c>
      <c r="J4028" s="76">
        <v>0</v>
      </c>
    </row>
    <row r="4029" spans="1:10" x14ac:dyDescent="0.35">
      <c r="A4029" t="s">
        <v>15</v>
      </c>
      <c r="B4029" t="s">
        <v>31</v>
      </c>
      <c r="C4029" s="77" t="s">
        <v>93</v>
      </c>
      <c r="D4029" t="s">
        <v>81</v>
      </c>
      <c r="E4029" s="77" t="s">
        <v>106</v>
      </c>
      <c r="F4029" s="77" t="s">
        <v>73</v>
      </c>
      <c r="G4029" s="77" t="s">
        <v>74</v>
      </c>
      <c r="H4029" s="77" t="s">
        <v>108</v>
      </c>
      <c r="I4029" s="77" t="s">
        <v>84</v>
      </c>
      <c r="J4029" s="76">
        <v>0</v>
      </c>
    </row>
    <row r="4030" spans="1:10" x14ac:dyDescent="0.35">
      <c r="A4030" t="s">
        <v>15</v>
      </c>
      <c r="B4030" t="s">
        <v>31</v>
      </c>
      <c r="C4030" s="77" t="s">
        <v>73</v>
      </c>
      <c r="D4030" t="s">
        <v>81</v>
      </c>
      <c r="E4030" s="77" t="s">
        <v>119</v>
      </c>
      <c r="F4030" s="77" t="s">
        <v>73</v>
      </c>
      <c r="G4030" s="77" t="s">
        <v>74</v>
      </c>
      <c r="H4030" s="77" t="s">
        <v>123</v>
      </c>
      <c r="I4030" s="77" t="s">
        <v>84</v>
      </c>
      <c r="J4030" s="76">
        <f>'SUT_EU27 total'!$L$22</f>
        <v>1.9500181678711294E-2</v>
      </c>
    </row>
    <row r="4031" spans="1:10" x14ac:dyDescent="0.35">
      <c r="A4031" t="s">
        <v>15</v>
      </c>
      <c r="B4031" t="s">
        <v>31</v>
      </c>
      <c r="C4031" s="77" t="s">
        <v>73</v>
      </c>
      <c r="D4031" t="s">
        <v>81</v>
      </c>
      <c r="E4031" s="77" t="s">
        <v>124</v>
      </c>
      <c r="F4031" s="77" t="s">
        <v>73</v>
      </c>
      <c r="G4031" s="77" t="s">
        <v>74</v>
      </c>
      <c r="H4031" s="77" t="s">
        <v>123</v>
      </c>
      <c r="I4031" s="77" t="s">
        <v>84</v>
      </c>
      <c r="J4031" s="76" cm="1">
        <f t="array" ref="J4031:J4039">'SUT_EU27 total'!$L$26:$L$34</f>
        <v>1.9404661061278542E-3</v>
      </c>
    </row>
    <row r="4032" spans="1:10" x14ac:dyDescent="0.35">
      <c r="A4032" t="s">
        <v>15</v>
      </c>
      <c r="B4032" t="s">
        <v>31</v>
      </c>
      <c r="C4032" s="77" t="s">
        <v>73</v>
      </c>
      <c r="D4032" t="s">
        <v>81</v>
      </c>
      <c r="E4032" s="77" t="s">
        <v>117</v>
      </c>
      <c r="F4032" s="77" t="s">
        <v>73</v>
      </c>
      <c r="G4032" s="77" t="s">
        <v>74</v>
      </c>
      <c r="H4032" s="77" t="s">
        <v>123</v>
      </c>
      <c r="I4032" s="77" t="s">
        <v>84</v>
      </c>
      <c r="J4032" s="76">
        <v>5.8423628191201782E-3</v>
      </c>
    </row>
    <row r="4033" spans="1:11" x14ac:dyDescent="0.35">
      <c r="A4033" t="s">
        <v>15</v>
      </c>
      <c r="B4033" t="s">
        <v>31</v>
      </c>
      <c r="C4033" s="77" t="s">
        <v>73</v>
      </c>
      <c r="D4033" t="s">
        <v>81</v>
      </c>
      <c r="E4033" s="77" t="s">
        <v>82</v>
      </c>
      <c r="F4033" s="77" t="s">
        <v>73</v>
      </c>
      <c r="G4033" s="77" t="s">
        <v>74</v>
      </c>
      <c r="H4033" s="77" t="s">
        <v>123</v>
      </c>
      <c r="I4033" s="77" t="s">
        <v>84</v>
      </c>
      <c r="J4033" s="76">
        <v>4.8981233243967828E-4</v>
      </c>
    </row>
    <row r="4034" spans="1:11" x14ac:dyDescent="0.35">
      <c r="A4034" t="s">
        <v>15</v>
      </c>
      <c r="B4034" t="s">
        <v>31</v>
      </c>
      <c r="C4034" s="77" t="s">
        <v>73</v>
      </c>
      <c r="D4034" t="s">
        <v>81</v>
      </c>
      <c r="E4034" s="77" t="s">
        <v>125</v>
      </c>
      <c r="F4034" s="77" t="s">
        <v>73</v>
      </c>
      <c r="G4034" s="77" t="s">
        <v>74</v>
      </c>
      <c r="H4034" s="77" t="s">
        <v>123</v>
      </c>
      <c r="I4034" s="77" t="s">
        <v>84</v>
      </c>
      <c r="J4034" s="76">
        <v>2.4658201215687387E-3</v>
      </c>
    </row>
    <row r="4035" spans="1:11" x14ac:dyDescent="0.35">
      <c r="A4035" t="s">
        <v>15</v>
      </c>
      <c r="B4035" t="s">
        <v>31</v>
      </c>
      <c r="C4035" s="77" t="s">
        <v>73</v>
      </c>
      <c r="D4035" t="s">
        <v>81</v>
      </c>
      <c r="E4035" s="77" t="s">
        <v>122</v>
      </c>
      <c r="F4035" s="77" t="s">
        <v>73</v>
      </c>
      <c r="G4035" s="77" t="s">
        <v>74</v>
      </c>
      <c r="H4035" s="77" t="s">
        <v>123</v>
      </c>
      <c r="I4035" s="77" t="s">
        <v>84</v>
      </c>
      <c r="J4035" s="76">
        <v>4.922711058263972E-4</v>
      </c>
    </row>
    <row r="4036" spans="1:11" x14ac:dyDescent="0.35">
      <c r="A4036" t="s">
        <v>15</v>
      </c>
      <c r="B4036" t="s">
        <v>31</v>
      </c>
      <c r="C4036" s="77" t="s">
        <v>73</v>
      </c>
      <c r="D4036" t="s">
        <v>81</v>
      </c>
      <c r="E4036" s="77" t="s">
        <v>126</v>
      </c>
      <c r="F4036" s="77" t="s">
        <v>73</v>
      </c>
      <c r="G4036" s="77" t="s">
        <v>74</v>
      </c>
      <c r="H4036" s="77" t="s">
        <v>123</v>
      </c>
      <c r="I4036" s="77" t="s">
        <v>84</v>
      </c>
      <c r="J4036" s="76">
        <v>0</v>
      </c>
    </row>
    <row r="4037" spans="1:11" x14ac:dyDescent="0.35">
      <c r="A4037" t="s">
        <v>15</v>
      </c>
      <c r="B4037" t="s">
        <v>31</v>
      </c>
      <c r="C4037" s="77" t="s">
        <v>73</v>
      </c>
      <c r="D4037" t="s">
        <v>81</v>
      </c>
      <c r="E4037" s="77" t="s">
        <v>101</v>
      </c>
      <c r="F4037" s="77" t="s">
        <v>73</v>
      </c>
      <c r="G4037" s="77" t="s">
        <v>74</v>
      </c>
      <c r="H4037" s="77" t="s">
        <v>123</v>
      </c>
      <c r="I4037" s="77" t="s">
        <v>84</v>
      </c>
      <c r="J4037" s="76">
        <v>3.7860913795851507E-4</v>
      </c>
    </row>
    <row r="4038" spans="1:11" x14ac:dyDescent="0.35">
      <c r="A4038" t="s">
        <v>15</v>
      </c>
      <c r="B4038" t="s">
        <v>31</v>
      </c>
      <c r="C4038" s="77" t="s">
        <v>73</v>
      </c>
      <c r="D4038" t="s">
        <v>81</v>
      </c>
      <c r="E4038" s="77" t="s">
        <v>104</v>
      </c>
      <c r="F4038" s="77" t="s">
        <v>73</v>
      </c>
      <c r="G4038" s="77" t="s">
        <v>74</v>
      </c>
      <c r="H4038" s="77" t="s">
        <v>123</v>
      </c>
      <c r="I4038" s="77" t="s">
        <v>84</v>
      </c>
      <c r="J4038" s="76">
        <v>7.1686251377883477E-4</v>
      </c>
      <c r="K4038" s="72"/>
    </row>
    <row r="4039" spans="1:11" x14ac:dyDescent="0.35">
      <c r="A4039" t="s">
        <v>15</v>
      </c>
      <c r="B4039" t="s">
        <v>31</v>
      </c>
      <c r="C4039" s="77" t="s">
        <v>73</v>
      </c>
      <c r="D4039" t="s">
        <v>81</v>
      </c>
      <c r="E4039" s="77" t="s">
        <v>106</v>
      </c>
      <c r="F4039" s="77" t="s">
        <v>73</v>
      </c>
      <c r="G4039" s="77" t="s">
        <v>74</v>
      </c>
      <c r="H4039" s="77" t="s">
        <v>123</v>
      </c>
      <c r="I4039" s="77" t="s">
        <v>84</v>
      </c>
      <c r="J4039" s="76">
        <v>2.438307869996036E-3</v>
      </c>
    </row>
    <row r="4040" spans="1:11" x14ac:dyDescent="0.35">
      <c r="A4040" t="s">
        <v>15</v>
      </c>
      <c r="B4040" t="s">
        <v>31</v>
      </c>
      <c r="C4040" s="77" t="s">
        <v>88</v>
      </c>
      <c r="D4040" t="s">
        <v>81</v>
      </c>
      <c r="E4040" s="77" t="s">
        <v>119</v>
      </c>
      <c r="F4040" s="77" t="s">
        <v>73</v>
      </c>
      <c r="G4040" s="77" t="s">
        <v>74</v>
      </c>
      <c r="H4040" s="77" t="s">
        <v>123</v>
      </c>
      <c r="I4040" s="77" t="s">
        <v>84</v>
      </c>
      <c r="J4040" s="76">
        <f>'SUT_EU27 total'!$L$39</f>
        <v>0.16108845734587587</v>
      </c>
    </row>
    <row r="4041" spans="1:11" x14ac:dyDescent="0.35">
      <c r="A4041" t="s">
        <v>15</v>
      </c>
      <c r="B4041" t="s">
        <v>31</v>
      </c>
      <c r="C4041" s="77" t="s">
        <v>88</v>
      </c>
      <c r="D4041" t="s">
        <v>81</v>
      </c>
      <c r="E4041" s="77" t="s">
        <v>124</v>
      </c>
      <c r="F4041" s="77" t="s">
        <v>73</v>
      </c>
      <c r="G4041" s="77" t="s">
        <v>74</v>
      </c>
      <c r="H4041" s="77" t="s">
        <v>123</v>
      </c>
      <c r="I4041" s="77" t="s">
        <v>84</v>
      </c>
      <c r="J4041" s="76" cm="1">
        <f t="array" ref="J4041:J4049">'SUT_EU27 total'!$M$43:$M$51</f>
        <v>5.0558836222750793E-4</v>
      </c>
    </row>
    <row r="4042" spans="1:11" x14ac:dyDescent="0.35">
      <c r="A4042" t="s">
        <v>15</v>
      </c>
      <c r="B4042" t="s">
        <v>31</v>
      </c>
      <c r="C4042" s="77" t="s">
        <v>88</v>
      </c>
      <c r="D4042" t="s">
        <v>81</v>
      </c>
      <c r="E4042" s="77" t="s">
        <v>117</v>
      </c>
      <c r="F4042" s="77" t="s">
        <v>73</v>
      </c>
      <c r="G4042" s="77" t="s">
        <v>74</v>
      </c>
      <c r="H4042" s="77" t="s">
        <v>123</v>
      </c>
      <c r="I4042" s="77" t="s">
        <v>84</v>
      </c>
      <c r="J4042" s="76">
        <v>4.8514464106651379E-3</v>
      </c>
    </row>
    <row r="4043" spans="1:11" x14ac:dyDescent="0.35">
      <c r="A4043" t="s">
        <v>15</v>
      </c>
      <c r="B4043" t="s">
        <v>31</v>
      </c>
      <c r="C4043" s="77" t="s">
        <v>88</v>
      </c>
      <c r="D4043" t="s">
        <v>81</v>
      </c>
      <c r="E4043" s="77" t="s">
        <v>82</v>
      </c>
      <c r="F4043" s="77" t="s">
        <v>73</v>
      </c>
      <c r="G4043" s="77" t="s">
        <v>74</v>
      </c>
      <c r="H4043" s="77" t="s">
        <v>123</v>
      </c>
      <c r="I4043" s="77" t="s">
        <v>84</v>
      </c>
      <c r="J4043" s="76">
        <v>1.109418436791091E-2</v>
      </c>
    </row>
    <row r="4044" spans="1:11" x14ac:dyDescent="0.35">
      <c r="A4044" t="s">
        <v>15</v>
      </c>
      <c r="B4044" t="s">
        <v>31</v>
      </c>
      <c r="C4044" s="77" t="s">
        <v>88</v>
      </c>
      <c r="D4044" t="s">
        <v>81</v>
      </c>
      <c r="E4044" s="77" t="s">
        <v>125</v>
      </c>
      <c r="F4044" s="77" t="s">
        <v>73</v>
      </c>
      <c r="G4044" s="77" t="s">
        <v>74</v>
      </c>
      <c r="H4044" s="77" t="s">
        <v>123</v>
      </c>
      <c r="I4044" s="77" t="s">
        <v>84</v>
      </c>
      <c r="J4044" s="76">
        <v>2.890870278990243E-5</v>
      </c>
    </row>
    <row r="4045" spans="1:11" x14ac:dyDescent="0.35">
      <c r="A4045" t="s">
        <v>15</v>
      </c>
      <c r="B4045" t="s">
        <v>31</v>
      </c>
      <c r="C4045" s="77" t="s">
        <v>88</v>
      </c>
      <c r="D4045" t="s">
        <v>81</v>
      </c>
      <c r="E4045" s="77" t="s">
        <v>122</v>
      </c>
      <c r="F4045" s="77" t="s">
        <v>73</v>
      </c>
      <c r="G4045" s="77" t="s">
        <v>74</v>
      </c>
      <c r="H4045" s="77" t="s">
        <v>123</v>
      </c>
      <c r="I4045" s="77" t="s">
        <v>84</v>
      </c>
      <c r="J4045" s="76">
        <v>0</v>
      </c>
    </row>
    <row r="4046" spans="1:11" x14ac:dyDescent="0.35">
      <c r="A4046" t="s">
        <v>15</v>
      </c>
      <c r="B4046" t="s">
        <v>31</v>
      </c>
      <c r="C4046" s="77" t="s">
        <v>88</v>
      </c>
      <c r="D4046" t="s">
        <v>81</v>
      </c>
      <c r="E4046" s="77" t="s">
        <v>126</v>
      </c>
      <c r="F4046" s="77" t="s">
        <v>73</v>
      </c>
      <c r="G4046" s="77" t="s">
        <v>74</v>
      </c>
      <c r="H4046" s="77" t="s">
        <v>123</v>
      </c>
      <c r="I4046" s="77" t="s">
        <v>84</v>
      </c>
      <c r="J4046" s="76">
        <v>2.8514320987501449E-3</v>
      </c>
    </row>
    <row r="4047" spans="1:11" x14ac:dyDescent="0.35">
      <c r="A4047" t="s">
        <v>15</v>
      </c>
      <c r="B4047" t="s">
        <v>31</v>
      </c>
      <c r="C4047" s="77" t="s">
        <v>88</v>
      </c>
      <c r="D4047" t="s">
        <v>81</v>
      </c>
      <c r="E4047" s="77" t="s">
        <v>101</v>
      </c>
      <c r="F4047" s="77" t="s">
        <v>73</v>
      </c>
      <c r="G4047" s="77" t="s">
        <v>74</v>
      </c>
      <c r="H4047" s="77" t="s">
        <v>123</v>
      </c>
      <c r="I4047" s="77" t="s">
        <v>84</v>
      </c>
      <c r="J4047" s="76">
        <v>0</v>
      </c>
    </row>
    <row r="4048" spans="1:11" x14ac:dyDescent="0.35">
      <c r="A4048" t="s">
        <v>15</v>
      </c>
      <c r="B4048" t="s">
        <v>31</v>
      </c>
      <c r="C4048" s="77" t="s">
        <v>88</v>
      </c>
      <c r="D4048" t="s">
        <v>81</v>
      </c>
      <c r="E4048" s="77" t="s">
        <v>104</v>
      </c>
      <c r="F4048" s="77" t="s">
        <v>73</v>
      </c>
      <c r="G4048" s="77" t="s">
        <v>74</v>
      </c>
      <c r="H4048" s="77" t="s">
        <v>123</v>
      </c>
      <c r="I4048" s="77" t="s">
        <v>84</v>
      </c>
      <c r="J4048" s="76">
        <v>0</v>
      </c>
    </row>
    <row r="4049" spans="1:10" x14ac:dyDescent="0.35">
      <c r="A4049" t="s">
        <v>15</v>
      </c>
      <c r="B4049" t="s">
        <v>31</v>
      </c>
      <c r="C4049" s="77" t="s">
        <v>88</v>
      </c>
      <c r="D4049" t="s">
        <v>81</v>
      </c>
      <c r="E4049" s="77" t="s">
        <v>106</v>
      </c>
      <c r="F4049" s="77" t="s">
        <v>73</v>
      </c>
      <c r="G4049" s="77" t="s">
        <v>74</v>
      </c>
      <c r="H4049" s="77" t="s">
        <v>123</v>
      </c>
      <c r="I4049" s="77" t="s">
        <v>84</v>
      </c>
      <c r="J4049" s="76">
        <v>0</v>
      </c>
    </row>
    <row r="4050" spans="1:10" x14ac:dyDescent="0.35">
      <c r="A4050" t="s">
        <v>15</v>
      </c>
      <c r="B4050" t="s">
        <v>31</v>
      </c>
      <c r="C4050" s="77" t="s">
        <v>90</v>
      </c>
      <c r="D4050" t="s">
        <v>81</v>
      </c>
      <c r="E4050" s="77" t="s">
        <v>119</v>
      </c>
      <c r="F4050" s="77" t="s">
        <v>73</v>
      </c>
      <c r="G4050" s="77" t="s">
        <v>74</v>
      </c>
      <c r="H4050" s="77" t="s">
        <v>123</v>
      </c>
      <c r="I4050" s="77" t="s">
        <v>84</v>
      </c>
      <c r="J4050" s="76">
        <f>'SUT_EU27 total'!$M$56</f>
        <v>2.949251079979006E-2</v>
      </c>
    </row>
    <row r="4051" spans="1:10" x14ac:dyDescent="0.35">
      <c r="A4051" t="s">
        <v>15</v>
      </c>
      <c r="B4051" t="s">
        <v>31</v>
      </c>
      <c r="C4051" s="77" t="s">
        <v>90</v>
      </c>
      <c r="D4051" t="s">
        <v>81</v>
      </c>
      <c r="E4051" s="77" t="s">
        <v>124</v>
      </c>
      <c r="F4051" s="77" t="s">
        <v>73</v>
      </c>
      <c r="G4051" s="77" t="s">
        <v>74</v>
      </c>
      <c r="H4051" s="77" t="s">
        <v>123</v>
      </c>
      <c r="I4051" s="77" t="s">
        <v>84</v>
      </c>
      <c r="J4051" s="76" cm="1">
        <f t="array" ref="J4051:J4059">'SUT_EU27 total'!$L$60:$L$68</f>
        <v>2.1047443073980527E-5</v>
      </c>
    </row>
    <row r="4052" spans="1:10" x14ac:dyDescent="0.35">
      <c r="A4052" t="s">
        <v>15</v>
      </c>
      <c r="B4052" t="s">
        <v>31</v>
      </c>
      <c r="C4052" s="77" t="s">
        <v>90</v>
      </c>
      <c r="D4052" t="s">
        <v>81</v>
      </c>
      <c r="E4052" s="77" t="s">
        <v>117</v>
      </c>
      <c r="F4052" s="77" t="s">
        <v>73</v>
      </c>
      <c r="G4052" s="77" t="s">
        <v>74</v>
      </c>
      <c r="H4052" s="77" t="s">
        <v>123</v>
      </c>
      <c r="I4052" s="77" t="s">
        <v>84</v>
      </c>
      <c r="J4052" s="76">
        <v>5.8414015621608938E-3</v>
      </c>
    </row>
    <row r="4053" spans="1:10" x14ac:dyDescent="0.35">
      <c r="A4053" t="s">
        <v>15</v>
      </c>
      <c r="B4053" t="s">
        <v>31</v>
      </c>
      <c r="C4053" s="77" t="s">
        <v>90</v>
      </c>
      <c r="D4053" t="s">
        <v>81</v>
      </c>
      <c r="E4053" s="77" t="s">
        <v>82</v>
      </c>
      <c r="F4053" s="77" t="s">
        <v>73</v>
      </c>
      <c r="G4053" s="77" t="s">
        <v>74</v>
      </c>
      <c r="H4053" s="77" t="s">
        <v>123</v>
      </c>
      <c r="I4053" s="77" t="s">
        <v>84</v>
      </c>
      <c r="J4053" s="76">
        <v>1.4521138379047227E-3</v>
      </c>
    </row>
    <row r="4054" spans="1:10" x14ac:dyDescent="0.35">
      <c r="A4054" t="s">
        <v>15</v>
      </c>
      <c r="B4054" t="s">
        <v>31</v>
      </c>
      <c r="C4054" s="77" t="s">
        <v>90</v>
      </c>
      <c r="D4054" t="s">
        <v>81</v>
      </c>
      <c r="E4054" s="77" t="s">
        <v>125</v>
      </c>
      <c r="F4054" s="77" t="s">
        <v>73</v>
      </c>
      <c r="G4054" s="77" t="s">
        <v>74</v>
      </c>
      <c r="H4054" s="77" t="s">
        <v>123</v>
      </c>
      <c r="I4054" s="77" t="s">
        <v>84</v>
      </c>
      <c r="J4054" s="76">
        <v>6.5130870114372285E-5</v>
      </c>
    </row>
    <row r="4055" spans="1:10" x14ac:dyDescent="0.35">
      <c r="A4055" t="s">
        <v>15</v>
      </c>
      <c r="B4055" t="s">
        <v>31</v>
      </c>
      <c r="C4055" s="77" t="s">
        <v>90</v>
      </c>
      <c r="D4055" t="s">
        <v>81</v>
      </c>
      <c r="E4055" s="77" t="s">
        <v>122</v>
      </c>
      <c r="F4055" s="77" t="s">
        <v>73</v>
      </c>
      <c r="G4055" s="77" t="s">
        <v>74</v>
      </c>
      <c r="H4055" s="77" t="s">
        <v>123</v>
      </c>
      <c r="I4055" s="77" t="s">
        <v>84</v>
      </c>
      <c r="J4055" s="76">
        <v>7.9476813317479189E-4</v>
      </c>
    </row>
    <row r="4056" spans="1:10" x14ac:dyDescent="0.35">
      <c r="A4056" t="s">
        <v>15</v>
      </c>
      <c r="B4056" t="s">
        <v>31</v>
      </c>
      <c r="C4056" s="77" t="s">
        <v>90</v>
      </c>
      <c r="D4056" t="s">
        <v>81</v>
      </c>
      <c r="E4056" s="77" t="s">
        <v>126</v>
      </c>
      <c r="F4056" s="77" t="s">
        <v>73</v>
      </c>
      <c r="G4056" s="77" t="s">
        <v>74</v>
      </c>
      <c r="H4056" s="77" t="s">
        <v>123</v>
      </c>
      <c r="I4056" s="77" t="s">
        <v>84</v>
      </c>
      <c r="J4056" s="76">
        <v>8.4821183458843076E-3</v>
      </c>
    </row>
    <row r="4057" spans="1:10" x14ac:dyDescent="0.35">
      <c r="A4057" t="s">
        <v>15</v>
      </c>
      <c r="B4057" t="s">
        <v>31</v>
      </c>
      <c r="C4057" s="77" t="s">
        <v>90</v>
      </c>
      <c r="D4057" t="s">
        <v>81</v>
      </c>
      <c r="E4057" s="77" t="s">
        <v>101</v>
      </c>
      <c r="F4057" s="77" t="s">
        <v>73</v>
      </c>
      <c r="G4057" s="77" t="s">
        <v>74</v>
      </c>
      <c r="H4057" s="77" t="s">
        <v>123</v>
      </c>
      <c r="I4057" s="77" t="s">
        <v>84</v>
      </c>
      <c r="J4057" s="76">
        <v>0</v>
      </c>
    </row>
    <row r="4058" spans="1:10" x14ac:dyDescent="0.35">
      <c r="A4058" t="s">
        <v>15</v>
      </c>
      <c r="B4058" t="s">
        <v>31</v>
      </c>
      <c r="C4058" s="77" t="s">
        <v>90</v>
      </c>
      <c r="D4058" t="s">
        <v>81</v>
      </c>
      <c r="E4058" s="77" t="s">
        <v>104</v>
      </c>
      <c r="F4058" s="77" t="s">
        <v>73</v>
      </c>
      <c r="G4058" s="77" t="s">
        <v>74</v>
      </c>
      <c r="H4058" s="77" t="s">
        <v>123</v>
      </c>
      <c r="I4058" s="77" t="s">
        <v>84</v>
      </c>
      <c r="J4058" s="76">
        <v>0</v>
      </c>
    </row>
    <row r="4059" spans="1:10" x14ac:dyDescent="0.35">
      <c r="A4059" t="s">
        <v>15</v>
      </c>
      <c r="B4059" t="s">
        <v>31</v>
      </c>
      <c r="C4059" s="77" t="s">
        <v>90</v>
      </c>
      <c r="D4059" t="s">
        <v>81</v>
      </c>
      <c r="E4059" s="77" t="s">
        <v>106</v>
      </c>
      <c r="F4059" s="77" t="s">
        <v>73</v>
      </c>
      <c r="G4059" s="77" t="s">
        <v>74</v>
      </c>
      <c r="H4059" s="77" t="s">
        <v>123</v>
      </c>
      <c r="I4059" s="77" t="s">
        <v>84</v>
      </c>
      <c r="J4059" s="76">
        <v>0</v>
      </c>
    </row>
    <row r="4060" spans="1:10" x14ac:dyDescent="0.35">
      <c r="A4060" t="s">
        <v>15</v>
      </c>
      <c r="B4060" t="s">
        <v>31</v>
      </c>
      <c r="C4060" s="77" t="s">
        <v>91</v>
      </c>
      <c r="D4060" t="s">
        <v>81</v>
      </c>
      <c r="E4060" s="77" t="s">
        <v>119</v>
      </c>
      <c r="F4060" s="77" t="s">
        <v>73</v>
      </c>
      <c r="G4060" s="77" t="s">
        <v>74</v>
      </c>
      <c r="H4060" s="77" t="s">
        <v>123</v>
      </c>
      <c r="I4060" s="77" t="s">
        <v>84</v>
      </c>
      <c r="J4060" s="76">
        <f>'SUT_EU27 total'!$L$73</f>
        <v>0.15097500908393557</v>
      </c>
    </row>
    <row r="4061" spans="1:10" x14ac:dyDescent="0.35">
      <c r="A4061" t="s">
        <v>15</v>
      </c>
      <c r="B4061" t="s">
        <v>31</v>
      </c>
      <c r="C4061" s="77" t="s">
        <v>91</v>
      </c>
      <c r="D4061" t="s">
        <v>81</v>
      </c>
      <c r="E4061" s="77" t="s">
        <v>124</v>
      </c>
      <c r="F4061" s="77" t="s">
        <v>73</v>
      </c>
      <c r="G4061" s="77" t="s">
        <v>74</v>
      </c>
      <c r="H4061" s="77" t="s">
        <v>123</v>
      </c>
      <c r="I4061" s="77" t="s">
        <v>84</v>
      </c>
      <c r="J4061" s="76" cm="1">
        <f t="array" ref="J4061:J4069">'SUT_EU27 total'!$L$77:$L$85</f>
        <v>6.7728942399646885E-5</v>
      </c>
    </row>
    <row r="4062" spans="1:10" x14ac:dyDescent="0.35">
      <c r="A4062" t="s">
        <v>15</v>
      </c>
      <c r="B4062" t="s">
        <v>31</v>
      </c>
      <c r="C4062" s="77" t="s">
        <v>91</v>
      </c>
      <c r="D4062" t="s">
        <v>81</v>
      </c>
      <c r="E4062" s="77" t="s">
        <v>117</v>
      </c>
      <c r="F4062" s="77" t="s">
        <v>73</v>
      </c>
      <c r="G4062" s="77" t="s">
        <v>74</v>
      </c>
      <c r="H4062" s="77" t="s">
        <v>123</v>
      </c>
      <c r="I4062" s="77" t="s">
        <v>84</v>
      </c>
      <c r="J4062" s="76">
        <v>5.6233849622410815E-3</v>
      </c>
    </row>
    <row r="4063" spans="1:10" x14ac:dyDescent="0.35">
      <c r="A4063" t="s">
        <v>15</v>
      </c>
      <c r="B4063" t="s">
        <v>31</v>
      </c>
      <c r="C4063" s="77" t="s">
        <v>91</v>
      </c>
      <c r="D4063" t="s">
        <v>81</v>
      </c>
      <c r="E4063" s="77" t="s">
        <v>82</v>
      </c>
      <c r="F4063" s="77" t="s">
        <v>73</v>
      </c>
      <c r="G4063" s="77" t="s">
        <v>74</v>
      </c>
      <c r="H4063" s="77" t="s">
        <v>123</v>
      </c>
      <c r="I4063" s="77" t="s">
        <v>84</v>
      </c>
      <c r="J4063" s="76">
        <v>1.8068055269127655E-3</v>
      </c>
    </row>
    <row r="4064" spans="1:10" x14ac:dyDescent="0.35">
      <c r="A4064" t="s">
        <v>15</v>
      </c>
      <c r="B4064" t="s">
        <v>31</v>
      </c>
      <c r="C4064" s="77" t="s">
        <v>91</v>
      </c>
      <c r="D4064" t="s">
        <v>81</v>
      </c>
      <c r="E4064" s="77" t="s">
        <v>125</v>
      </c>
      <c r="F4064" s="77" t="s">
        <v>73</v>
      </c>
      <c r="G4064" s="77" t="s">
        <v>74</v>
      </c>
      <c r="H4064" s="77" t="s">
        <v>123</v>
      </c>
      <c r="I4064" s="77" t="s">
        <v>84</v>
      </c>
      <c r="J4064" s="76">
        <v>5.6492118062760293E-6</v>
      </c>
    </row>
    <row r="4065" spans="1:10" x14ac:dyDescent="0.35">
      <c r="A4065" t="s">
        <v>15</v>
      </c>
      <c r="B4065" t="s">
        <v>31</v>
      </c>
      <c r="C4065" s="77" t="s">
        <v>91</v>
      </c>
      <c r="D4065" t="s">
        <v>81</v>
      </c>
      <c r="E4065" s="77" t="s">
        <v>122</v>
      </c>
      <c r="F4065" s="77" t="s">
        <v>73</v>
      </c>
      <c r="G4065" s="77" t="s">
        <v>74</v>
      </c>
      <c r="H4065" s="77" t="s">
        <v>123</v>
      </c>
      <c r="I4065" s="77" t="s">
        <v>84</v>
      </c>
      <c r="J4065" s="76">
        <v>0</v>
      </c>
    </row>
    <row r="4066" spans="1:10" x14ac:dyDescent="0.35">
      <c r="A4066" t="s">
        <v>15</v>
      </c>
      <c r="B4066" t="s">
        <v>31</v>
      </c>
      <c r="C4066" s="77" t="s">
        <v>91</v>
      </c>
      <c r="D4066" t="s">
        <v>81</v>
      </c>
      <c r="E4066" s="77" t="s">
        <v>126</v>
      </c>
      <c r="F4066" s="77" t="s">
        <v>73</v>
      </c>
      <c r="G4066" s="77" t="s">
        <v>74</v>
      </c>
      <c r="H4066" s="77" t="s">
        <v>123</v>
      </c>
      <c r="I4066" s="77" t="s">
        <v>84</v>
      </c>
      <c r="J4066" s="76">
        <v>8.1093795177776388E-4</v>
      </c>
    </row>
    <row r="4067" spans="1:10" x14ac:dyDescent="0.35">
      <c r="A4067" t="s">
        <v>15</v>
      </c>
      <c r="B4067" t="s">
        <v>31</v>
      </c>
      <c r="C4067" s="77" t="s">
        <v>91</v>
      </c>
      <c r="D4067" t="s">
        <v>81</v>
      </c>
      <c r="E4067" s="77" t="s">
        <v>101</v>
      </c>
      <c r="F4067" s="77" t="s">
        <v>73</v>
      </c>
      <c r="G4067" s="77" t="s">
        <v>74</v>
      </c>
      <c r="H4067" s="77" t="s">
        <v>123</v>
      </c>
      <c r="I4067" s="77" t="s">
        <v>84</v>
      </c>
      <c r="J4067" s="76">
        <v>0</v>
      </c>
    </row>
    <row r="4068" spans="1:10" x14ac:dyDescent="0.35">
      <c r="A4068" t="s">
        <v>15</v>
      </c>
      <c r="B4068" t="s">
        <v>31</v>
      </c>
      <c r="C4068" s="77" t="s">
        <v>91</v>
      </c>
      <c r="D4068" t="s">
        <v>81</v>
      </c>
      <c r="E4068" s="77" t="s">
        <v>104</v>
      </c>
      <c r="F4068" s="77" t="s">
        <v>73</v>
      </c>
      <c r="G4068" s="77" t="s">
        <v>74</v>
      </c>
      <c r="H4068" s="77" t="s">
        <v>123</v>
      </c>
      <c r="I4068" s="77" t="s">
        <v>84</v>
      </c>
      <c r="J4068" s="76">
        <v>0</v>
      </c>
    </row>
    <row r="4069" spans="1:10" x14ac:dyDescent="0.35">
      <c r="A4069" t="s">
        <v>15</v>
      </c>
      <c r="B4069" t="s">
        <v>31</v>
      </c>
      <c r="C4069" s="77" t="s">
        <v>91</v>
      </c>
      <c r="D4069" t="s">
        <v>81</v>
      </c>
      <c r="E4069" s="77" t="s">
        <v>106</v>
      </c>
      <c r="F4069" s="77" t="s">
        <v>73</v>
      </c>
      <c r="G4069" s="77" t="s">
        <v>74</v>
      </c>
      <c r="H4069" s="77" t="s">
        <v>123</v>
      </c>
      <c r="I4069" s="77" t="s">
        <v>84</v>
      </c>
      <c r="J4069" s="76">
        <v>0</v>
      </c>
    </row>
    <row r="4070" spans="1:10" x14ac:dyDescent="0.35">
      <c r="A4070" t="s">
        <v>15</v>
      </c>
      <c r="B4070" t="s">
        <v>31</v>
      </c>
      <c r="C4070" s="77" t="s">
        <v>92</v>
      </c>
      <c r="D4070" t="s">
        <v>81</v>
      </c>
      <c r="E4070" s="77" t="s">
        <v>119</v>
      </c>
      <c r="F4070" s="77" t="s">
        <v>73</v>
      </c>
      <c r="G4070" s="77" t="s">
        <v>74</v>
      </c>
      <c r="H4070" s="77" t="s">
        <v>123</v>
      </c>
      <c r="I4070" s="77" t="s">
        <v>84</v>
      </c>
      <c r="J4070" s="76">
        <f>'SUT_EU27 total'!$L$90</f>
        <v>0.13886309499777949</v>
      </c>
    </row>
    <row r="4071" spans="1:10" x14ac:dyDescent="0.35">
      <c r="A4071" t="s">
        <v>15</v>
      </c>
      <c r="B4071" t="s">
        <v>31</v>
      </c>
      <c r="C4071" s="77" t="s">
        <v>92</v>
      </c>
      <c r="D4071" t="s">
        <v>81</v>
      </c>
      <c r="E4071" s="77" t="s">
        <v>124</v>
      </c>
      <c r="F4071" s="77" t="s">
        <v>73</v>
      </c>
      <c r="G4071" s="77" t="s">
        <v>74</v>
      </c>
      <c r="H4071" s="77" t="s">
        <v>123</v>
      </c>
      <c r="I4071" s="77" t="s">
        <v>84</v>
      </c>
      <c r="J4071" s="76" cm="1">
        <f t="array" ref="J4071:J4079">'SUT_EU27 total'!$L$94:$L$102</f>
        <v>9.2968907089085616E-5</v>
      </c>
    </row>
    <row r="4072" spans="1:10" x14ac:dyDescent="0.35">
      <c r="A4072" t="s">
        <v>15</v>
      </c>
      <c r="B4072" t="s">
        <v>31</v>
      </c>
      <c r="C4072" s="77" t="s">
        <v>92</v>
      </c>
      <c r="D4072" t="s">
        <v>81</v>
      </c>
      <c r="E4072" s="77" t="s">
        <v>117</v>
      </c>
      <c r="F4072" s="77" t="s">
        <v>73</v>
      </c>
      <c r="G4072" s="77" t="s">
        <v>74</v>
      </c>
      <c r="H4072" s="77" t="s">
        <v>123</v>
      </c>
      <c r="I4072" s="77" t="s">
        <v>84</v>
      </c>
      <c r="J4072" s="76">
        <v>0</v>
      </c>
    </row>
    <row r="4073" spans="1:10" x14ac:dyDescent="0.35">
      <c r="A4073" t="s">
        <v>15</v>
      </c>
      <c r="B4073" t="s">
        <v>31</v>
      </c>
      <c r="C4073" s="77" t="s">
        <v>92</v>
      </c>
      <c r="D4073" t="s">
        <v>81</v>
      </c>
      <c r="E4073" s="77" t="s">
        <v>82</v>
      </c>
      <c r="F4073" s="77" t="s">
        <v>73</v>
      </c>
      <c r="G4073" s="77" t="s">
        <v>74</v>
      </c>
      <c r="H4073" s="77" t="s">
        <v>123</v>
      </c>
      <c r="I4073" s="77" t="s">
        <v>84</v>
      </c>
      <c r="J4073" s="76">
        <v>1.1251392039595793E-3</v>
      </c>
    </row>
    <row r="4074" spans="1:10" x14ac:dyDescent="0.35">
      <c r="A4074" t="s">
        <v>15</v>
      </c>
      <c r="B4074" t="s">
        <v>31</v>
      </c>
      <c r="C4074" s="77" t="s">
        <v>92</v>
      </c>
      <c r="D4074" t="s">
        <v>81</v>
      </c>
      <c r="E4074" s="77" t="s">
        <v>125</v>
      </c>
      <c r="F4074" s="77" t="s">
        <v>73</v>
      </c>
      <c r="G4074" s="77" t="s">
        <v>74</v>
      </c>
      <c r="H4074" s="77" t="s">
        <v>123</v>
      </c>
      <c r="I4074" s="77" t="s">
        <v>84</v>
      </c>
      <c r="J4074" s="76">
        <v>5.0048817841215026E-7</v>
      </c>
    </row>
    <row r="4075" spans="1:10" x14ac:dyDescent="0.35">
      <c r="A4075" t="s">
        <v>15</v>
      </c>
      <c r="B4075" t="s">
        <v>31</v>
      </c>
      <c r="C4075" s="77" t="s">
        <v>92</v>
      </c>
      <c r="D4075" t="s">
        <v>81</v>
      </c>
      <c r="E4075" s="77" t="s">
        <v>122</v>
      </c>
      <c r="F4075" s="77" t="s">
        <v>73</v>
      </c>
      <c r="G4075" s="77" t="s">
        <v>74</v>
      </c>
      <c r="H4075" s="77" t="s">
        <v>123</v>
      </c>
      <c r="I4075" s="77" t="s">
        <v>84</v>
      </c>
      <c r="J4075" s="76">
        <v>0</v>
      </c>
    </row>
    <row r="4076" spans="1:10" x14ac:dyDescent="0.35">
      <c r="A4076" t="s">
        <v>15</v>
      </c>
      <c r="B4076" t="s">
        <v>31</v>
      </c>
      <c r="C4076" s="77" t="s">
        <v>92</v>
      </c>
      <c r="D4076" t="s">
        <v>81</v>
      </c>
      <c r="E4076" s="77" t="s">
        <v>126</v>
      </c>
      <c r="F4076" s="77" t="s">
        <v>73</v>
      </c>
      <c r="G4076" s="77" t="s">
        <v>74</v>
      </c>
      <c r="H4076" s="77" t="s">
        <v>123</v>
      </c>
      <c r="I4076" s="77" t="s">
        <v>84</v>
      </c>
      <c r="J4076" s="76">
        <v>0</v>
      </c>
    </row>
    <row r="4077" spans="1:10" x14ac:dyDescent="0.35">
      <c r="A4077" t="s">
        <v>15</v>
      </c>
      <c r="B4077" t="s">
        <v>31</v>
      </c>
      <c r="C4077" s="77" t="s">
        <v>92</v>
      </c>
      <c r="D4077" t="s">
        <v>81</v>
      </c>
      <c r="E4077" s="77" t="s">
        <v>101</v>
      </c>
      <c r="F4077" s="77" t="s">
        <v>73</v>
      </c>
      <c r="G4077" s="77" t="s">
        <v>74</v>
      </c>
      <c r="H4077" s="77" t="s">
        <v>123</v>
      </c>
      <c r="I4077" s="77" t="s">
        <v>84</v>
      </c>
      <c r="J4077" s="76">
        <v>0</v>
      </c>
    </row>
    <row r="4078" spans="1:10" x14ac:dyDescent="0.35">
      <c r="A4078" t="s">
        <v>15</v>
      </c>
      <c r="B4078" t="s">
        <v>31</v>
      </c>
      <c r="C4078" s="77" t="s">
        <v>92</v>
      </c>
      <c r="D4078" t="s">
        <v>81</v>
      </c>
      <c r="E4078" s="77" t="s">
        <v>104</v>
      </c>
      <c r="F4078" s="77" t="s">
        <v>73</v>
      </c>
      <c r="G4078" s="77" t="s">
        <v>74</v>
      </c>
      <c r="H4078" s="77" t="s">
        <v>123</v>
      </c>
      <c r="I4078" s="77" t="s">
        <v>84</v>
      </c>
      <c r="J4078" s="76">
        <v>0</v>
      </c>
    </row>
    <row r="4079" spans="1:10" x14ac:dyDescent="0.35">
      <c r="A4079" t="s">
        <v>15</v>
      </c>
      <c r="B4079" t="s">
        <v>31</v>
      </c>
      <c r="C4079" s="77" t="s">
        <v>92</v>
      </c>
      <c r="D4079" t="s">
        <v>81</v>
      </c>
      <c r="E4079" s="77" t="s">
        <v>106</v>
      </c>
      <c r="F4079" s="77" t="s">
        <v>73</v>
      </c>
      <c r="G4079" s="77" t="s">
        <v>74</v>
      </c>
      <c r="H4079" s="77" t="s">
        <v>123</v>
      </c>
      <c r="I4079" s="77" t="s">
        <v>84</v>
      </c>
      <c r="J4079" s="76">
        <v>0</v>
      </c>
    </row>
    <row r="4080" spans="1:10" x14ac:dyDescent="0.35">
      <c r="A4080" t="s">
        <v>15</v>
      </c>
      <c r="B4080" t="s">
        <v>31</v>
      </c>
      <c r="C4080" s="77" t="s">
        <v>93</v>
      </c>
      <c r="D4080" t="s">
        <v>81</v>
      </c>
      <c r="E4080" s="77" t="s">
        <v>119</v>
      </c>
      <c r="F4080" s="77" t="s">
        <v>73</v>
      </c>
      <c r="G4080" s="77" t="s">
        <v>74</v>
      </c>
      <c r="H4080" s="77" t="s">
        <v>123</v>
      </c>
      <c r="I4080" s="77" t="s">
        <v>84</v>
      </c>
      <c r="J4080" s="76">
        <f>'SUT_EU27 total'!$L$107</f>
        <v>1.0000807460939076</v>
      </c>
    </row>
    <row r="4081" spans="1:10" x14ac:dyDescent="0.35">
      <c r="A4081" t="s">
        <v>15</v>
      </c>
      <c r="B4081" t="s">
        <v>31</v>
      </c>
      <c r="C4081" s="77" t="s">
        <v>93</v>
      </c>
      <c r="D4081" t="s">
        <v>81</v>
      </c>
      <c r="E4081" s="77" t="s">
        <v>124</v>
      </c>
      <c r="F4081" s="77" t="s">
        <v>73</v>
      </c>
      <c r="G4081" s="77" t="s">
        <v>74</v>
      </c>
      <c r="H4081" s="77" t="s">
        <v>123</v>
      </c>
      <c r="I4081" s="77" t="s">
        <v>84</v>
      </c>
      <c r="J4081" s="76" cm="1">
        <f t="array" ref="J4081:J4089">'SUT_EU27 total'!$L$111:$L$119</f>
        <v>3.7052409430862396E-4</v>
      </c>
    </row>
    <row r="4082" spans="1:10" x14ac:dyDescent="0.35">
      <c r="A4082" t="s">
        <v>15</v>
      </c>
      <c r="B4082" t="s">
        <v>31</v>
      </c>
      <c r="C4082" s="77" t="s">
        <v>93</v>
      </c>
      <c r="D4082" t="s">
        <v>81</v>
      </c>
      <c r="E4082" s="77" t="s">
        <v>117</v>
      </c>
      <c r="F4082" s="77" t="s">
        <v>73</v>
      </c>
      <c r="G4082" s="77" t="s">
        <v>74</v>
      </c>
      <c r="H4082" s="77" t="s">
        <v>123</v>
      </c>
      <c r="I4082" s="77" t="s">
        <v>84</v>
      </c>
      <c r="J4082" s="76">
        <v>5.8414042458127093E-3</v>
      </c>
    </row>
    <row r="4083" spans="1:10" x14ac:dyDescent="0.35">
      <c r="A4083" t="s">
        <v>15</v>
      </c>
      <c r="B4083" t="s">
        <v>31</v>
      </c>
      <c r="C4083" s="77" t="s">
        <v>93</v>
      </c>
      <c r="D4083" t="s">
        <v>81</v>
      </c>
      <c r="E4083" s="77" t="s">
        <v>82</v>
      </c>
      <c r="F4083" s="77" t="s">
        <v>73</v>
      </c>
      <c r="G4083" s="77" t="s">
        <v>74</v>
      </c>
      <c r="H4083" s="77" t="s">
        <v>123</v>
      </c>
      <c r="I4083" s="77" t="s">
        <v>84</v>
      </c>
      <c r="J4083" s="76">
        <v>5.0319447308723453E-3</v>
      </c>
    </row>
    <row r="4084" spans="1:10" x14ac:dyDescent="0.35">
      <c r="A4084" t="s">
        <v>15</v>
      </c>
      <c r="B4084" t="s">
        <v>31</v>
      </c>
      <c r="C4084" s="77" t="s">
        <v>93</v>
      </c>
      <c r="D4084" t="s">
        <v>81</v>
      </c>
      <c r="E4084" s="77" t="s">
        <v>125</v>
      </c>
      <c r="F4084" s="77" t="s">
        <v>73</v>
      </c>
      <c r="G4084" s="77" t="s">
        <v>74</v>
      </c>
      <c r="H4084" s="77" t="s">
        <v>123</v>
      </c>
      <c r="I4084" s="77" t="s">
        <v>84</v>
      </c>
      <c r="J4084" s="76">
        <v>4.336096678710085E-4</v>
      </c>
    </row>
    <row r="4085" spans="1:10" x14ac:dyDescent="0.35">
      <c r="A4085" t="s">
        <v>15</v>
      </c>
      <c r="B4085" t="s">
        <v>31</v>
      </c>
      <c r="C4085" s="77" t="s">
        <v>93</v>
      </c>
      <c r="D4085" t="s">
        <v>81</v>
      </c>
      <c r="E4085" s="77" t="s">
        <v>122</v>
      </c>
      <c r="F4085" s="77" t="s">
        <v>73</v>
      </c>
      <c r="G4085" s="77" t="s">
        <v>74</v>
      </c>
      <c r="H4085" s="77" t="s">
        <v>123</v>
      </c>
      <c r="I4085" s="77" t="s">
        <v>84</v>
      </c>
      <c r="J4085" s="76">
        <v>2.7129607609988112E-3</v>
      </c>
    </row>
    <row r="4086" spans="1:10" x14ac:dyDescent="0.35">
      <c r="A4086" t="s">
        <v>15</v>
      </c>
      <c r="B4086" t="s">
        <v>31</v>
      </c>
      <c r="C4086" s="77" t="s">
        <v>93</v>
      </c>
      <c r="D4086" t="s">
        <v>81</v>
      </c>
      <c r="E4086" s="77" t="s">
        <v>126</v>
      </c>
      <c r="F4086" s="77" t="s">
        <v>73</v>
      </c>
      <c r="G4086" s="77" t="s">
        <v>74</v>
      </c>
      <c r="H4086" s="77" t="s">
        <v>123</v>
      </c>
      <c r="I4086" s="77" t="s">
        <v>84</v>
      </c>
      <c r="J4086" s="76">
        <v>4.3855511603587784E-2</v>
      </c>
    </row>
    <row r="4087" spans="1:10" x14ac:dyDescent="0.35">
      <c r="A4087" t="s">
        <v>15</v>
      </c>
      <c r="B4087" t="s">
        <v>31</v>
      </c>
      <c r="C4087" s="77" t="s">
        <v>93</v>
      </c>
      <c r="D4087" t="s">
        <v>81</v>
      </c>
      <c r="E4087" s="77" t="s">
        <v>101</v>
      </c>
      <c r="F4087" s="77" t="s">
        <v>73</v>
      </c>
      <c r="G4087" s="77" t="s">
        <v>74</v>
      </c>
      <c r="H4087" s="77" t="s">
        <v>123</v>
      </c>
      <c r="I4087" s="77" t="s">
        <v>84</v>
      </c>
      <c r="J4087" s="76">
        <v>0</v>
      </c>
    </row>
    <row r="4088" spans="1:10" x14ac:dyDescent="0.35">
      <c r="A4088" t="s">
        <v>15</v>
      </c>
      <c r="B4088" t="s">
        <v>31</v>
      </c>
      <c r="C4088" s="77" t="s">
        <v>93</v>
      </c>
      <c r="D4088" t="s">
        <v>81</v>
      </c>
      <c r="E4088" s="77" t="s">
        <v>104</v>
      </c>
      <c r="F4088" s="77" t="s">
        <v>73</v>
      </c>
      <c r="G4088" s="77" t="s">
        <v>74</v>
      </c>
      <c r="H4088" s="77" t="s">
        <v>123</v>
      </c>
      <c r="I4088" s="77" t="s">
        <v>84</v>
      </c>
      <c r="J4088" s="76">
        <v>0</v>
      </c>
    </row>
    <row r="4089" spans="1:10" x14ac:dyDescent="0.35">
      <c r="A4089" t="s">
        <v>15</v>
      </c>
      <c r="B4089" t="s">
        <v>31</v>
      </c>
      <c r="C4089" s="77" t="s">
        <v>93</v>
      </c>
      <c r="D4089" t="s">
        <v>81</v>
      </c>
      <c r="E4089" s="77" t="s">
        <v>106</v>
      </c>
      <c r="F4089" s="77" t="s">
        <v>73</v>
      </c>
      <c r="G4089" s="77" t="s">
        <v>74</v>
      </c>
      <c r="H4089" s="77" t="s">
        <v>123</v>
      </c>
      <c r="I4089" s="77" t="s">
        <v>84</v>
      </c>
      <c r="J4089" s="76">
        <v>0</v>
      </c>
    </row>
    <row r="4090" spans="1:10" x14ac:dyDescent="0.35">
      <c r="A4090" t="s">
        <v>15</v>
      </c>
      <c r="B4090" t="s">
        <v>31</v>
      </c>
      <c r="C4090" s="77" t="s">
        <v>73</v>
      </c>
      <c r="D4090" t="s">
        <v>81</v>
      </c>
      <c r="E4090" s="77" t="s">
        <v>119</v>
      </c>
      <c r="F4090" s="77" t="s">
        <v>73</v>
      </c>
      <c r="G4090" s="77" t="s">
        <v>74</v>
      </c>
      <c r="H4090" s="77" t="s">
        <v>127</v>
      </c>
      <c r="I4090" s="77" t="s">
        <v>84</v>
      </c>
      <c r="J4090" s="76">
        <f>'SUT_EU27 total'!$M$22</f>
        <v>1.9500181678711294E-2</v>
      </c>
    </row>
    <row r="4091" spans="1:10" x14ac:dyDescent="0.35">
      <c r="A4091" t="s">
        <v>15</v>
      </c>
      <c r="B4091" t="s">
        <v>31</v>
      </c>
      <c r="C4091" s="77" t="s">
        <v>73</v>
      </c>
      <c r="D4091" t="s">
        <v>81</v>
      </c>
      <c r="E4091" s="77" t="s">
        <v>124</v>
      </c>
      <c r="F4091" s="77" t="s">
        <v>73</v>
      </c>
      <c r="G4091" s="77" t="s">
        <v>74</v>
      </c>
      <c r="H4091" s="77" t="s">
        <v>127</v>
      </c>
      <c r="I4091" s="77" t="s">
        <v>84</v>
      </c>
      <c r="J4091" s="76" cm="1">
        <f t="array" ref="J4091:J4099">'SUT_EU27 total'!$M$26:$M$34</f>
        <v>1.9404661061278542E-3</v>
      </c>
    </row>
    <row r="4092" spans="1:10" x14ac:dyDescent="0.35">
      <c r="A4092" t="s">
        <v>15</v>
      </c>
      <c r="B4092" t="s">
        <v>31</v>
      </c>
      <c r="C4092" s="77" t="s">
        <v>73</v>
      </c>
      <c r="D4092" t="s">
        <v>81</v>
      </c>
      <c r="E4092" s="77" t="s">
        <v>117</v>
      </c>
      <c r="F4092" s="77" t="s">
        <v>73</v>
      </c>
      <c r="G4092" s="77" t="s">
        <v>74</v>
      </c>
      <c r="H4092" s="77" t="s">
        <v>127</v>
      </c>
      <c r="I4092" s="77" t="s">
        <v>84</v>
      </c>
      <c r="J4092" s="76">
        <v>5.8423628191201782E-3</v>
      </c>
    </row>
    <row r="4093" spans="1:10" x14ac:dyDescent="0.35">
      <c r="A4093" t="s">
        <v>15</v>
      </c>
      <c r="B4093" t="s">
        <v>31</v>
      </c>
      <c r="C4093" s="77" t="s">
        <v>73</v>
      </c>
      <c r="D4093" t="s">
        <v>81</v>
      </c>
      <c r="E4093" s="77" t="s">
        <v>82</v>
      </c>
      <c r="F4093" s="77" t="s">
        <v>73</v>
      </c>
      <c r="G4093" s="77" t="s">
        <v>74</v>
      </c>
      <c r="H4093" s="77" t="s">
        <v>127</v>
      </c>
      <c r="I4093" s="77" t="s">
        <v>84</v>
      </c>
      <c r="J4093" s="76">
        <v>4.8981233243967828E-4</v>
      </c>
    </row>
    <row r="4094" spans="1:10" x14ac:dyDescent="0.35">
      <c r="A4094" t="s">
        <v>15</v>
      </c>
      <c r="B4094" t="s">
        <v>31</v>
      </c>
      <c r="C4094" s="77" t="s">
        <v>73</v>
      </c>
      <c r="D4094" t="s">
        <v>81</v>
      </c>
      <c r="E4094" s="77" t="s">
        <v>125</v>
      </c>
      <c r="F4094" s="77" t="s">
        <v>73</v>
      </c>
      <c r="G4094" s="77" t="s">
        <v>74</v>
      </c>
      <c r="H4094" s="77" t="s">
        <v>127</v>
      </c>
      <c r="I4094" s="77" t="s">
        <v>84</v>
      </c>
      <c r="J4094" s="76">
        <v>2.4658201215687387E-3</v>
      </c>
    </row>
    <row r="4095" spans="1:10" x14ac:dyDescent="0.35">
      <c r="A4095" t="s">
        <v>15</v>
      </c>
      <c r="B4095" t="s">
        <v>31</v>
      </c>
      <c r="C4095" s="77" t="s">
        <v>73</v>
      </c>
      <c r="D4095" t="s">
        <v>81</v>
      </c>
      <c r="E4095" s="77" t="s">
        <v>122</v>
      </c>
      <c r="F4095" s="77" t="s">
        <v>73</v>
      </c>
      <c r="G4095" s="77" t="s">
        <v>74</v>
      </c>
      <c r="H4095" s="77" t="s">
        <v>127</v>
      </c>
      <c r="I4095" s="77" t="s">
        <v>84</v>
      </c>
      <c r="J4095" s="76">
        <v>4.922711058263972E-4</v>
      </c>
    </row>
    <row r="4096" spans="1:10" x14ac:dyDescent="0.35">
      <c r="A4096" t="s">
        <v>15</v>
      </c>
      <c r="B4096" t="s">
        <v>31</v>
      </c>
      <c r="C4096" s="77" t="s">
        <v>73</v>
      </c>
      <c r="D4096" t="s">
        <v>81</v>
      </c>
      <c r="E4096" s="77" t="s">
        <v>126</v>
      </c>
      <c r="F4096" s="77" t="s">
        <v>73</v>
      </c>
      <c r="G4096" s="77" t="s">
        <v>74</v>
      </c>
      <c r="H4096" s="77" t="s">
        <v>127</v>
      </c>
      <c r="I4096" s="77" t="s">
        <v>84</v>
      </c>
      <c r="J4096" s="76">
        <v>0</v>
      </c>
    </row>
    <row r="4097" spans="1:10" x14ac:dyDescent="0.35">
      <c r="A4097" t="s">
        <v>15</v>
      </c>
      <c r="B4097" t="s">
        <v>31</v>
      </c>
      <c r="C4097" s="77" t="s">
        <v>73</v>
      </c>
      <c r="D4097" t="s">
        <v>81</v>
      </c>
      <c r="E4097" s="77" t="s">
        <v>101</v>
      </c>
      <c r="F4097" s="77" t="s">
        <v>73</v>
      </c>
      <c r="G4097" s="77" t="s">
        <v>74</v>
      </c>
      <c r="H4097" s="77" t="s">
        <v>127</v>
      </c>
      <c r="I4097" s="77" t="s">
        <v>84</v>
      </c>
      <c r="J4097" s="76">
        <v>3.6586167200000007E-4</v>
      </c>
    </row>
    <row r="4098" spans="1:10" x14ac:dyDescent="0.35">
      <c r="A4098" t="s">
        <v>15</v>
      </c>
      <c r="B4098" t="s">
        <v>31</v>
      </c>
      <c r="C4098" s="77" t="s">
        <v>73</v>
      </c>
      <c r="D4098" t="s">
        <v>81</v>
      </c>
      <c r="E4098" s="77" t="s">
        <v>104</v>
      </c>
      <c r="F4098" s="77" t="s">
        <v>73</v>
      </c>
      <c r="G4098" s="77" t="s">
        <v>74</v>
      </c>
      <c r="H4098" s="77" t="s">
        <v>127</v>
      </c>
      <c r="I4098" s="77" t="s">
        <v>84</v>
      </c>
      <c r="J4098" s="76">
        <v>6.9272632800000005E-4</v>
      </c>
    </row>
    <row r="4099" spans="1:10" x14ac:dyDescent="0.35">
      <c r="A4099" t="s">
        <v>15</v>
      </c>
      <c r="B4099" t="s">
        <v>31</v>
      </c>
      <c r="C4099" s="77" t="s">
        <v>73</v>
      </c>
      <c r="D4099" t="s">
        <v>81</v>
      </c>
      <c r="E4099" s="77" t="s">
        <v>106</v>
      </c>
      <c r="F4099" s="77" t="s">
        <v>73</v>
      </c>
      <c r="G4099" s="77" t="s">
        <v>74</v>
      </c>
      <c r="H4099" s="77" t="s">
        <v>127</v>
      </c>
      <c r="I4099" s="77" t="s">
        <v>84</v>
      </c>
      <c r="J4099" s="76">
        <v>2.3562119999999999E-3</v>
      </c>
    </row>
    <row r="4100" spans="1:10" x14ac:dyDescent="0.35">
      <c r="A4100" t="s">
        <v>15</v>
      </c>
      <c r="B4100" t="s">
        <v>31</v>
      </c>
      <c r="C4100" s="77" t="s">
        <v>88</v>
      </c>
      <c r="D4100" t="s">
        <v>81</v>
      </c>
      <c r="E4100" s="77" t="s">
        <v>119</v>
      </c>
      <c r="F4100" s="77" t="s">
        <v>73</v>
      </c>
      <c r="G4100" s="77" t="s">
        <v>74</v>
      </c>
      <c r="H4100" s="77" t="s">
        <v>127</v>
      </c>
      <c r="I4100" s="77" t="s">
        <v>84</v>
      </c>
      <c r="J4100" s="76">
        <f>'SUT_EU27 total'!$M$39</f>
        <v>0.16108845734587587</v>
      </c>
    </row>
    <row r="4101" spans="1:10" x14ac:dyDescent="0.35">
      <c r="A4101" t="s">
        <v>15</v>
      </c>
      <c r="B4101" t="s">
        <v>31</v>
      </c>
      <c r="C4101" s="77" t="s">
        <v>88</v>
      </c>
      <c r="D4101" t="s">
        <v>81</v>
      </c>
      <c r="E4101" s="77" t="s">
        <v>124</v>
      </c>
      <c r="F4101" s="77" t="s">
        <v>73</v>
      </c>
      <c r="G4101" s="77" t="s">
        <v>74</v>
      </c>
      <c r="H4101" s="77" t="s">
        <v>127</v>
      </c>
      <c r="I4101" s="77" t="s">
        <v>84</v>
      </c>
      <c r="J4101" s="76" cm="1">
        <f t="array" ref="J4101:J4109">'SUT_EU27 total'!$L$43:$L$51</f>
        <v>5.0558836222750793E-4</v>
      </c>
    </row>
    <row r="4102" spans="1:10" x14ac:dyDescent="0.35">
      <c r="A4102" t="s">
        <v>15</v>
      </c>
      <c r="B4102" t="s">
        <v>31</v>
      </c>
      <c r="C4102" s="77" t="s">
        <v>88</v>
      </c>
      <c r="D4102" t="s">
        <v>81</v>
      </c>
      <c r="E4102" s="77" t="s">
        <v>117</v>
      </c>
      <c r="F4102" s="77" t="s">
        <v>73</v>
      </c>
      <c r="G4102" s="77" t="s">
        <v>74</v>
      </c>
      <c r="H4102" s="77" t="s">
        <v>127</v>
      </c>
      <c r="I4102" s="77" t="s">
        <v>84</v>
      </c>
      <c r="J4102" s="76">
        <v>4.8514464106651379E-3</v>
      </c>
    </row>
    <row r="4103" spans="1:10" x14ac:dyDescent="0.35">
      <c r="A4103" t="s">
        <v>15</v>
      </c>
      <c r="B4103" t="s">
        <v>31</v>
      </c>
      <c r="C4103" s="77" t="s">
        <v>88</v>
      </c>
      <c r="D4103" t="s">
        <v>81</v>
      </c>
      <c r="E4103" s="77" t="s">
        <v>82</v>
      </c>
      <c r="F4103" s="77" t="s">
        <v>73</v>
      </c>
      <c r="G4103" s="77" t="s">
        <v>74</v>
      </c>
      <c r="H4103" s="77" t="s">
        <v>127</v>
      </c>
      <c r="I4103" s="77" t="s">
        <v>84</v>
      </c>
      <c r="J4103" s="76">
        <v>1.109418436791091E-2</v>
      </c>
    </row>
    <row r="4104" spans="1:10" x14ac:dyDescent="0.35">
      <c r="A4104" t="s">
        <v>15</v>
      </c>
      <c r="B4104" t="s">
        <v>31</v>
      </c>
      <c r="C4104" s="77" t="s">
        <v>88</v>
      </c>
      <c r="D4104" t="s">
        <v>81</v>
      </c>
      <c r="E4104" s="77" t="s">
        <v>125</v>
      </c>
      <c r="F4104" s="77" t="s">
        <v>73</v>
      </c>
      <c r="G4104" s="77" t="s">
        <v>74</v>
      </c>
      <c r="H4104" s="77" t="s">
        <v>127</v>
      </c>
      <c r="I4104" s="77" t="s">
        <v>84</v>
      </c>
      <c r="J4104" s="76">
        <v>2.890870278990243E-5</v>
      </c>
    </row>
    <row r="4105" spans="1:10" x14ac:dyDescent="0.35">
      <c r="A4105" t="s">
        <v>15</v>
      </c>
      <c r="B4105" t="s">
        <v>31</v>
      </c>
      <c r="C4105" s="77" t="s">
        <v>88</v>
      </c>
      <c r="D4105" t="s">
        <v>81</v>
      </c>
      <c r="E4105" s="77" t="s">
        <v>122</v>
      </c>
      <c r="F4105" s="77" t="s">
        <v>73</v>
      </c>
      <c r="G4105" s="77" t="s">
        <v>74</v>
      </c>
      <c r="H4105" s="77" t="s">
        <v>127</v>
      </c>
      <c r="I4105" s="77" t="s">
        <v>84</v>
      </c>
      <c r="J4105" s="76">
        <v>0</v>
      </c>
    </row>
    <row r="4106" spans="1:10" x14ac:dyDescent="0.35">
      <c r="A4106" t="s">
        <v>15</v>
      </c>
      <c r="B4106" t="s">
        <v>31</v>
      </c>
      <c r="C4106" s="77" t="s">
        <v>88</v>
      </c>
      <c r="D4106" t="s">
        <v>81</v>
      </c>
      <c r="E4106" s="77" t="s">
        <v>126</v>
      </c>
      <c r="F4106" s="77" t="s">
        <v>73</v>
      </c>
      <c r="G4106" s="77" t="s">
        <v>74</v>
      </c>
      <c r="H4106" s="77" t="s">
        <v>127</v>
      </c>
      <c r="I4106" s="77" t="s">
        <v>84</v>
      </c>
      <c r="J4106" s="76">
        <v>2.8514320987501449E-3</v>
      </c>
    </row>
    <row r="4107" spans="1:10" x14ac:dyDescent="0.35">
      <c r="A4107" t="s">
        <v>15</v>
      </c>
      <c r="B4107" t="s">
        <v>31</v>
      </c>
      <c r="C4107" s="77" t="s">
        <v>88</v>
      </c>
      <c r="D4107" t="s">
        <v>81</v>
      </c>
      <c r="E4107" s="77" t="s">
        <v>101</v>
      </c>
      <c r="F4107" s="77" t="s">
        <v>73</v>
      </c>
      <c r="G4107" s="77" t="s">
        <v>74</v>
      </c>
      <c r="H4107" s="77" t="s">
        <v>127</v>
      </c>
      <c r="I4107" s="77" t="s">
        <v>84</v>
      </c>
      <c r="J4107" s="76">
        <v>0</v>
      </c>
    </row>
    <row r="4108" spans="1:10" x14ac:dyDescent="0.35">
      <c r="A4108" t="s">
        <v>15</v>
      </c>
      <c r="B4108" t="s">
        <v>31</v>
      </c>
      <c r="C4108" s="77" t="s">
        <v>88</v>
      </c>
      <c r="D4108" t="s">
        <v>81</v>
      </c>
      <c r="E4108" s="77" t="s">
        <v>104</v>
      </c>
      <c r="F4108" s="77" t="s">
        <v>73</v>
      </c>
      <c r="G4108" s="77" t="s">
        <v>74</v>
      </c>
      <c r="H4108" s="77" t="s">
        <v>127</v>
      </c>
      <c r="I4108" s="77" t="s">
        <v>84</v>
      </c>
      <c r="J4108" s="76">
        <v>0</v>
      </c>
    </row>
    <row r="4109" spans="1:10" x14ac:dyDescent="0.35">
      <c r="A4109" t="s">
        <v>15</v>
      </c>
      <c r="B4109" t="s">
        <v>31</v>
      </c>
      <c r="C4109" s="77" t="s">
        <v>88</v>
      </c>
      <c r="D4109" t="s">
        <v>81</v>
      </c>
      <c r="E4109" s="77" t="s">
        <v>106</v>
      </c>
      <c r="F4109" s="77" t="s">
        <v>73</v>
      </c>
      <c r="G4109" s="77" t="s">
        <v>74</v>
      </c>
      <c r="H4109" s="77" t="s">
        <v>127</v>
      </c>
      <c r="I4109" s="77" t="s">
        <v>84</v>
      </c>
      <c r="J4109" s="76">
        <v>0</v>
      </c>
    </row>
    <row r="4110" spans="1:10" x14ac:dyDescent="0.35">
      <c r="A4110" t="s">
        <v>15</v>
      </c>
      <c r="B4110" t="s">
        <v>31</v>
      </c>
      <c r="C4110" s="77" t="s">
        <v>90</v>
      </c>
      <c r="D4110" t="s">
        <v>81</v>
      </c>
      <c r="E4110" s="77" t="s">
        <v>119</v>
      </c>
      <c r="F4110" s="77" t="s">
        <v>73</v>
      </c>
      <c r="G4110" s="77" t="s">
        <v>74</v>
      </c>
      <c r="H4110" s="77" t="s">
        <v>127</v>
      </c>
      <c r="I4110" s="77" t="s">
        <v>84</v>
      </c>
      <c r="J4110" s="76">
        <f>'SUT_EU27 total'!$M$56</f>
        <v>2.949251079979006E-2</v>
      </c>
    </row>
    <row r="4111" spans="1:10" x14ac:dyDescent="0.35">
      <c r="A4111" t="s">
        <v>15</v>
      </c>
      <c r="B4111" t="s">
        <v>31</v>
      </c>
      <c r="C4111" s="77" t="s">
        <v>90</v>
      </c>
      <c r="D4111" t="s">
        <v>81</v>
      </c>
      <c r="E4111" s="77" t="s">
        <v>124</v>
      </c>
      <c r="F4111" s="77" t="s">
        <v>73</v>
      </c>
      <c r="G4111" s="77" t="s">
        <v>74</v>
      </c>
      <c r="H4111" s="77" t="s">
        <v>127</v>
      </c>
      <c r="I4111" s="77" t="s">
        <v>84</v>
      </c>
      <c r="J4111" s="76" cm="1">
        <f t="array" ref="J4111:J4119">'SUT_EU27 total'!$M$60:$M$68</f>
        <v>2.1047443073980527E-5</v>
      </c>
    </row>
    <row r="4112" spans="1:10" x14ac:dyDescent="0.35">
      <c r="A4112" t="s">
        <v>15</v>
      </c>
      <c r="B4112" t="s">
        <v>31</v>
      </c>
      <c r="C4112" s="77" t="s">
        <v>90</v>
      </c>
      <c r="D4112" t="s">
        <v>81</v>
      </c>
      <c r="E4112" s="77" t="s">
        <v>117</v>
      </c>
      <c r="F4112" s="77" t="s">
        <v>73</v>
      </c>
      <c r="G4112" s="77" t="s">
        <v>74</v>
      </c>
      <c r="H4112" s="77" t="s">
        <v>127</v>
      </c>
      <c r="I4112" s="77" t="s">
        <v>84</v>
      </c>
      <c r="J4112" s="76">
        <v>5.8414015621608938E-3</v>
      </c>
    </row>
    <row r="4113" spans="1:10" x14ac:dyDescent="0.35">
      <c r="A4113" t="s">
        <v>15</v>
      </c>
      <c r="B4113" t="s">
        <v>31</v>
      </c>
      <c r="C4113" s="77" t="s">
        <v>90</v>
      </c>
      <c r="D4113" t="s">
        <v>81</v>
      </c>
      <c r="E4113" s="77" t="s">
        <v>82</v>
      </c>
      <c r="F4113" s="77" t="s">
        <v>73</v>
      </c>
      <c r="G4113" s="77" t="s">
        <v>74</v>
      </c>
      <c r="H4113" s="77" t="s">
        <v>127</v>
      </c>
      <c r="I4113" s="77" t="s">
        <v>84</v>
      </c>
      <c r="J4113" s="76">
        <v>1.4521138379047227E-3</v>
      </c>
    </row>
    <row r="4114" spans="1:10" x14ac:dyDescent="0.35">
      <c r="A4114" t="s">
        <v>15</v>
      </c>
      <c r="B4114" t="s">
        <v>31</v>
      </c>
      <c r="C4114" s="77" t="s">
        <v>90</v>
      </c>
      <c r="D4114" t="s">
        <v>81</v>
      </c>
      <c r="E4114" s="77" t="s">
        <v>125</v>
      </c>
      <c r="F4114" s="77" t="s">
        <v>73</v>
      </c>
      <c r="G4114" s="77" t="s">
        <v>74</v>
      </c>
      <c r="H4114" s="77" t="s">
        <v>127</v>
      </c>
      <c r="I4114" s="77" t="s">
        <v>84</v>
      </c>
      <c r="J4114" s="76">
        <v>6.5130870114372285E-5</v>
      </c>
    </row>
    <row r="4115" spans="1:10" x14ac:dyDescent="0.35">
      <c r="A4115" t="s">
        <v>15</v>
      </c>
      <c r="B4115" t="s">
        <v>31</v>
      </c>
      <c r="C4115" s="77" t="s">
        <v>90</v>
      </c>
      <c r="D4115" t="s">
        <v>81</v>
      </c>
      <c r="E4115" s="77" t="s">
        <v>122</v>
      </c>
      <c r="F4115" s="77" t="s">
        <v>73</v>
      </c>
      <c r="G4115" s="77" t="s">
        <v>74</v>
      </c>
      <c r="H4115" s="77" t="s">
        <v>127</v>
      </c>
      <c r="I4115" s="77" t="s">
        <v>84</v>
      </c>
      <c r="J4115" s="76">
        <v>7.9476813317479189E-4</v>
      </c>
    </row>
    <row r="4116" spans="1:10" x14ac:dyDescent="0.35">
      <c r="A4116" t="s">
        <v>15</v>
      </c>
      <c r="B4116" t="s">
        <v>31</v>
      </c>
      <c r="C4116" s="77" t="s">
        <v>90</v>
      </c>
      <c r="D4116" t="s">
        <v>81</v>
      </c>
      <c r="E4116" s="77" t="s">
        <v>126</v>
      </c>
      <c r="F4116" s="77" t="s">
        <v>73</v>
      </c>
      <c r="G4116" s="77" t="s">
        <v>74</v>
      </c>
      <c r="H4116" s="77" t="s">
        <v>127</v>
      </c>
      <c r="I4116" s="77" t="s">
        <v>84</v>
      </c>
      <c r="J4116" s="76">
        <v>8.4821183458843076E-3</v>
      </c>
    </row>
    <row r="4117" spans="1:10" x14ac:dyDescent="0.35">
      <c r="A4117" t="s">
        <v>15</v>
      </c>
      <c r="B4117" t="s">
        <v>31</v>
      </c>
      <c r="C4117" s="77" t="s">
        <v>90</v>
      </c>
      <c r="D4117" t="s">
        <v>81</v>
      </c>
      <c r="E4117" s="77" t="s">
        <v>101</v>
      </c>
      <c r="F4117" s="77" t="s">
        <v>73</v>
      </c>
      <c r="G4117" s="77" t="s">
        <v>74</v>
      </c>
      <c r="H4117" s="77" t="s">
        <v>127</v>
      </c>
      <c r="I4117" s="77" t="s">
        <v>84</v>
      </c>
      <c r="J4117" s="76">
        <v>0</v>
      </c>
    </row>
    <row r="4118" spans="1:10" x14ac:dyDescent="0.35">
      <c r="A4118" t="s">
        <v>15</v>
      </c>
      <c r="B4118" t="s">
        <v>31</v>
      </c>
      <c r="C4118" s="77" t="s">
        <v>90</v>
      </c>
      <c r="D4118" t="s">
        <v>81</v>
      </c>
      <c r="E4118" s="77" t="s">
        <v>104</v>
      </c>
      <c r="F4118" s="77" t="s">
        <v>73</v>
      </c>
      <c r="G4118" s="77" t="s">
        <v>74</v>
      </c>
      <c r="H4118" s="77" t="s">
        <v>127</v>
      </c>
      <c r="I4118" s="77" t="s">
        <v>84</v>
      </c>
      <c r="J4118" s="76">
        <v>0</v>
      </c>
    </row>
    <row r="4119" spans="1:10" x14ac:dyDescent="0.35">
      <c r="A4119" t="s">
        <v>15</v>
      </c>
      <c r="B4119" t="s">
        <v>31</v>
      </c>
      <c r="C4119" s="77" t="s">
        <v>90</v>
      </c>
      <c r="D4119" t="s">
        <v>81</v>
      </c>
      <c r="E4119" s="77" t="s">
        <v>106</v>
      </c>
      <c r="F4119" s="77" t="s">
        <v>73</v>
      </c>
      <c r="G4119" s="77" t="s">
        <v>74</v>
      </c>
      <c r="H4119" s="77" t="s">
        <v>127</v>
      </c>
      <c r="I4119" s="77" t="s">
        <v>84</v>
      </c>
      <c r="J4119" s="76">
        <v>0</v>
      </c>
    </row>
    <row r="4120" spans="1:10" x14ac:dyDescent="0.35">
      <c r="A4120" t="s">
        <v>15</v>
      </c>
      <c r="B4120" t="s">
        <v>31</v>
      </c>
      <c r="C4120" s="77" t="s">
        <v>91</v>
      </c>
      <c r="D4120" t="s">
        <v>81</v>
      </c>
      <c r="E4120" s="77" t="s">
        <v>119</v>
      </c>
      <c r="F4120" s="77" t="s">
        <v>73</v>
      </c>
      <c r="G4120" s="77" t="s">
        <v>74</v>
      </c>
      <c r="H4120" s="77" t="s">
        <v>127</v>
      </c>
      <c r="I4120" s="77" t="s">
        <v>84</v>
      </c>
      <c r="J4120" s="76">
        <f>'SUT_EU27 total'!$M$73</f>
        <v>0.15097500908393557</v>
      </c>
    </row>
    <row r="4121" spans="1:10" x14ac:dyDescent="0.35">
      <c r="A4121" t="s">
        <v>15</v>
      </c>
      <c r="B4121" t="s">
        <v>31</v>
      </c>
      <c r="C4121" s="77" t="s">
        <v>91</v>
      </c>
      <c r="D4121" t="s">
        <v>81</v>
      </c>
      <c r="E4121" s="77" t="s">
        <v>124</v>
      </c>
      <c r="F4121" s="77" t="s">
        <v>73</v>
      </c>
      <c r="G4121" s="77" t="s">
        <v>74</v>
      </c>
      <c r="H4121" s="77" t="s">
        <v>127</v>
      </c>
      <c r="I4121" s="77" t="s">
        <v>84</v>
      </c>
      <c r="J4121" s="76" cm="1">
        <f t="array" ref="J4121:J4129">'SUT_EU27 total'!$M$77:$M$85</f>
        <v>6.7728942399646885E-5</v>
      </c>
    </row>
    <row r="4122" spans="1:10" x14ac:dyDescent="0.35">
      <c r="A4122" t="s">
        <v>15</v>
      </c>
      <c r="B4122" t="s">
        <v>31</v>
      </c>
      <c r="C4122" s="77" t="s">
        <v>91</v>
      </c>
      <c r="D4122" t="s">
        <v>81</v>
      </c>
      <c r="E4122" s="77" t="s">
        <v>117</v>
      </c>
      <c r="F4122" s="77" t="s">
        <v>73</v>
      </c>
      <c r="G4122" s="77" t="s">
        <v>74</v>
      </c>
      <c r="H4122" s="77" t="s">
        <v>127</v>
      </c>
      <c r="I4122" s="77" t="s">
        <v>84</v>
      </c>
      <c r="J4122" s="76">
        <v>5.6233849622410815E-3</v>
      </c>
    </row>
    <row r="4123" spans="1:10" x14ac:dyDescent="0.35">
      <c r="A4123" t="s">
        <v>15</v>
      </c>
      <c r="B4123" t="s">
        <v>31</v>
      </c>
      <c r="C4123" s="77" t="s">
        <v>91</v>
      </c>
      <c r="D4123" t="s">
        <v>81</v>
      </c>
      <c r="E4123" s="77" t="s">
        <v>82</v>
      </c>
      <c r="F4123" s="77" t="s">
        <v>73</v>
      </c>
      <c r="G4123" s="77" t="s">
        <v>74</v>
      </c>
      <c r="H4123" s="77" t="s">
        <v>127</v>
      </c>
      <c r="I4123" s="77" t="s">
        <v>84</v>
      </c>
      <c r="J4123" s="76">
        <v>1.8068055269127655E-3</v>
      </c>
    </row>
    <row r="4124" spans="1:10" x14ac:dyDescent="0.35">
      <c r="A4124" t="s">
        <v>15</v>
      </c>
      <c r="B4124" t="s">
        <v>31</v>
      </c>
      <c r="C4124" s="77" t="s">
        <v>91</v>
      </c>
      <c r="D4124" t="s">
        <v>81</v>
      </c>
      <c r="E4124" s="77" t="s">
        <v>125</v>
      </c>
      <c r="F4124" s="77" t="s">
        <v>73</v>
      </c>
      <c r="G4124" s="77" t="s">
        <v>74</v>
      </c>
      <c r="H4124" s="77" t="s">
        <v>127</v>
      </c>
      <c r="I4124" s="77" t="s">
        <v>84</v>
      </c>
      <c r="J4124" s="76">
        <v>5.6492118062760293E-6</v>
      </c>
    </row>
    <row r="4125" spans="1:10" x14ac:dyDescent="0.35">
      <c r="A4125" t="s">
        <v>15</v>
      </c>
      <c r="B4125" t="s">
        <v>31</v>
      </c>
      <c r="C4125" s="77" t="s">
        <v>91</v>
      </c>
      <c r="D4125" t="s">
        <v>81</v>
      </c>
      <c r="E4125" s="77" t="s">
        <v>122</v>
      </c>
      <c r="F4125" s="77" t="s">
        <v>73</v>
      </c>
      <c r="G4125" s="77" t="s">
        <v>74</v>
      </c>
      <c r="H4125" s="77" t="s">
        <v>127</v>
      </c>
      <c r="I4125" s="77" t="s">
        <v>84</v>
      </c>
      <c r="J4125" s="76">
        <v>0</v>
      </c>
    </row>
    <row r="4126" spans="1:10" x14ac:dyDescent="0.35">
      <c r="A4126" t="s">
        <v>15</v>
      </c>
      <c r="B4126" t="s">
        <v>31</v>
      </c>
      <c r="C4126" s="77" t="s">
        <v>91</v>
      </c>
      <c r="D4126" t="s">
        <v>81</v>
      </c>
      <c r="E4126" s="77" t="s">
        <v>126</v>
      </c>
      <c r="F4126" s="77" t="s">
        <v>73</v>
      </c>
      <c r="G4126" s="77" t="s">
        <v>74</v>
      </c>
      <c r="H4126" s="77" t="s">
        <v>127</v>
      </c>
      <c r="I4126" s="77" t="s">
        <v>84</v>
      </c>
      <c r="J4126" s="76">
        <v>8.1093795177776388E-4</v>
      </c>
    </row>
    <row r="4127" spans="1:10" x14ac:dyDescent="0.35">
      <c r="A4127" t="s">
        <v>15</v>
      </c>
      <c r="B4127" t="s">
        <v>31</v>
      </c>
      <c r="C4127" s="77" t="s">
        <v>91</v>
      </c>
      <c r="D4127" t="s">
        <v>81</v>
      </c>
      <c r="E4127" s="77" t="s">
        <v>101</v>
      </c>
      <c r="F4127" s="77" t="s">
        <v>73</v>
      </c>
      <c r="G4127" s="77" t="s">
        <v>74</v>
      </c>
      <c r="H4127" s="77" t="s">
        <v>127</v>
      </c>
      <c r="I4127" s="77" t="s">
        <v>84</v>
      </c>
      <c r="J4127" s="76">
        <v>0</v>
      </c>
    </row>
    <row r="4128" spans="1:10" x14ac:dyDescent="0.35">
      <c r="A4128" t="s">
        <v>15</v>
      </c>
      <c r="B4128" t="s">
        <v>31</v>
      </c>
      <c r="C4128" s="77" t="s">
        <v>91</v>
      </c>
      <c r="D4128" t="s">
        <v>81</v>
      </c>
      <c r="E4128" s="77" t="s">
        <v>104</v>
      </c>
      <c r="F4128" s="77" t="s">
        <v>73</v>
      </c>
      <c r="G4128" s="77" t="s">
        <v>74</v>
      </c>
      <c r="H4128" s="77" t="s">
        <v>127</v>
      </c>
      <c r="I4128" s="77" t="s">
        <v>84</v>
      </c>
      <c r="J4128" s="76">
        <v>0</v>
      </c>
    </row>
    <row r="4129" spans="1:10" x14ac:dyDescent="0.35">
      <c r="A4129" t="s">
        <v>15</v>
      </c>
      <c r="B4129" t="s">
        <v>31</v>
      </c>
      <c r="C4129" s="77" t="s">
        <v>91</v>
      </c>
      <c r="D4129" t="s">
        <v>81</v>
      </c>
      <c r="E4129" s="77" t="s">
        <v>106</v>
      </c>
      <c r="F4129" s="77" t="s">
        <v>73</v>
      </c>
      <c r="G4129" s="77" t="s">
        <v>74</v>
      </c>
      <c r="H4129" s="77" t="s">
        <v>127</v>
      </c>
      <c r="I4129" s="77" t="s">
        <v>84</v>
      </c>
      <c r="J4129" s="76">
        <v>0</v>
      </c>
    </row>
    <row r="4130" spans="1:10" x14ac:dyDescent="0.35">
      <c r="A4130" t="s">
        <v>15</v>
      </c>
      <c r="B4130" t="s">
        <v>31</v>
      </c>
      <c r="C4130" s="77" t="s">
        <v>92</v>
      </c>
      <c r="D4130" t="s">
        <v>81</v>
      </c>
      <c r="E4130" s="77" t="s">
        <v>119</v>
      </c>
      <c r="F4130" s="77" t="s">
        <v>73</v>
      </c>
      <c r="G4130" s="77" t="s">
        <v>74</v>
      </c>
      <c r="H4130" s="77" t="s">
        <v>127</v>
      </c>
      <c r="I4130" s="77" t="s">
        <v>84</v>
      </c>
      <c r="J4130" s="76">
        <f>'SUT_EU27 total'!$M$90</f>
        <v>0.13886309499777949</v>
      </c>
    </row>
    <row r="4131" spans="1:10" x14ac:dyDescent="0.35">
      <c r="A4131" t="s">
        <v>15</v>
      </c>
      <c r="B4131" t="s">
        <v>31</v>
      </c>
      <c r="C4131" s="77" t="s">
        <v>92</v>
      </c>
      <c r="D4131" t="s">
        <v>81</v>
      </c>
      <c r="E4131" s="77" t="s">
        <v>124</v>
      </c>
      <c r="F4131" s="77" t="s">
        <v>73</v>
      </c>
      <c r="G4131" s="77" t="s">
        <v>74</v>
      </c>
      <c r="H4131" s="77" t="s">
        <v>127</v>
      </c>
      <c r="I4131" s="77" t="s">
        <v>84</v>
      </c>
      <c r="J4131" s="76" cm="1">
        <f t="array" ref="J4131:J4139">'SUT_EU27 total'!$M$94:$M$102</f>
        <v>9.2968907089085616E-5</v>
      </c>
    </row>
    <row r="4132" spans="1:10" x14ac:dyDescent="0.35">
      <c r="A4132" t="s">
        <v>15</v>
      </c>
      <c r="B4132" t="s">
        <v>31</v>
      </c>
      <c r="C4132" s="77" t="s">
        <v>92</v>
      </c>
      <c r="D4132" t="s">
        <v>81</v>
      </c>
      <c r="E4132" s="77" t="s">
        <v>117</v>
      </c>
      <c r="F4132" s="77" t="s">
        <v>73</v>
      </c>
      <c r="G4132" s="77" t="s">
        <v>74</v>
      </c>
      <c r="H4132" s="77" t="s">
        <v>127</v>
      </c>
      <c r="I4132" s="77" t="s">
        <v>84</v>
      </c>
      <c r="J4132" s="76">
        <v>0</v>
      </c>
    </row>
    <row r="4133" spans="1:10" x14ac:dyDescent="0.35">
      <c r="A4133" t="s">
        <v>15</v>
      </c>
      <c r="B4133" t="s">
        <v>31</v>
      </c>
      <c r="C4133" s="77" t="s">
        <v>92</v>
      </c>
      <c r="D4133" t="s">
        <v>81</v>
      </c>
      <c r="E4133" s="77" t="s">
        <v>82</v>
      </c>
      <c r="F4133" s="77" t="s">
        <v>73</v>
      </c>
      <c r="G4133" s="77" t="s">
        <v>74</v>
      </c>
      <c r="H4133" s="77" t="s">
        <v>127</v>
      </c>
      <c r="I4133" s="77" t="s">
        <v>84</v>
      </c>
      <c r="J4133" s="76">
        <v>1.1251392039595793E-3</v>
      </c>
    </row>
    <row r="4134" spans="1:10" x14ac:dyDescent="0.35">
      <c r="A4134" t="s">
        <v>15</v>
      </c>
      <c r="B4134" t="s">
        <v>31</v>
      </c>
      <c r="C4134" s="77" t="s">
        <v>92</v>
      </c>
      <c r="D4134" t="s">
        <v>81</v>
      </c>
      <c r="E4134" s="77" t="s">
        <v>125</v>
      </c>
      <c r="F4134" s="77" t="s">
        <v>73</v>
      </c>
      <c r="G4134" s="77" t="s">
        <v>74</v>
      </c>
      <c r="H4134" s="77" t="s">
        <v>127</v>
      </c>
      <c r="I4134" s="77" t="s">
        <v>84</v>
      </c>
      <c r="J4134" s="76">
        <v>5.0048817841215026E-7</v>
      </c>
    </row>
    <row r="4135" spans="1:10" x14ac:dyDescent="0.35">
      <c r="A4135" t="s">
        <v>15</v>
      </c>
      <c r="B4135" t="s">
        <v>31</v>
      </c>
      <c r="C4135" s="77" t="s">
        <v>92</v>
      </c>
      <c r="D4135" t="s">
        <v>81</v>
      </c>
      <c r="E4135" s="77" t="s">
        <v>122</v>
      </c>
      <c r="F4135" s="77" t="s">
        <v>73</v>
      </c>
      <c r="G4135" s="77" t="s">
        <v>74</v>
      </c>
      <c r="H4135" s="77" t="s">
        <v>127</v>
      </c>
      <c r="I4135" s="77" t="s">
        <v>84</v>
      </c>
      <c r="J4135" s="76">
        <v>0</v>
      </c>
    </row>
    <row r="4136" spans="1:10" x14ac:dyDescent="0.35">
      <c r="A4136" t="s">
        <v>15</v>
      </c>
      <c r="B4136" t="s">
        <v>31</v>
      </c>
      <c r="C4136" s="77" t="s">
        <v>92</v>
      </c>
      <c r="D4136" t="s">
        <v>81</v>
      </c>
      <c r="E4136" s="77" t="s">
        <v>126</v>
      </c>
      <c r="F4136" s="77" t="s">
        <v>73</v>
      </c>
      <c r="G4136" s="77" t="s">
        <v>74</v>
      </c>
      <c r="H4136" s="77" t="s">
        <v>127</v>
      </c>
      <c r="I4136" s="77" t="s">
        <v>84</v>
      </c>
      <c r="J4136" s="76">
        <v>0</v>
      </c>
    </row>
    <row r="4137" spans="1:10" x14ac:dyDescent="0.35">
      <c r="A4137" t="s">
        <v>15</v>
      </c>
      <c r="B4137" t="s">
        <v>31</v>
      </c>
      <c r="C4137" s="77" t="s">
        <v>92</v>
      </c>
      <c r="D4137" t="s">
        <v>81</v>
      </c>
      <c r="E4137" s="77" t="s">
        <v>101</v>
      </c>
      <c r="F4137" s="77" t="s">
        <v>73</v>
      </c>
      <c r="G4137" s="77" t="s">
        <v>74</v>
      </c>
      <c r="H4137" s="77" t="s">
        <v>127</v>
      </c>
      <c r="I4137" s="77" t="s">
        <v>84</v>
      </c>
      <c r="J4137" s="76">
        <v>0</v>
      </c>
    </row>
    <row r="4138" spans="1:10" x14ac:dyDescent="0.35">
      <c r="A4138" t="s">
        <v>15</v>
      </c>
      <c r="B4138" t="s">
        <v>31</v>
      </c>
      <c r="C4138" s="77" t="s">
        <v>92</v>
      </c>
      <c r="D4138" t="s">
        <v>81</v>
      </c>
      <c r="E4138" s="77" t="s">
        <v>104</v>
      </c>
      <c r="F4138" s="77" t="s">
        <v>73</v>
      </c>
      <c r="G4138" s="77" t="s">
        <v>74</v>
      </c>
      <c r="H4138" s="77" t="s">
        <v>127</v>
      </c>
      <c r="I4138" s="77" t="s">
        <v>84</v>
      </c>
      <c r="J4138" s="76">
        <v>0</v>
      </c>
    </row>
    <row r="4139" spans="1:10" x14ac:dyDescent="0.35">
      <c r="A4139" t="s">
        <v>15</v>
      </c>
      <c r="B4139" t="s">
        <v>31</v>
      </c>
      <c r="C4139" s="77" t="s">
        <v>92</v>
      </c>
      <c r="D4139" t="s">
        <v>81</v>
      </c>
      <c r="E4139" s="77" t="s">
        <v>106</v>
      </c>
      <c r="F4139" s="77" t="s">
        <v>73</v>
      </c>
      <c r="G4139" s="77" t="s">
        <v>74</v>
      </c>
      <c r="H4139" s="77" t="s">
        <v>127</v>
      </c>
      <c r="I4139" s="77" t="s">
        <v>84</v>
      </c>
      <c r="J4139" s="76">
        <v>0</v>
      </c>
    </row>
    <row r="4140" spans="1:10" x14ac:dyDescent="0.35">
      <c r="A4140" t="s">
        <v>15</v>
      </c>
      <c r="B4140" t="s">
        <v>31</v>
      </c>
      <c r="C4140" s="77" t="s">
        <v>93</v>
      </c>
      <c r="D4140" t="s">
        <v>81</v>
      </c>
      <c r="E4140" s="77" t="s">
        <v>119</v>
      </c>
      <c r="F4140" s="77" t="s">
        <v>73</v>
      </c>
      <c r="G4140" s="77" t="s">
        <v>74</v>
      </c>
      <c r="H4140" s="77" t="s">
        <v>127</v>
      </c>
      <c r="I4140" s="77" t="s">
        <v>84</v>
      </c>
      <c r="J4140" s="76">
        <f>'SUT_EU27 total'!$M$107</f>
        <v>1.0000807460939076</v>
      </c>
    </row>
    <row r="4141" spans="1:10" x14ac:dyDescent="0.35">
      <c r="A4141" t="s">
        <v>15</v>
      </c>
      <c r="B4141" t="s">
        <v>31</v>
      </c>
      <c r="C4141" s="77" t="s">
        <v>93</v>
      </c>
      <c r="D4141" t="s">
        <v>81</v>
      </c>
      <c r="E4141" s="77" t="s">
        <v>124</v>
      </c>
      <c r="F4141" s="77" t="s">
        <v>73</v>
      </c>
      <c r="G4141" s="77" t="s">
        <v>74</v>
      </c>
      <c r="H4141" s="77" t="s">
        <v>127</v>
      </c>
      <c r="I4141" s="77" t="s">
        <v>84</v>
      </c>
      <c r="J4141" s="76" cm="1">
        <f t="array" ref="J4141:J4149">'SUT_EU27 total'!$M$111:$M$119</f>
        <v>3.7052409430862396E-4</v>
      </c>
    </row>
    <row r="4142" spans="1:10" x14ac:dyDescent="0.35">
      <c r="A4142" t="s">
        <v>15</v>
      </c>
      <c r="B4142" t="s">
        <v>31</v>
      </c>
      <c r="C4142" s="77" t="s">
        <v>93</v>
      </c>
      <c r="D4142" t="s">
        <v>81</v>
      </c>
      <c r="E4142" s="77" t="s">
        <v>117</v>
      </c>
      <c r="F4142" s="77" t="s">
        <v>73</v>
      </c>
      <c r="G4142" s="77" t="s">
        <v>74</v>
      </c>
      <c r="H4142" s="77" t="s">
        <v>127</v>
      </c>
      <c r="I4142" s="77" t="s">
        <v>84</v>
      </c>
      <c r="J4142" s="76">
        <v>5.8414042458127093E-3</v>
      </c>
    </row>
    <row r="4143" spans="1:10" x14ac:dyDescent="0.35">
      <c r="A4143" t="s">
        <v>15</v>
      </c>
      <c r="B4143" t="s">
        <v>31</v>
      </c>
      <c r="C4143" s="77" t="s">
        <v>93</v>
      </c>
      <c r="D4143" t="s">
        <v>81</v>
      </c>
      <c r="E4143" s="77" t="s">
        <v>82</v>
      </c>
      <c r="F4143" s="77" t="s">
        <v>73</v>
      </c>
      <c r="G4143" s="77" t="s">
        <v>74</v>
      </c>
      <c r="H4143" s="77" t="s">
        <v>127</v>
      </c>
      <c r="I4143" s="77" t="s">
        <v>84</v>
      </c>
      <c r="J4143" s="76">
        <v>5.0319447308723453E-3</v>
      </c>
    </row>
    <row r="4144" spans="1:10" x14ac:dyDescent="0.35">
      <c r="A4144" t="s">
        <v>15</v>
      </c>
      <c r="B4144" t="s">
        <v>31</v>
      </c>
      <c r="C4144" s="77" t="s">
        <v>93</v>
      </c>
      <c r="D4144" t="s">
        <v>81</v>
      </c>
      <c r="E4144" s="77" t="s">
        <v>125</v>
      </c>
      <c r="F4144" s="77" t="s">
        <v>73</v>
      </c>
      <c r="G4144" s="77" t="s">
        <v>74</v>
      </c>
      <c r="H4144" s="77" t="s">
        <v>127</v>
      </c>
      <c r="I4144" s="77" t="s">
        <v>84</v>
      </c>
      <c r="J4144" s="76">
        <v>4.336096678710085E-4</v>
      </c>
    </row>
    <row r="4145" spans="1:10" x14ac:dyDescent="0.35">
      <c r="A4145" t="s">
        <v>15</v>
      </c>
      <c r="B4145" t="s">
        <v>31</v>
      </c>
      <c r="C4145" s="77" t="s">
        <v>93</v>
      </c>
      <c r="D4145" t="s">
        <v>81</v>
      </c>
      <c r="E4145" s="77" t="s">
        <v>122</v>
      </c>
      <c r="F4145" s="77" t="s">
        <v>73</v>
      </c>
      <c r="G4145" s="77" t="s">
        <v>74</v>
      </c>
      <c r="H4145" s="77" t="s">
        <v>127</v>
      </c>
      <c r="I4145" s="77" t="s">
        <v>84</v>
      </c>
      <c r="J4145" s="76">
        <v>2.7129607609988112E-3</v>
      </c>
    </row>
    <row r="4146" spans="1:10" x14ac:dyDescent="0.35">
      <c r="A4146" t="s">
        <v>15</v>
      </c>
      <c r="B4146" t="s">
        <v>31</v>
      </c>
      <c r="C4146" s="77" t="s">
        <v>93</v>
      </c>
      <c r="D4146" t="s">
        <v>81</v>
      </c>
      <c r="E4146" s="77" t="s">
        <v>126</v>
      </c>
      <c r="F4146" s="77" t="s">
        <v>73</v>
      </c>
      <c r="G4146" s="77" t="s">
        <v>74</v>
      </c>
      <c r="H4146" s="77" t="s">
        <v>127</v>
      </c>
      <c r="I4146" s="77" t="s">
        <v>84</v>
      </c>
      <c r="J4146" s="76">
        <v>4.3855511603587784E-2</v>
      </c>
    </row>
    <row r="4147" spans="1:10" x14ac:dyDescent="0.35">
      <c r="A4147" t="s">
        <v>15</v>
      </c>
      <c r="B4147" t="s">
        <v>31</v>
      </c>
      <c r="C4147" s="77" t="s">
        <v>93</v>
      </c>
      <c r="D4147" t="s">
        <v>81</v>
      </c>
      <c r="E4147" s="77" t="s">
        <v>101</v>
      </c>
      <c r="F4147" s="77" t="s">
        <v>73</v>
      </c>
      <c r="G4147" s="77" t="s">
        <v>74</v>
      </c>
      <c r="H4147" s="77" t="s">
        <v>127</v>
      </c>
      <c r="I4147" s="77" t="s">
        <v>84</v>
      </c>
      <c r="J4147" s="76">
        <v>0</v>
      </c>
    </row>
    <row r="4148" spans="1:10" x14ac:dyDescent="0.35">
      <c r="A4148" t="s">
        <v>15</v>
      </c>
      <c r="B4148" t="s">
        <v>31</v>
      </c>
      <c r="C4148" s="77" t="s">
        <v>93</v>
      </c>
      <c r="D4148" t="s">
        <v>81</v>
      </c>
      <c r="E4148" s="77" t="s">
        <v>104</v>
      </c>
      <c r="F4148" s="77" t="s">
        <v>73</v>
      </c>
      <c r="G4148" s="77" t="s">
        <v>74</v>
      </c>
      <c r="H4148" s="77" t="s">
        <v>127</v>
      </c>
      <c r="I4148" s="77" t="s">
        <v>84</v>
      </c>
      <c r="J4148" s="76">
        <v>0</v>
      </c>
    </row>
    <row r="4149" spans="1:10" x14ac:dyDescent="0.35">
      <c r="A4149" t="s">
        <v>15</v>
      </c>
      <c r="B4149" t="s">
        <v>31</v>
      </c>
      <c r="C4149" s="77" t="s">
        <v>93</v>
      </c>
      <c r="D4149" t="s">
        <v>81</v>
      </c>
      <c r="E4149" s="77" t="s">
        <v>106</v>
      </c>
      <c r="F4149" s="77" t="s">
        <v>73</v>
      </c>
      <c r="G4149" s="77" t="s">
        <v>74</v>
      </c>
      <c r="H4149" s="77" t="s">
        <v>127</v>
      </c>
      <c r="I4149" s="77" t="s">
        <v>84</v>
      </c>
      <c r="J4149" s="76">
        <v>0</v>
      </c>
    </row>
    <row r="4150" spans="1:10" x14ac:dyDescent="0.35">
      <c r="A4150" t="s">
        <v>15</v>
      </c>
      <c r="B4150" t="s">
        <v>31</v>
      </c>
      <c r="C4150" s="77" t="s">
        <v>73</v>
      </c>
      <c r="D4150" t="s">
        <v>81</v>
      </c>
      <c r="E4150" s="77" t="s">
        <v>82</v>
      </c>
      <c r="F4150" s="77" t="s">
        <v>73</v>
      </c>
      <c r="G4150" s="77" t="s">
        <v>74</v>
      </c>
      <c r="H4150" s="77" t="s">
        <v>128</v>
      </c>
      <c r="I4150" s="77" t="s">
        <v>84</v>
      </c>
      <c r="J4150" s="467" cm="1">
        <f t="array" ref="J4150:J4173">Sensitivity!J42:J65</f>
        <v>4.1745598096881081E-2</v>
      </c>
    </row>
    <row r="4151" spans="1:10" x14ac:dyDescent="0.35">
      <c r="A4151" t="s">
        <v>15</v>
      </c>
      <c r="B4151" t="s">
        <v>31</v>
      </c>
      <c r="C4151" s="77" t="s">
        <v>73</v>
      </c>
      <c r="D4151" t="s">
        <v>81</v>
      </c>
      <c r="E4151" s="77" t="s">
        <v>86</v>
      </c>
      <c r="F4151" s="77" t="s">
        <v>73</v>
      </c>
      <c r="G4151" s="77" t="s">
        <v>74</v>
      </c>
      <c r="H4151" s="77" t="s">
        <v>128</v>
      </c>
      <c r="I4151" s="77" t="s">
        <v>84</v>
      </c>
      <c r="J4151" s="467">
        <v>1.8928725973451437E-3</v>
      </c>
    </row>
    <row r="4152" spans="1:10" x14ac:dyDescent="0.35">
      <c r="A4152" t="s">
        <v>15</v>
      </c>
      <c r="B4152" t="s">
        <v>31</v>
      </c>
      <c r="C4152" s="77" t="s">
        <v>88</v>
      </c>
      <c r="D4152" t="s">
        <v>81</v>
      </c>
      <c r="E4152" s="77" t="s">
        <v>82</v>
      </c>
      <c r="F4152" s="77" t="s">
        <v>73</v>
      </c>
      <c r="G4152" s="77" t="s">
        <v>74</v>
      </c>
      <c r="H4152" s="77" t="s">
        <v>128</v>
      </c>
      <c r="I4152" s="77" t="s">
        <v>84</v>
      </c>
      <c r="J4152" s="467">
        <v>2.6279577842549875E-2</v>
      </c>
    </row>
    <row r="4153" spans="1:10" x14ac:dyDescent="0.35">
      <c r="A4153" t="s">
        <v>15</v>
      </c>
      <c r="B4153" t="s">
        <v>31</v>
      </c>
      <c r="C4153" s="77" t="s">
        <v>88</v>
      </c>
      <c r="D4153" t="s">
        <v>81</v>
      </c>
      <c r="E4153" s="77" t="s">
        <v>86</v>
      </c>
      <c r="F4153" s="77" t="s">
        <v>73</v>
      </c>
      <c r="G4153" s="77" t="s">
        <v>74</v>
      </c>
      <c r="H4153" s="77" t="s">
        <v>128</v>
      </c>
      <c r="I4153" s="77" t="s">
        <v>84</v>
      </c>
      <c r="J4153" s="467">
        <v>4.2873313285756449E-2</v>
      </c>
    </row>
    <row r="4154" spans="1:10" x14ac:dyDescent="0.35">
      <c r="A4154" t="s">
        <v>15</v>
      </c>
      <c r="B4154" t="s">
        <v>31</v>
      </c>
      <c r="C4154" s="77" t="s">
        <v>90</v>
      </c>
      <c r="D4154" t="s">
        <v>81</v>
      </c>
      <c r="E4154" s="77" t="s">
        <v>82</v>
      </c>
      <c r="F4154" s="77" t="s">
        <v>73</v>
      </c>
      <c r="G4154" s="77" t="s">
        <v>74</v>
      </c>
      <c r="H4154" s="77" t="s">
        <v>128</v>
      </c>
      <c r="I4154" s="77" t="s">
        <v>84</v>
      </c>
      <c r="J4154" s="467">
        <v>6.3224022592840835E-6</v>
      </c>
    </row>
    <row r="4155" spans="1:10" x14ac:dyDescent="0.35">
      <c r="A4155" t="s">
        <v>15</v>
      </c>
      <c r="B4155" t="s">
        <v>31</v>
      </c>
      <c r="C4155" s="77" t="s">
        <v>90</v>
      </c>
      <c r="D4155" t="s">
        <v>81</v>
      </c>
      <c r="E4155" s="77" t="s">
        <v>86</v>
      </c>
      <c r="F4155" s="77" t="s">
        <v>73</v>
      </c>
      <c r="G4155" s="77" t="s">
        <v>74</v>
      </c>
      <c r="H4155" s="77" t="s">
        <v>128</v>
      </c>
      <c r="I4155" s="77" t="s">
        <v>84</v>
      </c>
      <c r="J4155" s="467">
        <v>5.6116726957544357E-3</v>
      </c>
    </row>
    <row r="4156" spans="1:10" x14ac:dyDescent="0.35">
      <c r="A4156" t="s">
        <v>15</v>
      </c>
      <c r="B4156" t="s">
        <v>31</v>
      </c>
      <c r="C4156" s="77" t="s">
        <v>91</v>
      </c>
      <c r="D4156" t="s">
        <v>81</v>
      </c>
      <c r="E4156" s="77" t="s">
        <v>82</v>
      </c>
      <c r="F4156" s="77" t="s">
        <v>73</v>
      </c>
      <c r="G4156" s="77" t="s">
        <v>74</v>
      </c>
      <c r="H4156" s="77" t="s">
        <v>128</v>
      </c>
      <c r="I4156" s="77" t="s">
        <v>84</v>
      </c>
      <c r="J4156" s="467">
        <v>1.230167843126702E-3</v>
      </c>
    </row>
    <row r="4157" spans="1:10" x14ac:dyDescent="0.35">
      <c r="A4157" t="s">
        <v>15</v>
      </c>
      <c r="B4157" t="s">
        <v>31</v>
      </c>
      <c r="C4157" s="77" t="s">
        <v>91</v>
      </c>
      <c r="D4157" t="s">
        <v>81</v>
      </c>
      <c r="E4157" s="77" t="s">
        <v>86</v>
      </c>
      <c r="F4157" s="77" t="s">
        <v>73</v>
      </c>
      <c r="G4157" s="77" t="s">
        <v>74</v>
      </c>
      <c r="H4157" s="77" t="s">
        <v>128</v>
      </c>
      <c r="I4157" s="77" t="s">
        <v>84</v>
      </c>
      <c r="J4157" s="467">
        <v>6.9823735421078153E-3</v>
      </c>
    </row>
    <row r="4158" spans="1:10" x14ac:dyDescent="0.35">
      <c r="A4158" t="s">
        <v>15</v>
      </c>
      <c r="B4158" t="s">
        <v>31</v>
      </c>
      <c r="C4158" s="77" t="s">
        <v>92</v>
      </c>
      <c r="D4158" t="s">
        <v>81</v>
      </c>
      <c r="E4158" s="77" t="s">
        <v>82</v>
      </c>
      <c r="F4158" s="77" t="s">
        <v>73</v>
      </c>
      <c r="G4158" s="77" t="s">
        <v>74</v>
      </c>
      <c r="H4158" s="77" t="s">
        <v>128</v>
      </c>
      <c r="I4158" s="77" t="s">
        <v>84</v>
      </c>
      <c r="J4158" s="467">
        <v>1.7077210460603577E-3</v>
      </c>
    </row>
    <row r="4159" spans="1:10" x14ac:dyDescent="0.35">
      <c r="A4159" t="s">
        <v>15</v>
      </c>
      <c r="B4159" t="s">
        <v>31</v>
      </c>
      <c r="C4159" s="77" t="s">
        <v>92</v>
      </c>
      <c r="D4159" t="s">
        <v>81</v>
      </c>
      <c r="E4159" s="77" t="s">
        <v>86</v>
      </c>
      <c r="F4159" s="77" t="s">
        <v>73</v>
      </c>
      <c r="G4159" s="77" t="s">
        <v>74</v>
      </c>
      <c r="H4159" s="77" t="s">
        <v>128</v>
      </c>
      <c r="I4159" s="77" t="s">
        <v>84</v>
      </c>
      <c r="J4159" s="467">
        <v>4.3480840034506481E-3</v>
      </c>
    </row>
    <row r="4160" spans="1:10" x14ac:dyDescent="0.35">
      <c r="A4160" t="s">
        <v>15</v>
      </c>
      <c r="B4160" t="s">
        <v>31</v>
      </c>
      <c r="C4160" s="77" t="s">
        <v>93</v>
      </c>
      <c r="D4160" t="s">
        <v>81</v>
      </c>
      <c r="E4160" s="77" t="s">
        <v>82</v>
      </c>
      <c r="F4160" s="77" t="s">
        <v>73</v>
      </c>
      <c r="G4160" s="77" t="s">
        <v>74</v>
      </c>
      <c r="H4160" s="77" t="s">
        <v>128</v>
      </c>
      <c r="I4160" s="77" t="s">
        <v>84</v>
      </c>
      <c r="J4160" s="467">
        <v>7.0782764884202284E-3</v>
      </c>
    </row>
    <row r="4161" spans="1:10" x14ac:dyDescent="0.35">
      <c r="A4161" t="s">
        <v>15</v>
      </c>
      <c r="B4161" t="s">
        <v>31</v>
      </c>
      <c r="C4161" s="77" t="s">
        <v>93</v>
      </c>
      <c r="D4161" t="s">
        <v>81</v>
      </c>
      <c r="E4161" s="77" t="s">
        <v>86</v>
      </c>
      <c r="F4161" s="77" t="s">
        <v>73</v>
      </c>
      <c r="G4161" s="77" t="s">
        <v>74</v>
      </c>
      <c r="H4161" s="77" t="s">
        <v>128</v>
      </c>
      <c r="I4161" s="77" t="s">
        <v>84</v>
      </c>
      <c r="J4161" s="467">
        <v>1.9445876842222126E-2</v>
      </c>
    </row>
    <row r="4162" spans="1:10" x14ac:dyDescent="0.35">
      <c r="A4162" t="s">
        <v>15</v>
      </c>
      <c r="B4162" t="s">
        <v>31</v>
      </c>
      <c r="C4162" s="77" t="s">
        <v>73</v>
      </c>
      <c r="D4162" t="s">
        <v>81</v>
      </c>
      <c r="E4162" s="77" t="s">
        <v>82</v>
      </c>
      <c r="F4162" s="77" t="s">
        <v>73</v>
      </c>
      <c r="G4162" s="77" t="s">
        <v>74</v>
      </c>
      <c r="H4162" s="77" t="s">
        <v>129</v>
      </c>
      <c r="I4162" s="77" t="s">
        <v>84</v>
      </c>
      <c r="J4162" s="467">
        <v>4.1745598096881081E-2</v>
      </c>
    </row>
    <row r="4163" spans="1:10" x14ac:dyDescent="0.35">
      <c r="A4163" t="s">
        <v>15</v>
      </c>
      <c r="B4163" t="s">
        <v>31</v>
      </c>
      <c r="C4163" s="77" t="s">
        <v>73</v>
      </c>
      <c r="D4163" t="s">
        <v>81</v>
      </c>
      <c r="E4163" s="77" t="s">
        <v>86</v>
      </c>
      <c r="F4163" s="77" t="s">
        <v>73</v>
      </c>
      <c r="G4163" s="77" t="s">
        <v>74</v>
      </c>
      <c r="H4163" s="77" t="s">
        <v>129</v>
      </c>
      <c r="I4163" s="77" t="s">
        <v>84</v>
      </c>
      <c r="J4163" s="467">
        <v>1.8928725973451437E-3</v>
      </c>
    </row>
    <row r="4164" spans="1:10" x14ac:dyDescent="0.35">
      <c r="A4164" t="s">
        <v>15</v>
      </c>
      <c r="B4164" t="s">
        <v>31</v>
      </c>
      <c r="C4164" s="77" t="s">
        <v>88</v>
      </c>
      <c r="D4164" t="s">
        <v>81</v>
      </c>
      <c r="E4164" s="77" t="s">
        <v>82</v>
      </c>
      <c r="F4164" s="77" t="s">
        <v>73</v>
      </c>
      <c r="G4164" s="77" t="s">
        <v>74</v>
      </c>
      <c r="H4164" s="77" t="s">
        <v>129</v>
      </c>
      <c r="I4164" s="77" t="s">
        <v>84</v>
      </c>
      <c r="J4164" s="467">
        <v>2.6279577842549875E-2</v>
      </c>
    </row>
    <row r="4165" spans="1:10" x14ac:dyDescent="0.35">
      <c r="A4165" t="s">
        <v>15</v>
      </c>
      <c r="B4165" t="s">
        <v>31</v>
      </c>
      <c r="C4165" s="77" t="s">
        <v>88</v>
      </c>
      <c r="D4165" t="s">
        <v>81</v>
      </c>
      <c r="E4165" s="77" t="s">
        <v>86</v>
      </c>
      <c r="F4165" s="77" t="s">
        <v>73</v>
      </c>
      <c r="G4165" s="77" t="s">
        <v>74</v>
      </c>
      <c r="H4165" s="77" t="s">
        <v>129</v>
      </c>
      <c r="I4165" s="77" t="s">
        <v>84</v>
      </c>
      <c r="J4165" s="467">
        <v>4.2873313285756449E-2</v>
      </c>
    </row>
    <row r="4166" spans="1:10" x14ac:dyDescent="0.35">
      <c r="A4166" t="s">
        <v>15</v>
      </c>
      <c r="B4166" t="s">
        <v>31</v>
      </c>
      <c r="C4166" s="77" t="s">
        <v>90</v>
      </c>
      <c r="D4166" t="s">
        <v>81</v>
      </c>
      <c r="E4166" s="77" t="s">
        <v>82</v>
      </c>
      <c r="F4166" s="77" t="s">
        <v>73</v>
      </c>
      <c r="G4166" s="77" t="s">
        <v>74</v>
      </c>
      <c r="H4166" s="77" t="s">
        <v>129</v>
      </c>
      <c r="I4166" s="77" t="s">
        <v>84</v>
      </c>
      <c r="J4166" s="467">
        <v>6.3224022592840835E-6</v>
      </c>
    </row>
    <row r="4167" spans="1:10" x14ac:dyDescent="0.35">
      <c r="A4167" t="s">
        <v>15</v>
      </c>
      <c r="B4167" t="s">
        <v>31</v>
      </c>
      <c r="C4167" s="77" t="s">
        <v>90</v>
      </c>
      <c r="D4167" t="s">
        <v>81</v>
      </c>
      <c r="E4167" s="77" t="s">
        <v>86</v>
      </c>
      <c r="F4167" s="77" t="s">
        <v>73</v>
      </c>
      <c r="G4167" s="77" t="s">
        <v>74</v>
      </c>
      <c r="H4167" s="77" t="s">
        <v>129</v>
      </c>
      <c r="I4167" s="77" t="s">
        <v>84</v>
      </c>
      <c r="J4167" s="467">
        <v>5.6116726957544357E-3</v>
      </c>
    </row>
    <row r="4168" spans="1:10" x14ac:dyDescent="0.35">
      <c r="A4168" t="s">
        <v>15</v>
      </c>
      <c r="B4168" t="s">
        <v>31</v>
      </c>
      <c r="C4168" s="77" t="s">
        <v>91</v>
      </c>
      <c r="D4168" t="s">
        <v>81</v>
      </c>
      <c r="E4168" s="77" t="s">
        <v>82</v>
      </c>
      <c r="F4168" s="77" t="s">
        <v>73</v>
      </c>
      <c r="G4168" s="77" t="s">
        <v>74</v>
      </c>
      <c r="H4168" s="77" t="s">
        <v>129</v>
      </c>
      <c r="I4168" s="77" t="s">
        <v>84</v>
      </c>
      <c r="J4168" s="467">
        <v>1.230167843126702E-3</v>
      </c>
    </row>
    <row r="4169" spans="1:10" x14ac:dyDescent="0.35">
      <c r="A4169" t="s">
        <v>15</v>
      </c>
      <c r="B4169" t="s">
        <v>31</v>
      </c>
      <c r="C4169" s="77" t="s">
        <v>91</v>
      </c>
      <c r="D4169" t="s">
        <v>81</v>
      </c>
      <c r="E4169" s="77" t="s">
        <v>86</v>
      </c>
      <c r="F4169" s="77" t="s">
        <v>73</v>
      </c>
      <c r="G4169" s="77" t="s">
        <v>74</v>
      </c>
      <c r="H4169" s="77" t="s">
        <v>129</v>
      </c>
      <c r="I4169" s="77" t="s">
        <v>84</v>
      </c>
      <c r="J4169" s="467">
        <v>6.9823735421078153E-3</v>
      </c>
    </row>
    <row r="4170" spans="1:10" x14ac:dyDescent="0.35">
      <c r="A4170" t="s">
        <v>15</v>
      </c>
      <c r="B4170" t="s">
        <v>31</v>
      </c>
      <c r="C4170" s="77" t="s">
        <v>92</v>
      </c>
      <c r="D4170" t="s">
        <v>81</v>
      </c>
      <c r="E4170" s="77" t="s">
        <v>82</v>
      </c>
      <c r="F4170" s="77" t="s">
        <v>73</v>
      </c>
      <c r="G4170" s="77" t="s">
        <v>74</v>
      </c>
      <c r="H4170" s="77" t="s">
        <v>129</v>
      </c>
      <c r="I4170" s="77" t="s">
        <v>84</v>
      </c>
      <c r="J4170" s="467">
        <v>1.7077210460603577E-3</v>
      </c>
    </row>
    <row r="4171" spans="1:10" x14ac:dyDescent="0.35">
      <c r="A4171" t="s">
        <v>15</v>
      </c>
      <c r="B4171" t="s">
        <v>31</v>
      </c>
      <c r="C4171" s="77" t="s">
        <v>92</v>
      </c>
      <c r="D4171" t="s">
        <v>81</v>
      </c>
      <c r="E4171" s="77" t="s">
        <v>86</v>
      </c>
      <c r="F4171" s="77" t="s">
        <v>73</v>
      </c>
      <c r="G4171" s="77" t="s">
        <v>74</v>
      </c>
      <c r="H4171" s="77" t="s">
        <v>129</v>
      </c>
      <c r="I4171" s="77" t="s">
        <v>84</v>
      </c>
      <c r="J4171" s="467">
        <v>4.3480840034506481E-3</v>
      </c>
    </row>
    <row r="4172" spans="1:10" x14ac:dyDescent="0.35">
      <c r="A4172" t="s">
        <v>15</v>
      </c>
      <c r="B4172" t="s">
        <v>31</v>
      </c>
      <c r="C4172" s="77" t="s">
        <v>93</v>
      </c>
      <c r="D4172" t="s">
        <v>81</v>
      </c>
      <c r="E4172" s="77" t="s">
        <v>82</v>
      </c>
      <c r="F4172" s="77" t="s">
        <v>73</v>
      </c>
      <c r="G4172" s="77" t="s">
        <v>74</v>
      </c>
      <c r="H4172" s="77" t="s">
        <v>129</v>
      </c>
      <c r="I4172" s="77" t="s">
        <v>84</v>
      </c>
      <c r="J4172" s="467">
        <v>7.0782764884202284E-3</v>
      </c>
    </row>
    <row r="4173" spans="1:10" x14ac:dyDescent="0.35">
      <c r="A4173" t="s">
        <v>15</v>
      </c>
      <c r="B4173" t="s">
        <v>31</v>
      </c>
      <c r="C4173" s="77" t="s">
        <v>93</v>
      </c>
      <c r="D4173" t="s">
        <v>81</v>
      </c>
      <c r="E4173" s="77" t="s">
        <v>86</v>
      </c>
      <c r="F4173" s="77" t="s">
        <v>73</v>
      </c>
      <c r="G4173" s="77" t="s">
        <v>74</v>
      </c>
      <c r="H4173" s="77" t="s">
        <v>129</v>
      </c>
      <c r="I4173" s="77" t="s">
        <v>84</v>
      </c>
      <c r="J4173" s="467">
        <v>1.9445876842222126E-2</v>
      </c>
    </row>
    <row r="4174" spans="1:10" x14ac:dyDescent="0.35">
      <c r="A4174" t="s">
        <v>15</v>
      </c>
      <c r="B4174" t="s">
        <v>31</v>
      </c>
      <c r="C4174" s="77" t="s">
        <v>73</v>
      </c>
      <c r="D4174" t="s">
        <v>81</v>
      </c>
      <c r="E4174" s="77" t="s">
        <v>82</v>
      </c>
      <c r="F4174" s="77" t="s">
        <v>73</v>
      </c>
      <c r="G4174" s="77" t="s">
        <v>74</v>
      </c>
      <c r="H4174" s="77" t="s">
        <v>130</v>
      </c>
      <c r="I4174" s="77" t="s">
        <v>84</v>
      </c>
      <c r="J4174" s="76">
        <f>'SUT_EU27 total'!$Q$28</f>
        <v>7.0611384178638645E-2</v>
      </c>
    </row>
    <row r="4175" spans="1:10" x14ac:dyDescent="0.35">
      <c r="A4175" t="s">
        <v>15</v>
      </c>
      <c r="B4175" t="s">
        <v>31</v>
      </c>
      <c r="C4175" s="77" t="s">
        <v>88</v>
      </c>
      <c r="D4175" t="s">
        <v>81</v>
      </c>
      <c r="E4175" s="77" t="s">
        <v>82</v>
      </c>
      <c r="F4175" s="77" t="s">
        <v>73</v>
      </c>
      <c r="G4175" s="77" t="s">
        <v>74</v>
      </c>
      <c r="H4175" s="77" t="s">
        <v>130</v>
      </c>
      <c r="I4175" s="77" t="s">
        <v>84</v>
      </c>
      <c r="J4175" s="76">
        <f>'SUT_EU27 total'!$Q$45</f>
        <v>4.4451090694311274E-2</v>
      </c>
    </row>
    <row r="4176" spans="1:10" x14ac:dyDescent="0.35">
      <c r="A4176" t="s">
        <v>15</v>
      </c>
      <c r="B4176" t="s">
        <v>31</v>
      </c>
      <c r="C4176" s="77" t="s">
        <v>90</v>
      </c>
      <c r="D4176" t="s">
        <v>81</v>
      </c>
      <c r="E4176" s="77" t="s">
        <v>82</v>
      </c>
      <c r="F4176" s="77" t="s">
        <v>73</v>
      </c>
      <c r="G4176" s="77" t="s">
        <v>74</v>
      </c>
      <c r="H4176" s="77" t="s">
        <v>130</v>
      </c>
      <c r="I4176" s="77" t="s">
        <v>84</v>
      </c>
      <c r="J4176" s="76">
        <f>'SUT_EU27 total'!$Q$62</f>
        <v>1.0694147292515508E-5</v>
      </c>
    </row>
    <row r="4177" spans="1:10" x14ac:dyDescent="0.35">
      <c r="A4177" t="s">
        <v>15</v>
      </c>
      <c r="B4177" t="s">
        <v>31</v>
      </c>
      <c r="C4177" s="77" t="s">
        <v>91</v>
      </c>
      <c r="D4177" t="s">
        <v>81</v>
      </c>
      <c r="E4177" s="77" t="s">
        <v>82</v>
      </c>
      <c r="F4177" s="77" t="s">
        <v>73</v>
      </c>
      <c r="G4177" s="77" t="s">
        <v>74</v>
      </c>
      <c r="H4177" s="77" t="s">
        <v>130</v>
      </c>
      <c r="I4177" s="77" t="s">
        <v>84</v>
      </c>
      <c r="J4177" s="76">
        <f>'SUT_EU27 total'!$Q$79</f>
        <v>2.0807907452574416E-3</v>
      </c>
    </row>
    <row r="4178" spans="1:10" x14ac:dyDescent="0.35">
      <c r="A4178" t="s">
        <v>15</v>
      </c>
      <c r="B4178" t="s">
        <v>31</v>
      </c>
      <c r="C4178" s="77" t="s">
        <v>92</v>
      </c>
      <c r="D4178" t="s">
        <v>81</v>
      </c>
      <c r="E4178" s="77" t="s">
        <v>82</v>
      </c>
      <c r="F4178" s="77" t="s">
        <v>73</v>
      </c>
      <c r="G4178" s="77" t="s">
        <v>74</v>
      </c>
      <c r="H4178" s="77" t="s">
        <v>130</v>
      </c>
      <c r="I4178" s="77" t="s">
        <v>84</v>
      </c>
      <c r="J4178" s="76">
        <f>'SUT_EU27 total'!$Q$96</f>
        <v>2.8885571737041122E-3</v>
      </c>
    </row>
    <row r="4179" spans="1:10" x14ac:dyDescent="0.35">
      <c r="A4179" t="s">
        <v>15</v>
      </c>
      <c r="B4179" t="s">
        <v>31</v>
      </c>
      <c r="C4179" s="77" t="s">
        <v>93</v>
      </c>
      <c r="D4179" t="s">
        <v>81</v>
      </c>
      <c r="E4179" s="77" t="s">
        <v>82</v>
      </c>
      <c r="F4179" s="77" t="s">
        <v>73</v>
      </c>
      <c r="G4179" s="77" t="s">
        <v>74</v>
      </c>
      <c r="H4179" s="77" t="s">
        <v>130</v>
      </c>
      <c r="I4179" s="77" t="s">
        <v>84</v>
      </c>
      <c r="J4179" s="76">
        <f>'SUT_EU27 total'!$Q$113</f>
        <v>1.1972685102906883E-2</v>
      </c>
    </row>
    <row r="4180" spans="1:10" x14ac:dyDescent="0.35">
      <c r="A4180" t="s">
        <v>15</v>
      </c>
      <c r="B4180" t="s">
        <v>31</v>
      </c>
      <c r="C4180" s="77" t="s">
        <v>73</v>
      </c>
      <c r="D4180" t="s">
        <v>81</v>
      </c>
      <c r="E4180" s="77" t="s">
        <v>131</v>
      </c>
      <c r="F4180" s="77" t="s">
        <v>73</v>
      </c>
      <c r="G4180" s="77" t="s">
        <v>74</v>
      </c>
      <c r="H4180" s="77" t="s">
        <v>112</v>
      </c>
      <c r="I4180" s="77" t="s">
        <v>84</v>
      </c>
      <c r="J4180" s="76">
        <f>'SUT_EU27 total'!$R$24</f>
        <v>4.0146105919003111E-8</v>
      </c>
    </row>
    <row r="4181" spans="1:10" x14ac:dyDescent="0.35">
      <c r="A4181" t="s">
        <v>15</v>
      </c>
      <c r="B4181" t="s">
        <v>31</v>
      </c>
      <c r="C4181" s="77" t="s">
        <v>73</v>
      </c>
      <c r="D4181" t="s">
        <v>81</v>
      </c>
      <c r="E4181" s="77" t="s">
        <v>122</v>
      </c>
      <c r="F4181" s="77" t="s">
        <v>73</v>
      </c>
      <c r="G4181" s="77" t="s">
        <v>74</v>
      </c>
      <c r="H4181" s="77" t="s">
        <v>112</v>
      </c>
      <c r="I4181" s="77" t="s">
        <v>84</v>
      </c>
      <c r="J4181" s="76">
        <f>'SUT_EU27 total'!$R$30</f>
        <v>3.9708116569218732E-4</v>
      </c>
    </row>
    <row r="4182" spans="1:10" x14ac:dyDescent="0.35">
      <c r="A4182" t="s">
        <v>15</v>
      </c>
      <c r="B4182" t="s">
        <v>31</v>
      </c>
      <c r="C4182" s="77" t="s">
        <v>73</v>
      </c>
      <c r="D4182" t="s">
        <v>81</v>
      </c>
      <c r="E4182" s="77" t="s">
        <v>101</v>
      </c>
      <c r="F4182" s="77" t="s">
        <v>73</v>
      </c>
      <c r="G4182" s="77" t="s">
        <v>74</v>
      </c>
      <c r="H4182" s="77" t="s">
        <v>112</v>
      </c>
      <c r="I4182" s="77" t="s">
        <v>84</v>
      </c>
      <c r="J4182" s="76" cm="1">
        <f t="array" ref="J4182:J4184">'SUT_EU27 total'!$R$32:$R$34</f>
        <v>1.2183459827918709E-7</v>
      </c>
    </row>
    <row r="4183" spans="1:10" x14ac:dyDescent="0.35">
      <c r="A4183" t="s">
        <v>15</v>
      </c>
      <c r="B4183" t="s">
        <v>31</v>
      </c>
      <c r="C4183" s="77" t="s">
        <v>73</v>
      </c>
      <c r="D4183" t="s">
        <v>81</v>
      </c>
      <c r="E4183" s="77" t="s">
        <v>104</v>
      </c>
      <c r="F4183" s="77" t="s">
        <v>73</v>
      </c>
      <c r="G4183" s="77" t="s">
        <v>74</v>
      </c>
      <c r="H4183" s="77" t="s">
        <v>112</v>
      </c>
      <c r="I4183" s="77" t="s">
        <v>84</v>
      </c>
      <c r="J4183" s="76">
        <v>2.3068290654205609E-7</v>
      </c>
    </row>
    <row r="4184" spans="1:10" x14ac:dyDescent="0.35">
      <c r="A4184" t="s">
        <v>15</v>
      </c>
      <c r="B4184" t="s">
        <v>31</v>
      </c>
      <c r="C4184" s="77" t="s">
        <v>73</v>
      </c>
      <c r="D4184" t="s">
        <v>81</v>
      </c>
      <c r="E4184" s="77" t="s">
        <v>106</v>
      </c>
      <c r="F4184" s="77" t="s">
        <v>73</v>
      </c>
      <c r="G4184" s="77" t="s">
        <v>74</v>
      </c>
      <c r="H4184" s="77" t="s">
        <v>112</v>
      </c>
      <c r="I4184" s="77" t="s">
        <v>84</v>
      </c>
      <c r="J4184" s="76">
        <v>7.8463573653760568E-7</v>
      </c>
    </row>
    <row r="4185" spans="1:10" x14ac:dyDescent="0.35">
      <c r="A4185" t="s">
        <v>15</v>
      </c>
      <c r="B4185" t="s">
        <v>31</v>
      </c>
      <c r="C4185" s="77" t="s">
        <v>88</v>
      </c>
      <c r="D4185" t="s">
        <v>81</v>
      </c>
      <c r="E4185" s="77" t="s">
        <v>131</v>
      </c>
      <c r="F4185" s="77" t="s">
        <v>73</v>
      </c>
      <c r="G4185" s="77" t="s">
        <v>74</v>
      </c>
      <c r="H4185" s="77" t="s">
        <v>112</v>
      </c>
      <c r="I4185" s="77" t="s">
        <v>84</v>
      </c>
      <c r="J4185" s="76">
        <f>'SUT_EU27 total'!$R$41</f>
        <v>0</v>
      </c>
    </row>
    <row r="4186" spans="1:10" x14ac:dyDescent="0.35">
      <c r="A4186" t="s">
        <v>15</v>
      </c>
      <c r="B4186" t="s">
        <v>31</v>
      </c>
      <c r="C4186" s="77" t="s">
        <v>88</v>
      </c>
      <c r="D4186" t="s">
        <v>81</v>
      </c>
      <c r="E4186" s="77" t="s">
        <v>122</v>
      </c>
      <c r="F4186" s="77" t="s">
        <v>73</v>
      </c>
      <c r="G4186" s="77" t="s">
        <v>74</v>
      </c>
      <c r="H4186" s="77" t="s">
        <v>112</v>
      </c>
      <c r="I4186" s="77" t="s">
        <v>84</v>
      </c>
      <c r="J4186" s="76">
        <f>'SUT_EU27 total'!$R$47</f>
        <v>0</v>
      </c>
    </row>
    <row r="4187" spans="1:10" x14ac:dyDescent="0.35">
      <c r="A4187" t="s">
        <v>15</v>
      </c>
      <c r="B4187" t="s">
        <v>31</v>
      </c>
      <c r="C4187" s="77" t="s">
        <v>88</v>
      </c>
      <c r="D4187" t="s">
        <v>81</v>
      </c>
      <c r="E4187" s="77" t="s">
        <v>101</v>
      </c>
      <c r="F4187" s="77" t="s">
        <v>73</v>
      </c>
      <c r="G4187" s="77" t="s">
        <v>74</v>
      </c>
      <c r="H4187" s="77" t="s">
        <v>112</v>
      </c>
      <c r="I4187" s="77" t="s">
        <v>84</v>
      </c>
      <c r="J4187" s="76" cm="1">
        <f t="array" ref="J4187:J4189">'SUT_EU27 total'!$R$49:$R$51</f>
        <v>0</v>
      </c>
    </row>
    <row r="4188" spans="1:10" x14ac:dyDescent="0.35">
      <c r="A4188" t="s">
        <v>15</v>
      </c>
      <c r="B4188" t="s">
        <v>31</v>
      </c>
      <c r="C4188" s="77" t="s">
        <v>88</v>
      </c>
      <c r="D4188" t="s">
        <v>81</v>
      </c>
      <c r="E4188" s="77" t="s">
        <v>104</v>
      </c>
      <c r="F4188" s="77" t="s">
        <v>73</v>
      </c>
      <c r="G4188" s="77" t="s">
        <v>74</v>
      </c>
      <c r="H4188" s="77" t="s">
        <v>112</v>
      </c>
      <c r="I4188" s="77" t="s">
        <v>84</v>
      </c>
      <c r="J4188" s="76">
        <v>0</v>
      </c>
    </row>
    <row r="4189" spans="1:10" x14ac:dyDescent="0.35">
      <c r="A4189" t="s">
        <v>15</v>
      </c>
      <c r="B4189" t="s">
        <v>31</v>
      </c>
      <c r="C4189" s="77" t="s">
        <v>88</v>
      </c>
      <c r="D4189" t="s">
        <v>81</v>
      </c>
      <c r="E4189" s="77" t="s">
        <v>106</v>
      </c>
      <c r="F4189" s="77" t="s">
        <v>73</v>
      </c>
      <c r="G4189" s="77" t="s">
        <v>74</v>
      </c>
      <c r="H4189" s="77" t="s">
        <v>112</v>
      </c>
      <c r="I4189" s="77" t="s">
        <v>84</v>
      </c>
      <c r="J4189" s="76">
        <v>0</v>
      </c>
    </row>
    <row r="4190" spans="1:10" x14ac:dyDescent="0.35">
      <c r="A4190" t="s">
        <v>15</v>
      </c>
      <c r="B4190" t="s">
        <v>31</v>
      </c>
      <c r="C4190" s="77" t="s">
        <v>90</v>
      </c>
      <c r="D4190" t="s">
        <v>81</v>
      </c>
      <c r="E4190" s="77" t="s">
        <v>131</v>
      </c>
      <c r="F4190" s="77" t="s">
        <v>73</v>
      </c>
      <c r="G4190" s="77" t="s">
        <v>74</v>
      </c>
      <c r="H4190" s="77" t="s">
        <v>112</v>
      </c>
      <c r="I4190" s="77" t="s">
        <v>84</v>
      </c>
      <c r="J4190" s="76">
        <f>'SUT_EU27 total'!$R$58</f>
        <v>0</v>
      </c>
    </row>
    <row r="4191" spans="1:10" x14ac:dyDescent="0.35">
      <c r="A4191" t="s">
        <v>15</v>
      </c>
      <c r="B4191" t="s">
        <v>31</v>
      </c>
      <c r="C4191" s="77" t="s">
        <v>90</v>
      </c>
      <c r="D4191" t="s">
        <v>81</v>
      </c>
      <c r="E4191" s="77" t="s">
        <v>122</v>
      </c>
      <c r="F4191" s="77" t="s">
        <v>73</v>
      </c>
      <c r="G4191" s="77" t="s">
        <v>74</v>
      </c>
      <c r="H4191" s="77" t="s">
        <v>112</v>
      </c>
      <c r="I4191" s="77" t="s">
        <v>84</v>
      </c>
      <c r="J4191" s="76">
        <f>'SUT_EU27 total'!$R$64</f>
        <v>6.4108466461028498E-4</v>
      </c>
    </row>
    <row r="4192" spans="1:10" x14ac:dyDescent="0.35">
      <c r="A4192" t="s">
        <v>15</v>
      </c>
      <c r="B4192" t="s">
        <v>31</v>
      </c>
      <c r="C4192" s="77" t="s">
        <v>90</v>
      </c>
      <c r="D4192" t="s">
        <v>81</v>
      </c>
      <c r="E4192" s="77" t="s">
        <v>101</v>
      </c>
      <c r="F4192" s="77" t="s">
        <v>73</v>
      </c>
      <c r="G4192" s="77" t="s">
        <v>74</v>
      </c>
      <c r="H4192" s="77" t="s">
        <v>112</v>
      </c>
      <c r="I4192" s="77" t="s">
        <v>84</v>
      </c>
      <c r="J4192" s="76" cm="1">
        <f t="array" ref="J4192:J4194">'SUT_EU27 total'!$R$66:$R$68</f>
        <v>0</v>
      </c>
    </row>
    <row r="4193" spans="1:10" x14ac:dyDescent="0.35">
      <c r="A4193" t="s">
        <v>15</v>
      </c>
      <c r="B4193" t="s">
        <v>31</v>
      </c>
      <c r="C4193" s="77" t="s">
        <v>90</v>
      </c>
      <c r="D4193" t="s">
        <v>81</v>
      </c>
      <c r="E4193" s="77" t="s">
        <v>104</v>
      </c>
      <c r="F4193" s="77" t="s">
        <v>73</v>
      </c>
      <c r="G4193" s="77" t="s">
        <v>74</v>
      </c>
      <c r="H4193" s="77" t="s">
        <v>112</v>
      </c>
      <c r="I4193" s="77" t="s">
        <v>84</v>
      </c>
      <c r="J4193" s="76">
        <v>0</v>
      </c>
    </row>
    <row r="4194" spans="1:10" x14ac:dyDescent="0.35">
      <c r="A4194" t="s">
        <v>15</v>
      </c>
      <c r="B4194" t="s">
        <v>31</v>
      </c>
      <c r="C4194" s="77" t="s">
        <v>90</v>
      </c>
      <c r="D4194" t="s">
        <v>81</v>
      </c>
      <c r="E4194" s="77" t="s">
        <v>106</v>
      </c>
      <c r="F4194" s="77" t="s">
        <v>73</v>
      </c>
      <c r="G4194" s="77" t="s">
        <v>74</v>
      </c>
      <c r="H4194" s="77" t="s">
        <v>112</v>
      </c>
      <c r="I4194" s="77" t="s">
        <v>84</v>
      </c>
      <c r="J4194" s="76">
        <v>0</v>
      </c>
    </row>
    <row r="4195" spans="1:10" x14ac:dyDescent="0.35">
      <c r="A4195" t="s">
        <v>15</v>
      </c>
      <c r="B4195" t="s">
        <v>31</v>
      </c>
      <c r="C4195" s="77" t="s">
        <v>91</v>
      </c>
      <c r="D4195" t="s">
        <v>81</v>
      </c>
      <c r="E4195" s="77" t="s">
        <v>131</v>
      </c>
      <c r="F4195" s="77" t="s">
        <v>73</v>
      </c>
      <c r="G4195" s="77" t="s">
        <v>74</v>
      </c>
      <c r="H4195" s="77" t="s">
        <v>112</v>
      </c>
      <c r="I4195" s="77" t="s">
        <v>84</v>
      </c>
      <c r="J4195" s="76">
        <f>'SUT_EU27 total'!$R$75</f>
        <v>0</v>
      </c>
    </row>
    <row r="4196" spans="1:10" x14ac:dyDescent="0.35">
      <c r="A4196" t="s">
        <v>15</v>
      </c>
      <c r="B4196" t="s">
        <v>31</v>
      </c>
      <c r="C4196" s="77" t="s">
        <v>91</v>
      </c>
      <c r="D4196" t="s">
        <v>81</v>
      </c>
      <c r="E4196" s="77" t="s">
        <v>122</v>
      </c>
      <c r="F4196" s="77" t="s">
        <v>73</v>
      </c>
      <c r="G4196" s="77" t="s">
        <v>74</v>
      </c>
      <c r="H4196" s="77" t="s">
        <v>112</v>
      </c>
      <c r="I4196" s="77" t="s">
        <v>84</v>
      </c>
      <c r="J4196" s="76">
        <f>'SUT_EU27 total'!$R$81</f>
        <v>0</v>
      </c>
    </row>
    <row r="4197" spans="1:10" x14ac:dyDescent="0.35">
      <c r="A4197" t="s">
        <v>15</v>
      </c>
      <c r="B4197" t="s">
        <v>31</v>
      </c>
      <c r="C4197" s="77" t="s">
        <v>91</v>
      </c>
      <c r="D4197" t="s">
        <v>81</v>
      </c>
      <c r="E4197" s="77" t="s">
        <v>101</v>
      </c>
      <c r="F4197" s="77" t="s">
        <v>73</v>
      </c>
      <c r="G4197" s="77" t="s">
        <v>74</v>
      </c>
      <c r="H4197" s="77" t="s">
        <v>112</v>
      </c>
      <c r="I4197" s="77" t="s">
        <v>84</v>
      </c>
      <c r="J4197" s="76" cm="1">
        <f t="array" ref="J4197:J4199">'SUT_EU27 total'!$R$83:$R$85</f>
        <v>0</v>
      </c>
    </row>
    <row r="4198" spans="1:10" x14ac:dyDescent="0.35">
      <c r="A4198" t="s">
        <v>15</v>
      </c>
      <c r="B4198" t="s">
        <v>31</v>
      </c>
      <c r="C4198" s="77" t="s">
        <v>91</v>
      </c>
      <c r="D4198" t="s">
        <v>81</v>
      </c>
      <c r="E4198" s="77" t="s">
        <v>104</v>
      </c>
      <c r="F4198" s="77" t="s">
        <v>73</v>
      </c>
      <c r="G4198" s="77" t="s">
        <v>74</v>
      </c>
      <c r="H4198" s="77" t="s">
        <v>112</v>
      </c>
      <c r="I4198" s="77" t="s">
        <v>84</v>
      </c>
      <c r="J4198" s="76">
        <v>0</v>
      </c>
    </row>
    <row r="4199" spans="1:10" x14ac:dyDescent="0.35">
      <c r="A4199" t="s">
        <v>15</v>
      </c>
      <c r="B4199" t="s">
        <v>31</v>
      </c>
      <c r="C4199" s="77" t="s">
        <v>91</v>
      </c>
      <c r="D4199" t="s">
        <v>81</v>
      </c>
      <c r="E4199" s="77" t="s">
        <v>106</v>
      </c>
      <c r="F4199" s="77" t="s">
        <v>73</v>
      </c>
      <c r="G4199" s="77" t="s">
        <v>74</v>
      </c>
      <c r="H4199" s="77" t="s">
        <v>112</v>
      </c>
      <c r="I4199" s="77" t="s">
        <v>84</v>
      </c>
      <c r="J4199" s="76">
        <v>0</v>
      </c>
    </row>
    <row r="4200" spans="1:10" x14ac:dyDescent="0.35">
      <c r="A4200" t="s">
        <v>15</v>
      </c>
      <c r="B4200" t="s">
        <v>31</v>
      </c>
      <c r="C4200" s="77" t="s">
        <v>92</v>
      </c>
      <c r="D4200" t="s">
        <v>81</v>
      </c>
      <c r="E4200" s="77" t="s">
        <v>131</v>
      </c>
      <c r="F4200" s="77" t="s">
        <v>73</v>
      </c>
      <c r="G4200" s="77" t="s">
        <v>74</v>
      </c>
      <c r="H4200" s="77" t="s">
        <v>112</v>
      </c>
      <c r="I4200" s="77" t="s">
        <v>84</v>
      </c>
      <c r="J4200" s="76">
        <f>'SUT_EU27 total'!$R$92</f>
        <v>0</v>
      </c>
    </row>
    <row r="4201" spans="1:10" x14ac:dyDescent="0.35">
      <c r="A4201" t="s">
        <v>15</v>
      </c>
      <c r="B4201" t="s">
        <v>31</v>
      </c>
      <c r="C4201" s="77" t="s">
        <v>92</v>
      </c>
      <c r="D4201" t="s">
        <v>81</v>
      </c>
      <c r="E4201" s="77" t="s">
        <v>122</v>
      </c>
      <c r="F4201" s="77" t="s">
        <v>73</v>
      </c>
      <c r="G4201" s="77" t="s">
        <v>74</v>
      </c>
      <c r="H4201" s="77" t="s">
        <v>112</v>
      </c>
      <c r="I4201" s="77" t="s">
        <v>84</v>
      </c>
      <c r="J4201" s="76">
        <f>'SUT_EU27 total'!$R$98</f>
        <v>0</v>
      </c>
    </row>
    <row r="4202" spans="1:10" x14ac:dyDescent="0.35">
      <c r="A4202" t="s">
        <v>15</v>
      </c>
      <c r="B4202" t="s">
        <v>31</v>
      </c>
      <c r="C4202" s="77" t="s">
        <v>92</v>
      </c>
      <c r="D4202" t="s">
        <v>81</v>
      </c>
      <c r="E4202" s="77" t="s">
        <v>101</v>
      </c>
      <c r="F4202" s="77" t="s">
        <v>73</v>
      </c>
      <c r="G4202" s="77" t="s">
        <v>74</v>
      </c>
      <c r="H4202" s="77" t="s">
        <v>112</v>
      </c>
      <c r="I4202" s="77" t="s">
        <v>84</v>
      </c>
      <c r="J4202" s="76" cm="1">
        <f t="array" ref="J4202:J4204">'SUT_EU27 total'!$R$100:$R$102</f>
        <v>0</v>
      </c>
    </row>
    <row r="4203" spans="1:10" x14ac:dyDescent="0.35">
      <c r="A4203" t="s">
        <v>15</v>
      </c>
      <c r="B4203" t="s">
        <v>31</v>
      </c>
      <c r="C4203" s="77" t="s">
        <v>92</v>
      </c>
      <c r="D4203" t="s">
        <v>81</v>
      </c>
      <c r="E4203" s="77" t="s">
        <v>104</v>
      </c>
      <c r="F4203" s="77" t="s">
        <v>73</v>
      </c>
      <c r="G4203" s="77" t="s">
        <v>74</v>
      </c>
      <c r="H4203" s="77" t="s">
        <v>112</v>
      </c>
      <c r="I4203" s="77" t="s">
        <v>84</v>
      </c>
      <c r="J4203" s="76">
        <v>0</v>
      </c>
    </row>
    <row r="4204" spans="1:10" x14ac:dyDescent="0.35">
      <c r="A4204" t="s">
        <v>15</v>
      </c>
      <c r="B4204" t="s">
        <v>31</v>
      </c>
      <c r="C4204" s="77" t="s">
        <v>92</v>
      </c>
      <c r="D4204" t="s">
        <v>81</v>
      </c>
      <c r="E4204" s="77" t="s">
        <v>106</v>
      </c>
      <c r="F4204" s="77" t="s">
        <v>73</v>
      </c>
      <c r="G4204" s="77" t="s">
        <v>74</v>
      </c>
      <c r="H4204" s="77" t="s">
        <v>112</v>
      </c>
      <c r="I4204" s="77" t="s">
        <v>84</v>
      </c>
      <c r="J4204" s="76">
        <v>0</v>
      </c>
    </row>
    <row r="4205" spans="1:10" x14ac:dyDescent="0.35">
      <c r="A4205" t="s">
        <v>15</v>
      </c>
      <c r="B4205" t="s">
        <v>31</v>
      </c>
      <c r="C4205" s="77" t="s">
        <v>93</v>
      </c>
      <c r="D4205" t="s">
        <v>81</v>
      </c>
      <c r="E4205" s="77" t="s">
        <v>131</v>
      </c>
      <c r="F4205" s="77" t="s">
        <v>73</v>
      </c>
      <c r="G4205" s="77" t="s">
        <v>74</v>
      </c>
      <c r="H4205" s="77" t="s">
        <v>112</v>
      </c>
      <c r="I4205" s="77" t="s">
        <v>84</v>
      </c>
      <c r="J4205" s="76">
        <f>'SUT_EU27 total'!$R$109</f>
        <v>0</v>
      </c>
    </row>
    <row r="4206" spans="1:10" x14ac:dyDescent="0.35">
      <c r="A4206" t="s">
        <v>15</v>
      </c>
      <c r="B4206" t="s">
        <v>31</v>
      </c>
      <c r="C4206" s="77" t="s">
        <v>93</v>
      </c>
      <c r="D4206" t="s">
        <v>81</v>
      </c>
      <c r="E4206" s="77" t="s">
        <v>122</v>
      </c>
      <c r="F4206" s="77" t="s">
        <v>73</v>
      </c>
      <c r="G4206" s="77" t="s">
        <v>74</v>
      </c>
      <c r="H4206" s="77" t="s">
        <v>112</v>
      </c>
      <c r="I4206" s="77" t="s">
        <v>84</v>
      </c>
      <c r="J4206" s="76">
        <f>'SUT_EU27 total'!$R$115</f>
        <v>2.188358424259166E-3</v>
      </c>
    </row>
    <row r="4207" spans="1:10" x14ac:dyDescent="0.35">
      <c r="A4207" t="s">
        <v>15</v>
      </c>
      <c r="B4207" t="s">
        <v>31</v>
      </c>
      <c r="C4207" s="77" t="s">
        <v>93</v>
      </c>
      <c r="D4207" t="s">
        <v>81</v>
      </c>
      <c r="E4207" s="77" t="s">
        <v>101</v>
      </c>
      <c r="F4207" s="77" t="s">
        <v>73</v>
      </c>
      <c r="G4207" s="77" t="s">
        <v>74</v>
      </c>
      <c r="H4207" s="77" t="s">
        <v>112</v>
      </c>
      <c r="I4207" s="77" t="s">
        <v>84</v>
      </c>
      <c r="J4207" s="76" cm="1">
        <f t="array" ref="J4207:J4209">'SUT_EU27 total'!$R$117:$R$119</f>
        <v>0</v>
      </c>
    </row>
    <row r="4208" spans="1:10" x14ac:dyDescent="0.35">
      <c r="A4208" t="s">
        <v>15</v>
      </c>
      <c r="B4208" t="s">
        <v>31</v>
      </c>
      <c r="C4208" s="77" t="s">
        <v>93</v>
      </c>
      <c r="D4208" t="s">
        <v>81</v>
      </c>
      <c r="E4208" s="77" t="s">
        <v>104</v>
      </c>
      <c r="F4208" s="77" t="s">
        <v>73</v>
      </c>
      <c r="G4208" s="77" t="s">
        <v>74</v>
      </c>
      <c r="H4208" s="77" t="s">
        <v>112</v>
      </c>
      <c r="I4208" s="77" t="s">
        <v>84</v>
      </c>
      <c r="J4208" s="76">
        <v>0</v>
      </c>
    </row>
    <row r="4209" spans="1:10" x14ac:dyDescent="0.35">
      <c r="A4209" t="s">
        <v>15</v>
      </c>
      <c r="B4209" t="s">
        <v>31</v>
      </c>
      <c r="C4209" s="77" t="s">
        <v>93</v>
      </c>
      <c r="D4209" t="s">
        <v>81</v>
      </c>
      <c r="E4209" s="77" t="s">
        <v>106</v>
      </c>
      <c r="F4209" s="77" t="s">
        <v>73</v>
      </c>
      <c r="G4209" s="77" t="s">
        <v>74</v>
      </c>
      <c r="H4209" s="77" t="s">
        <v>112</v>
      </c>
      <c r="I4209" s="77" t="s">
        <v>84</v>
      </c>
      <c r="J4209" s="76">
        <v>0</v>
      </c>
    </row>
    <row r="4210" spans="1:10" x14ac:dyDescent="0.35">
      <c r="A4210" t="s">
        <v>15</v>
      </c>
      <c r="B4210" t="s">
        <v>31</v>
      </c>
      <c r="C4210" s="77" t="s">
        <v>73</v>
      </c>
      <c r="D4210" t="s">
        <v>81</v>
      </c>
      <c r="E4210" s="77" t="s">
        <v>131</v>
      </c>
      <c r="F4210" s="77" t="s">
        <v>73</v>
      </c>
      <c r="G4210" s="77" t="s">
        <v>74</v>
      </c>
      <c r="H4210" s="77" t="s">
        <v>113</v>
      </c>
      <c r="I4210" s="77" t="s">
        <v>84</v>
      </c>
      <c r="J4210" s="76">
        <f>'SUT_EU27 total'!$S$24</f>
        <v>5.0294789999999994E-8</v>
      </c>
    </row>
    <row r="4211" spans="1:10" x14ac:dyDescent="0.35">
      <c r="A4211" t="s">
        <v>15</v>
      </c>
      <c r="B4211" t="s">
        <v>31</v>
      </c>
      <c r="C4211" s="77" t="s">
        <v>73</v>
      </c>
      <c r="D4211" t="s">
        <v>81</v>
      </c>
      <c r="E4211" s="77" t="s">
        <v>101</v>
      </c>
      <c r="F4211" s="77" t="s">
        <v>73</v>
      </c>
      <c r="G4211" s="77" t="s">
        <v>74</v>
      </c>
      <c r="H4211" s="77" t="s">
        <v>113</v>
      </c>
      <c r="I4211" s="77" t="s">
        <v>84</v>
      </c>
      <c r="J4211" s="76" cm="1">
        <f t="array" ref="J4211:J4213">'SUT_EU27 total'!$S$32:$S$34</f>
        <v>1.7883556705882356E-5</v>
      </c>
    </row>
    <row r="4212" spans="1:10" x14ac:dyDescent="0.35">
      <c r="A4212" t="s">
        <v>15</v>
      </c>
      <c r="B4212" t="s">
        <v>31</v>
      </c>
      <c r="C4212" s="77" t="s">
        <v>73</v>
      </c>
      <c r="D4212" t="s">
        <v>81</v>
      </c>
      <c r="E4212" s="77" t="s">
        <v>104</v>
      </c>
      <c r="F4212" s="77" t="s">
        <v>73</v>
      </c>
      <c r="G4212" s="77" t="s">
        <v>74</v>
      </c>
      <c r="H4212" s="77" t="s">
        <v>113</v>
      </c>
      <c r="I4212" s="77" t="s">
        <v>84</v>
      </c>
      <c r="J4212" s="76">
        <v>3.3860913882352942E-5</v>
      </c>
    </row>
    <row r="4213" spans="1:10" x14ac:dyDescent="0.35">
      <c r="A4213" t="s">
        <v>15</v>
      </c>
      <c r="B4213" t="s">
        <v>31</v>
      </c>
      <c r="C4213" s="77" t="s">
        <v>73</v>
      </c>
      <c r="D4213" t="s">
        <v>81</v>
      </c>
      <c r="E4213" s="77" t="s">
        <v>106</v>
      </c>
      <c r="F4213" s="77" t="s">
        <v>73</v>
      </c>
      <c r="G4213" s="77" t="s">
        <v>74</v>
      </c>
      <c r="H4213" s="77" t="s">
        <v>113</v>
      </c>
      <c r="I4213" s="77" t="s">
        <v>84</v>
      </c>
      <c r="J4213" s="76">
        <v>1.1517317647058823E-4</v>
      </c>
    </row>
    <row r="4214" spans="1:10" x14ac:dyDescent="0.35">
      <c r="A4214" t="s">
        <v>15</v>
      </c>
      <c r="B4214" t="s">
        <v>31</v>
      </c>
      <c r="C4214" s="77" t="s">
        <v>88</v>
      </c>
      <c r="D4214" t="s">
        <v>81</v>
      </c>
      <c r="E4214" s="77" t="s">
        <v>131</v>
      </c>
      <c r="F4214" s="77" t="s">
        <v>73</v>
      </c>
      <c r="G4214" s="77" t="s">
        <v>74</v>
      </c>
      <c r="H4214" s="77" t="s">
        <v>113</v>
      </c>
      <c r="I4214" s="77" t="s">
        <v>84</v>
      </c>
      <c r="J4214" s="76">
        <f>'SUT_EU27 total'!$S$41</f>
        <v>0</v>
      </c>
    </row>
    <row r="4215" spans="1:10" x14ac:dyDescent="0.35">
      <c r="A4215" t="s">
        <v>15</v>
      </c>
      <c r="B4215" t="s">
        <v>31</v>
      </c>
      <c r="C4215" s="77" t="s">
        <v>88</v>
      </c>
      <c r="D4215" t="s">
        <v>81</v>
      </c>
      <c r="E4215" s="77" t="s">
        <v>101</v>
      </c>
      <c r="F4215" s="77" t="s">
        <v>73</v>
      </c>
      <c r="G4215" s="77" t="s">
        <v>74</v>
      </c>
      <c r="H4215" s="77" t="s">
        <v>113</v>
      </c>
      <c r="I4215" s="77" t="s">
        <v>84</v>
      </c>
      <c r="J4215" s="76" cm="1">
        <f t="array" ref="J4215:J4217">'SUT_EU27 total'!$S$49:$S$51</f>
        <v>0</v>
      </c>
    </row>
    <row r="4216" spans="1:10" x14ac:dyDescent="0.35">
      <c r="A4216" t="s">
        <v>15</v>
      </c>
      <c r="B4216" t="s">
        <v>31</v>
      </c>
      <c r="C4216" s="77" t="s">
        <v>88</v>
      </c>
      <c r="D4216" t="s">
        <v>81</v>
      </c>
      <c r="E4216" s="77" t="s">
        <v>104</v>
      </c>
      <c r="F4216" s="77" t="s">
        <v>73</v>
      </c>
      <c r="G4216" s="77" t="s">
        <v>74</v>
      </c>
      <c r="H4216" s="77" t="s">
        <v>113</v>
      </c>
      <c r="I4216" s="77" t="s">
        <v>84</v>
      </c>
      <c r="J4216" s="76">
        <v>0</v>
      </c>
    </row>
    <row r="4217" spans="1:10" x14ac:dyDescent="0.35">
      <c r="A4217" t="s">
        <v>15</v>
      </c>
      <c r="B4217" t="s">
        <v>31</v>
      </c>
      <c r="C4217" s="77" t="s">
        <v>88</v>
      </c>
      <c r="D4217" t="s">
        <v>81</v>
      </c>
      <c r="E4217" s="77" t="s">
        <v>106</v>
      </c>
      <c r="F4217" s="77" t="s">
        <v>73</v>
      </c>
      <c r="G4217" s="77" t="s">
        <v>74</v>
      </c>
      <c r="H4217" s="77" t="s">
        <v>113</v>
      </c>
      <c r="I4217" s="77" t="s">
        <v>84</v>
      </c>
      <c r="J4217" s="76">
        <v>0</v>
      </c>
    </row>
    <row r="4218" spans="1:10" x14ac:dyDescent="0.35">
      <c r="A4218" t="s">
        <v>15</v>
      </c>
      <c r="B4218" t="s">
        <v>31</v>
      </c>
      <c r="C4218" s="77" t="s">
        <v>90</v>
      </c>
      <c r="D4218" t="s">
        <v>81</v>
      </c>
      <c r="E4218" s="77" t="s">
        <v>131</v>
      </c>
      <c r="F4218" s="77" t="s">
        <v>73</v>
      </c>
      <c r="G4218" s="77" t="s">
        <v>74</v>
      </c>
      <c r="H4218" s="77" t="s">
        <v>113</v>
      </c>
      <c r="I4218" s="77" t="s">
        <v>84</v>
      </c>
      <c r="J4218" s="76">
        <f>'SUT_EU27 total'!$S$58</f>
        <v>0</v>
      </c>
    </row>
    <row r="4219" spans="1:10" x14ac:dyDescent="0.35">
      <c r="A4219" t="s">
        <v>15</v>
      </c>
      <c r="B4219" t="s">
        <v>31</v>
      </c>
      <c r="C4219" s="77" t="s">
        <v>90</v>
      </c>
      <c r="D4219" t="s">
        <v>81</v>
      </c>
      <c r="E4219" s="77" t="s">
        <v>101</v>
      </c>
      <c r="F4219" s="77" t="s">
        <v>73</v>
      </c>
      <c r="G4219" s="77" t="s">
        <v>74</v>
      </c>
      <c r="H4219" s="77" t="s">
        <v>113</v>
      </c>
      <c r="I4219" s="77" t="s">
        <v>84</v>
      </c>
      <c r="J4219" s="76" cm="1">
        <f t="array" ref="J4219:J4221">'SUT_EU27 total'!$S$66:$S$68</f>
        <v>0</v>
      </c>
    </row>
    <row r="4220" spans="1:10" x14ac:dyDescent="0.35">
      <c r="A4220" t="s">
        <v>15</v>
      </c>
      <c r="B4220" t="s">
        <v>31</v>
      </c>
      <c r="C4220" s="77" t="s">
        <v>90</v>
      </c>
      <c r="D4220" t="s">
        <v>81</v>
      </c>
      <c r="E4220" s="77" t="s">
        <v>104</v>
      </c>
      <c r="F4220" s="77" t="s">
        <v>73</v>
      </c>
      <c r="G4220" s="77" t="s">
        <v>74</v>
      </c>
      <c r="H4220" s="77" t="s">
        <v>113</v>
      </c>
      <c r="I4220" s="77" t="s">
        <v>84</v>
      </c>
      <c r="J4220" s="76">
        <v>0</v>
      </c>
    </row>
    <row r="4221" spans="1:10" x14ac:dyDescent="0.35">
      <c r="A4221" t="s">
        <v>15</v>
      </c>
      <c r="B4221" t="s">
        <v>31</v>
      </c>
      <c r="C4221" s="77" t="s">
        <v>90</v>
      </c>
      <c r="D4221" t="s">
        <v>81</v>
      </c>
      <c r="E4221" s="77" t="s">
        <v>106</v>
      </c>
      <c r="F4221" s="77" t="s">
        <v>73</v>
      </c>
      <c r="G4221" s="77" t="s">
        <v>74</v>
      </c>
      <c r="H4221" s="77" t="s">
        <v>113</v>
      </c>
      <c r="I4221" s="77" t="s">
        <v>84</v>
      </c>
      <c r="J4221" s="76">
        <v>0</v>
      </c>
    </row>
    <row r="4222" spans="1:10" x14ac:dyDescent="0.35">
      <c r="A4222" t="s">
        <v>15</v>
      </c>
      <c r="B4222" t="s">
        <v>31</v>
      </c>
      <c r="C4222" s="77" t="s">
        <v>91</v>
      </c>
      <c r="D4222" t="s">
        <v>81</v>
      </c>
      <c r="E4222" s="77" t="s">
        <v>131</v>
      </c>
      <c r="F4222" s="77" t="s">
        <v>73</v>
      </c>
      <c r="G4222" s="77" t="s">
        <v>74</v>
      </c>
      <c r="H4222" s="77" t="s">
        <v>113</v>
      </c>
      <c r="I4222" s="77" t="s">
        <v>84</v>
      </c>
      <c r="J4222" s="76">
        <f>'SUT_EU27 total'!$S$75</f>
        <v>0</v>
      </c>
    </row>
    <row r="4223" spans="1:10" x14ac:dyDescent="0.35">
      <c r="A4223" t="s">
        <v>15</v>
      </c>
      <c r="B4223" t="s">
        <v>31</v>
      </c>
      <c r="C4223" s="77" t="s">
        <v>91</v>
      </c>
      <c r="D4223" t="s">
        <v>81</v>
      </c>
      <c r="E4223" s="77" t="s">
        <v>101</v>
      </c>
      <c r="F4223" s="77" t="s">
        <v>73</v>
      </c>
      <c r="G4223" s="77" t="s">
        <v>74</v>
      </c>
      <c r="H4223" s="77" t="s">
        <v>113</v>
      </c>
      <c r="I4223" s="77" t="s">
        <v>84</v>
      </c>
      <c r="J4223" s="76" cm="1">
        <f t="array" ref="J4223:J4225">'SUT_EU27 total'!$S$83:$S$85</f>
        <v>0</v>
      </c>
    </row>
    <row r="4224" spans="1:10" x14ac:dyDescent="0.35">
      <c r="A4224" t="s">
        <v>15</v>
      </c>
      <c r="B4224" t="s">
        <v>31</v>
      </c>
      <c r="C4224" s="77" t="s">
        <v>91</v>
      </c>
      <c r="D4224" t="s">
        <v>81</v>
      </c>
      <c r="E4224" s="77" t="s">
        <v>104</v>
      </c>
      <c r="F4224" s="77" t="s">
        <v>73</v>
      </c>
      <c r="G4224" s="77" t="s">
        <v>74</v>
      </c>
      <c r="H4224" s="77" t="s">
        <v>113</v>
      </c>
      <c r="I4224" s="77" t="s">
        <v>84</v>
      </c>
      <c r="J4224" s="76">
        <v>0</v>
      </c>
    </row>
    <row r="4225" spans="1:10" x14ac:dyDescent="0.35">
      <c r="A4225" t="s">
        <v>15</v>
      </c>
      <c r="B4225" t="s">
        <v>31</v>
      </c>
      <c r="C4225" s="77" t="s">
        <v>91</v>
      </c>
      <c r="D4225" t="s">
        <v>81</v>
      </c>
      <c r="E4225" s="77" t="s">
        <v>106</v>
      </c>
      <c r="F4225" s="77" t="s">
        <v>73</v>
      </c>
      <c r="G4225" s="77" t="s">
        <v>74</v>
      </c>
      <c r="H4225" s="77" t="s">
        <v>113</v>
      </c>
      <c r="I4225" s="77" t="s">
        <v>84</v>
      </c>
      <c r="J4225" s="76">
        <v>0</v>
      </c>
    </row>
    <row r="4226" spans="1:10" x14ac:dyDescent="0.35">
      <c r="A4226" t="s">
        <v>15</v>
      </c>
      <c r="B4226" t="s">
        <v>31</v>
      </c>
      <c r="C4226" s="77" t="s">
        <v>92</v>
      </c>
      <c r="D4226" t="s">
        <v>81</v>
      </c>
      <c r="E4226" s="77" t="s">
        <v>131</v>
      </c>
      <c r="F4226" s="77" t="s">
        <v>73</v>
      </c>
      <c r="G4226" s="77" t="s">
        <v>74</v>
      </c>
      <c r="H4226" s="77" t="s">
        <v>113</v>
      </c>
      <c r="I4226" s="77" t="s">
        <v>84</v>
      </c>
      <c r="J4226" s="76">
        <f>'SUT_EU27 total'!$S$92</f>
        <v>0</v>
      </c>
    </row>
    <row r="4227" spans="1:10" x14ac:dyDescent="0.35">
      <c r="A4227" t="s">
        <v>15</v>
      </c>
      <c r="B4227" t="s">
        <v>31</v>
      </c>
      <c r="C4227" s="77" t="s">
        <v>92</v>
      </c>
      <c r="D4227" t="s">
        <v>81</v>
      </c>
      <c r="E4227" s="77" t="s">
        <v>101</v>
      </c>
      <c r="F4227" s="77" t="s">
        <v>73</v>
      </c>
      <c r="G4227" s="77" t="s">
        <v>74</v>
      </c>
      <c r="H4227" s="77" t="s">
        <v>113</v>
      </c>
      <c r="I4227" s="77" t="s">
        <v>84</v>
      </c>
      <c r="J4227" s="76" cm="1">
        <f t="array" ref="J4227:J4229">'SUT_EU27 total'!$S$100:$S$102</f>
        <v>0</v>
      </c>
    </row>
    <row r="4228" spans="1:10" x14ac:dyDescent="0.35">
      <c r="A4228" t="s">
        <v>15</v>
      </c>
      <c r="B4228" t="s">
        <v>31</v>
      </c>
      <c r="C4228" s="77" t="s">
        <v>92</v>
      </c>
      <c r="D4228" t="s">
        <v>81</v>
      </c>
      <c r="E4228" s="77" t="s">
        <v>104</v>
      </c>
      <c r="F4228" s="77" t="s">
        <v>73</v>
      </c>
      <c r="G4228" s="77" t="s">
        <v>74</v>
      </c>
      <c r="H4228" s="77" t="s">
        <v>113</v>
      </c>
      <c r="I4228" s="77" t="s">
        <v>84</v>
      </c>
      <c r="J4228" s="76">
        <v>0</v>
      </c>
    </row>
    <row r="4229" spans="1:10" x14ac:dyDescent="0.35">
      <c r="A4229" t="s">
        <v>15</v>
      </c>
      <c r="B4229" t="s">
        <v>31</v>
      </c>
      <c r="C4229" s="77" t="s">
        <v>92</v>
      </c>
      <c r="D4229" t="s">
        <v>81</v>
      </c>
      <c r="E4229" s="77" t="s">
        <v>106</v>
      </c>
      <c r="F4229" s="77" t="s">
        <v>73</v>
      </c>
      <c r="G4229" s="77" t="s">
        <v>74</v>
      </c>
      <c r="H4229" s="77" t="s">
        <v>113</v>
      </c>
      <c r="I4229" s="77" t="s">
        <v>84</v>
      </c>
      <c r="J4229" s="76">
        <v>0</v>
      </c>
    </row>
    <row r="4230" spans="1:10" x14ac:dyDescent="0.35">
      <c r="A4230" t="s">
        <v>15</v>
      </c>
      <c r="B4230" t="s">
        <v>31</v>
      </c>
      <c r="C4230" s="77" t="s">
        <v>93</v>
      </c>
      <c r="D4230" t="s">
        <v>81</v>
      </c>
      <c r="E4230" s="77" t="s">
        <v>131</v>
      </c>
      <c r="F4230" s="77" t="s">
        <v>73</v>
      </c>
      <c r="G4230" s="77" t="s">
        <v>74</v>
      </c>
      <c r="H4230" s="77" t="s">
        <v>113</v>
      </c>
      <c r="I4230" s="77" t="s">
        <v>84</v>
      </c>
      <c r="J4230" s="76">
        <f>'SUT_EU27 total'!$S$109</f>
        <v>0</v>
      </c>
    </row>
    <row r="4231" spans="1:10" x14ac:dyDescent="0.35">
      <c r="A4231" t="s">
        <v>15</v>
      </c>
      <c r="B4231" t="s">
        <v>31</v>
      </c>
      <c r="C4231" s="77" t="s">
        <v>93</v>
      </c>
      <c r="D4231" t="s">
        <v>81</v>
      </c>
      <c r="E4231" s="77" t="s">
        <v>101</v>
      </c>
      <c r="F4231" s="77" t="s">
        <v>73</v>
      </c>
      <c r="G4231" s="77" t="s">
        <v>74</v>
      </c>
      <c r="H4231" s="77" t="s">
        <v>113</v>
      </c>
      <c r="I4231" s="77" t="s">
        <v>84</v>
      </c>
      <c r="J4231" s="76" cm="1">
        <f t="array" ref="J4231:J4233">'SUT_EU27 total'!$S$117:$S$119</f>
        <v>0</v>
      </c>
    </row>
    <row r="4232" spans="1:10" x14ac:dyDescent="0.35">
      <c r="A4232" t="s">
        <v>15</v>
      </c>
      <c r="B4232" t="s">
        <v>31</v>
      </c>
      <c r="C4232" s="77" t="s">
        <v>93</v>
      </c>
      <c r="D4232" t="s">
        <v>81</v>
      </c>
      <c r="E4232" s="77" t="s">
        <v>104</v>
      </c>
      <c r="F4232" s="77" t="s">
        <v>73</v>
      </c>
      <c r="G4232" s="77" t="s">
        <v>74</v>
      </c>
      <c r="H4232" s="77" t="s">
        <v>113</v>
      </c>
      <c r="I4232" s="77" t="s">
        <v>84</v>
      </c>
      <c r="J4232" s="76">
        <v>0</v>
      </c>
    </row>
    <row r="4233" spans="1:10" x14ac:dyDescent="0.35">
      <c r="A4233" t="s">
        <v>15</v>
      </c>
      <c r="B4233" t="s">
        <v>31</v>
      </c>
      <c r="C4233" s="77" t="s">
        <v>93</v>
      </c>
      <c r="D4233" t="s">
        <v>81</v>
      </c>
      <c r="E4233" s="77" t="s">
        <v>106</v>
      </c>
      <c r="F4233" s="77" t="s">
        <v>73</v>
      </c>
      <c r="G4233" s="77" t="s">
        <v>74</v>
      </c>
      <c r="H4233" s="77" t="s">
        <v>113</v>
      </c>
      <c r="I4233" s="77" t="s">
        <v>84</v>
      </c>
      <c r="J4233" s="76">
        <v>0</v>
      </c>
    </row>
    <row r="4234" spans="1:10" x14ac:dyDescent="0.35">
      <c r="A4234" t="s">
        <v>15</v>
      </c>
      <c r="B4234" t="s">
        <v>31</v>
      </c>
      <c r="C4234" s="77" t="s">
        <v>73</v>
      </c>
      <c r="D4234" t="s">
        <v>74</v>
      </c>
      <c r="E4234" s="77" t="s">
        <v>123</v>
      </c>
      <c r="F4234" s="77" t="s">
        <v>73</v>
      </c>
      <c r="G4234" s="77" t="s">
        <v>81</v>
      </c>
      <c r="H4234" s="77" t="s">
        <v>115</v>
      </c>
      <c r="I4234" s="77" t="s">
        <v>84</v>
      </c>
      <c r="J4234" s="76" cm="1">
        <f t="array" ref="J4234:J4240">TRANSPOSE('2030 pathways'!$C$10:$I$10)</f>
        <v>0.1003</v>
      </c>
    </row>
    <row r="4235" spans="1:10" x14ac:dyDescent="0.35">
      <c r="A4235" t="s">
        <v>15</v>
      </c>
      <c r="B4235" t="s">
        <v>31</v>
      </c>
      <c r="C4235" s="77" t="s">
        <v>73</v>
      </c>
      <c r="D4235" t="s">
        <v>74</v>
      </c>
      <c r="E4235" s="77" t="s">
        <v>127</v>
      </c>
      <c r="F4235" s="77" t="s">
        <v>73</v>
      </c>
      <c r="G4235" s="77" t="s">
        <v>81</v>
      </c>
      <c r="H4235" s="77" t="s">
        <v>115</v>
      </c>
      <c r="I4235" s="77" t="s">
        <v>84</v>
      </c>
      <c r="J4235" s="76">
        <v>2.9499999999999998E-2</v>
      </c>
    </row>
    <row r="4236" spans="1:10" x14ac:dyDescent="0.35">
      <c r="A4236" t="s">
        <v>15</v>
      </c>
      <c r="B4236" t="s">
        <v>31</v>
      </c>
      <c r="C4236" s="77" t="s">
        <v>73</v>
      </c>
      <c r="D4236" t="s">
        <v>74</v>
      </c>
      <c r="E4236" s="77" t="s">
        <v>128</v>
      </c>
      <c r="F4236" s="77" t="s">
        <v>73</v>
      </c>
      <c r="G4236" s="77" t="s">
        <v>81</v>
      </c>
      <c r="H4236" s="77" t="s">
        <v>115</v>
      </c>
      <c r="I4236" s="77" t="s">
        <v>84</v>
      </c>
      <c r="J4236" s="76">
        <v>8.8499999999999995E-2</v>
      </c>
    </row>
    <row r="4237" spans="1:10" x14ac:dyDescent="0.35">
      <c r="A4237" t="s">
        <v>15</v>
      </c>
      <c r="B4237" t="s">
        <v>31</v>
      </c>
      <c r="C4237" s="77" t="s">
        <v>73</v>
      </c>
      <c r="D4237" t="s">
        <v>74</v>
      </c>
      <c r="E4237" s="77" t="s">
        <v>129</v>
      </c>
      <c r="F4237" s="77" t="s">
        <v>73</v>
      </c>
      <c r="G4237" s="77" t="s">
        <v>81</v>
      </c>
      <c r="H4237" s="77" t="s">
        <v>115</v>
      </c>
      <c r="I4237" s="77" t="s">
        <v>84</v>
      </c>
      <c r="J4237" s="76">
        <v>5.8999999999999999E-3</v>
      </c>
    </row>
    <row r="4238" spans="1:10" x14ac:dyDescent="0.35">
      <c r="A4238" t="s">
        <v>15</v>
      </c>
      <c r="B4238" t="s">
        <v>31</v>
      </c>
      <c r="C4238" s="77" t="s">
        <v>73</v>
      </c>
      <c r="D4238" t="s">
        <v>74</v>
      </c>
      <c r="E4238" s="77" t="s">
        <v>77</v>
      </c>
      <c r="F4238" s="77" t="s">
        <v>73</v>
      </c>
      <c r="G4238" s="77" t="s">
        <v>81</v>
      </c>
      <c r="H4238" s="77" t="s">
        <v>115</v>
      </c>
      <c r="I4238" s="77" t="s">
        <v>84</v>
      </c>
      <c r="J4238" s="76">
        <v>5.8999999999999999E-3</v>
      </c>
    </row>
    <row r="4239" spans="1:10" x14ac:dyDescent="0.35">
      <c r="A4239" t="s">
        <v>15</v>
      </c>
      <c r="B4239" t="s">
        <v>31</v>
      </c>
      <c r="C4239" s="77" t="s">
        <v>73</v>
      </c>
      <c r="D4239" t="s">
        <v>74</v>
      </c>
      <c r="E4239" s="77" t="s">
        <v>130</v>
      </c>
      <c r="F4239" s="77" t="s">
        <v>73</v>
      </c>
      <c r="G4239" s="77" t="s">
        <v>81</v>
      </c>
      <c r="H4239" s="77" t="s">
        <v>115</v>
      </c>
      <c r="I4239" s="77" t="s">
        <v>84</v>
      </c>
      <c r="J4239" s="76">
        <v>0.3599</v>
      </c>
    </row>
    <row r="4240" spans="1:10" x14ac:dyDescent="0.35">
      <c r="A4240" t="s">
        <v>15</v>
      </c>
      <c r="B4240" t="s">
        <v>31</v>
      </c>
      <c r="C4240" s="77" t="s">
        <v>73</v>
      </c>
      <c r="D4240" t="s">
        <v>74</v>
      </c>
      <c r="E4240" s="77" t="s">
        <v>132</v>
      </c>
      <c r="F4240" s="77" t="s">
        <v>73</v>
      </c>
      <c r="G4240" s="77" t="s">
        <v>81</v>
      </c>
      <c r="H4240" s="77" t="s">
        <v>115</v>
      </c>
      <c r="I4240" s="77" t="s">
        <v>84</v>
      </c>
      <c r="J4240" s="76">
        <v>0.41</v>
      </c>
    </row>
    <row r="4241" spans="1:10" x14ac:dyDescent="0.35">
      <c r="A4241" t="s">
        <v>15</v>
      </c>
      <c r="B4241" t="s">
        <v>31</v>
      </c>
      <c r="C4241" s="77" t="s">
        <v>73</v>
      </c>
      <c r="D4241" t="s">
        <v>74</v>
      </c>
      <c r="E4241" s="77" t="s">
        <v>133</v>
      </c>
      <c r="F4241" s="77" t="s">
        <v>73</v>
      </c>
      <c r="G4241" s="77" t="s">
        <v>81</v>
      </c>
      <c r="H4241" s="77" t="s">
        <v>115</v>
      </c>
      <c r="I4241" s="77" t="s">
        <v>84</v>
      </c>
      <c r="J4241" s="76">
        <v>0</v>
      </c>
    </row>
    <row r="4242" spans="1:10" x14ac:dyDescent="0.35">
      <c r="A4242" s="468" t="s">
        <v>15</v>
      </c>
      <c r="B4242" s="468" t="s">
        <v>35</v>
      </c>
      <c r="C4242" s="478" t="s">
        <v>73</v>
      </c>
      <c r="D4242" s="468" t="s">
        <v>81</v>
      </c>
      <c r="E4242" s="478" t="s">
        <v>115</v>
      </c>
      <c r="F4242" s="478" t="s">
        <v>73</v>
      </c>
      <c r="G4242" s="478" t="s">
        <v>74</v>
      </c>
      <c r="H4242" s="478" t="s">
        <v>102</v>
      </c>
      <c r="I4242" s="478" t="s">
        <v>84</v>
      </c>
      <c r="J4242" s="479" cm="1">
        <f t="array" ref="J4242:J4243">'SUT_EU27 total'!$J$19:$J$20</f>
        <v>11.828571428571427</v>
      </c>
    </row>
    <row r="4243" spans="1:10" x14ac:dyDescent="0.35">
      <c r="A4243" t="s">
        <v>15</v>
      </c>
      <c r="B4243" t="s">
        <v>35</v>
      </c>
      <c r="C4243" s="77" t="s">
        <v>73</v>
      </c>
      <c r="D4243" t="s">
        <v>81</v>
      </c>
      <c r="E4243" s="77" t="s">
        <v>116</v>
      </c>
      <c r="F4243" s="77" t="s">
        <v>73</v>
      </c>
      <c r="G4243" s="77" t="s">
        <v>74</v>
      </c>
      <c r="H4243" s="77" t="s">
        <v>102</v>
      </c>
      <c r="I4243" s="77" t="s">
        <v>84</v>
      </c>
      <c r="J4243" s="76">
        <v>3.3421988920214002E-2</v>
      </c>
    </row>
    <row r="4244" spans="1:10" x14ac:dyDescent="0.35">
      <c r="A4244" t="s">
        <v>15</v>
      </c>
      <c r="B4244" t="s">
        <v>35</v>
      </c>
      <c r="C4244" s="77" t="s">
        <v>73</v>
      </c>
      <c r="D4244" t="s">
        <v>81</v>
      </c>
      <c r="E4244" s="77" t="s">
        <v>117</v>
      </c>
      <c r="F4244" s="77" t="s">
        <v>73</v>
      </c>
      <c r="G4244" s="77" t="s">
        <v>74</v>
      </c>
      <c r="H4244" s="77" t="s">
        <v>102</v>
      </c>
      <c r="I4244" s="77" t="s">
        <v>84</v>
      </c>
      <c r="J4244" s="76">
        <f>'SUT_EU27 total'!$J$27</f>
        <v>20.996100000000002</v>
      </c>
    </row>
    <row r="4245" spans="1:10" x14ac:dyDescent="0.35">
      <c r="A4245" t="s">
        <v>15</v>
      </c>
      <c r="B4245" t="s">
        <v>35</v>
      </c>
      <c r="C4245" s="77" t="s">
        <v>73</v>
      </c>
      <c r="D4245" t="s">
        <v>81</v>
      </c>
      <c r="E4245" s="77" t="s">
        <v>101</v>
      </c>
      <c r="F4245" s="77" t="s">
        <v>73</v>
      </c>
      <c r="G4245" s="77" t="s">
        <v>74</v>
      </c>
      <c r="H4245" s="77" t="s">
        <v>102</v>
      </c>
      <c r="I4245" s="77" t="s">
        <v>84</v>
      </c>
      <c r="J4245" s="76" cm="1">
        <f t="array" ref="J4245:J4247">'SUT_EU27 total'!$J$32:$J$34</f>
        <v>0.13437998483817604</v>
      </c>
    </row>
    <row r="4246" spans="1:10" x14ac:dyDescent="0.35">
      <c r="A4246" t="s">
        <v>15</v>
      </c>
      <c r="B4246" t="s">
        <v>35</v>
      </c>
      <c r="C4246" s="77" t="s">
        <v>73</v>
      </c>
      <c r="D4246" t="s">
        <v>81</v>
      </c>
      <c r="E4246" s="77" t="s">
        <v>104</v>
      </c>
      <c r="F4246" s="77" t="s">
        <v>73</v>
      </c>
      <c r="G4246" s="77" t="s">
        <v>74</v>
      </c>
      <c r="H4246" s="77" t="s">
        <v>102</v>
      </c>
      <c r="I4246" s="77" t="s">
        <v>84</v>
      </c>
      <c r="J4246" s="76">
        <v>0.25443647306582401</v>
      </c>
    </row>
    <row r="4247" spans="1:10" x14ac:dyDescent="0.35">
      <c r="A4247" t="s">
        <v>15</v>
      </c>
      <c r="B4247" t="s">
        <v>35</v>
      </c>
      <c r="C4247" s="77" t="s">
        <v>73</v>
      </c>
      <c r="D4247" t="s">
        <v>81</v>
      </c>
      <c r="E4247" s="77" t="s">
        <v>106</v>
      </c>
      <c r="F4247" s="77" t="s">
        <v>73</v>
      </c>
      <c r="G4247" s="77" t="s">
        <v>74</v>
      </c>
      <c r="H4247" s="77" t="s">
        <v>102</v>
      </c>
      <c r="I4247" s="77" t="s">
        <v>84</v>
      </c>
      <c r="J4247" s="76">
        <v>0.86543018049599985</v>
      </c>
    </row>
    <row r="4248" spans="1:10" x14ac:dyDescent="0.35">
      <c r="A4248" t="s">
        <v>15</v>
      </c>
      <c r="B4248" t="s">
        <v>35</v>
      </c>
      <c r="C4248" s="77" t="s">
        <v>88</v>
      </c>
      <c r="D4248" t="s">
        <v>81</v>
      </c>
      <c r="E4248" s="77" t="s">
        <v>115</v>
      </c>
      <c r="F4248" s="77" t="s">
        <v>73</v>
      </c>
      <c r="G4248" s="77" t="s">
        <v>74</v>
      </c>
      <c r="H4248" s="77" t="s">
        <v>102</v>
      </c>
      <c r="I4248" s="77" t="s">
        <v>84</v>
      </c>
      <c r="J4248" s="76" cm="1">
        <f t="array" ref="J4248:J4249">'SUT_EU27 total'!$J$36:$J$37</f>
        <v>78.857142857142847</v>
      </c>
    </row>
    <row r="4249" spans="1:10" x14ac:dyDescent="0.35">
      <c r="A4249" t="s">
        <v>15</v>
      </c>
      <c r="B4249" t="s">
        <v>35</v>
      </c>
      <c r="C4249" s="77" t="s">
        <v>88</v>
      </c>
      <c r="D4249" t="s">
        <v>81</v>
      </c>
      <c r="E4249" s="77" t="s">
        <v>116</v>
      </c>
      <c r="F4249" s="77" t="s">
        <v>73</v>
      </c>
      <c r="G4249" s="77" t="s">
        <v>74</v>
      </c>
      <c r="H4249" s="77" t="s">
        <v>102</v>
      </c>
      <c r="I4249" s="77" t="s">
        <v>84</v>
      </c>
      <c r="J4249" s="76">
        <v>0.7862213561563367</v>
      </c>
    </row>
    <row r="4250" spans="1:10" x14ac:dyDescent="0.35">
      <c r="A4250" t="s">
        <v>15</v>
      </c>
      <c r="B4250" t="s">
        <v>35</v>
      </c>
      <c r="C4250" s="77" t="s">
        <v>88</v>
      </c>
      <c r="D4250" t="s">
        <v>81</v>
      </c>
      <c r="E4250" s="77" t="s">
        <v>117</v>
      </c>
      <c r="F4250" s="77" t="s">
        <v>73</v>
      </c>
      <c r="G4250" s="77" t="s">
        <v>74</v>
      </c>
      <c r="H4250" s="77" t="s">
        <v>102</v>
      </c>
      <c r="I4250" s="77" t="s">
        <v>84</v>
      </c>
      <c r="J4250" s="76">
        <f>'SUT_EU27 total'!$J$44</f>
        <v>286.26390000000004</v>
      </c>
    </row>
    <row r="4251" spans="1:10" x14ac:dyDescent="0.35">
      <c r="A4251" t="s">
        <v>15</v>
      </c>
      <c r="B4251" t="s">
        <v>35</v>
      </c>
      <c r="C4251" s="77" t="s">
        <v>88</v>
      </c>
      <c r="D4251" t="s">
        <v>81</v>
      </c>
      <c r="E4251" s="77" t="s">
        <v>101</v>
      </c>
      <c r="F4251" s="77" t="s">
        <v>73</v>
      </c>
      <c r="G4251" s="77" t="s">
        <v>74</v>
      </c>
      <c r="H4251" s="77" t="s">
        <v>102</v>
      </c>
      <c r="I4251" s="77" t="s">
        <v>84</v>
      </c>
      <c r="J4251" s="76" cm="1">
        <f t="array" ref="J4251:J4253">'SUT_EU27 total'!$J$49:$J$51</f>
        <v>0</v>
      </c>
    </row>
    <row r="4252" spans="1:10" x14ac:dyDescent="0.35">
      <c r="A4252" t="s">
        <v>15</v>
      </c>
      <c r="B4252" t="s">
        <v>35</v>
      </c>
      <c r="C4252" s="77" t="s">
        <v>88</v>
      </c>
      <c r="D4252" t="s">
        <v>81</v>
      </c>
      <c r="E4252" s="77" t="s">
        <v>104</v>
      </c>
      <c r="F4252" s="77" t="s">
        <v>73</v>
      </c>
      <c r="G4252" s="77" t="s">
        <v>74</v>
      </c>
      <c r="H4252" s="77" t="s">
        <v>102</v>
      </c>
      <c r="I4252" s="77" t="s">
        <v>84</v>
      </c>
      <c r="J4252" s="76">
        <v>0</v>
      </c>
    </row>
    <row r="4253" spans="1:10" x14ac:dyDescent="0.35">
      <c r="A4253" t="s">
        <v>15</v>
      </c>
      <c r="B4253" t="s">
        <v>35</v>
      </c>
      <c r="C4253" s="77" t="s">
        <v>88</v>
      </c>
      <c r="D4253" t="s">
        <v>81</v>
      </c>
      <c r="E4253" s="77" t="s">
        <v>106</v>
      </c>
      <c r="F4253" s="77" t="s">
        <v>73</v>
      </c>
      <c r="G4253" s="77" t="s">
        <v>74</v>
      </c>
      <c r="H4253" s="77" t="s">
        <v>102</v>
      </c>
      <c r="I4253" s="77" t="s">
        <v>84</v>
      </c>
      <c r="J4253" s="76">
        <v>0</v>
      </c>
    </row>
    <row r="4254" spans="1:10" x14ac:dyDescent="0.35">
      <c r="A4254" t="s">
        <v>15</v>
      </c>
      <c r="B4254" t="s">
        <v>35</v>
      </c>
      <c r="C4254" s="77" t="s">
        <v>90</v>
      </c>
      <c r="D4254" t="s">
        <v>81</v>
      </c>
      <c r="E4254" s="77" t="s">
        <v>115</v>
      </c>
      <c r="F4254" s="77" t="s">
        <v>73</v>
      </c>
      <c r="G4254" s="77" t="s">
        <v>74</v>
      </c>
      <c r="H4254" s="77" t="s">
        <v>102</v>
      </c>
      <c r="I4254" s="77" t="s">
        <v>84</v>
      </c>
      <c r="J4254" s="76" cm="1">
        <f t="array" ref="J4254:J4255">'SUT_EU27 total'!$J$53:$J$54</f>
        <v>7.7904761904761894</v>
      </c>
    </row>
    <row r="4255" spans="1:10" x14ac:dyDescent="0.35">
      <c r="A4255" t="s">
        <v>15</v>
      </c>
      <c r="B4255" t="s">
        <v>35</v>
      </c>
      <c r="C4255" s="77" t="s">
        <v>90</v>
      </c>
      <c r="D4255" t="s">
        <v>81</v>
      </c>
      <c r="E4255" s="77" t="s">
        <v>116</v>
      </c>
      <c r="F4255" s="77" t="s">
        <v>73</v>
      </c>
      <c r="G4255" s="77" t="s">
        <v>74</v>
      </c>
      <c r="H4255" s="77" t="s">
        <v>102</v>
      </c>
      <c r="I4255" s="77" t="s">
        <v>84</v>
      </c>
      <c r="J4255" s="76">
        <v>1.5473889063756709E-2</v>
      </c>
    </row>
    <row r="4256" spans="1:10" x14ac:dyDescent="0.35">
      <c r="A4256" t="s">
        <v>15</v>
      </c>
      <c r="B4256" t="s">
        <v>35</v>
      </c>
      <c r="C4256" s="77" t="s">
        <v>90</v>
      </c>
      <c r="D4256" t="s">
        <v>81</v>
      </c>
      <c r="E4256" s="77" t="s">
        <v>117</v>
      </c>
      <c r="F4256" s="77" t="s">
        <v>73</v>
      </c>
      <c r="G4256" s="77" t="s">
        <v>74</v>
      </c>
      <c r="H4256" s="77" t="s">
        <v>102</v>
      </c>
      <c r="I4256" s="77" t="s">
        <v>84</v>
      </c>
      <c r="J4256" s="76">
        <f>'SUT_EU27 total'!$J$61</f>
        <v>11.2662</v>
      </c>
    </row>
    <row r="4257" spans="1:10" x14ac:dyDescent="0.35">
      <c r="A4257" t="s">
        <v>15</v>
      </c>
      <c r="B4257" t="s">
        <v>35</v>
      </c>
      <c r="C4257" s="77" t="s">
        <v>90</v>
      </c>
      <c r="D4257" t="s">
        <v>81</v>
      </c>
      <c r="E4257" s="77" t="s">
        <v>101</v>
      </c>
      <c r="F4257" s="77" t="s">
        <v>73</v>
      </c>
      <c r="G4257" s="77" t="s">
        <v>74</v>
      </c>
      <c r="H4257" s="77" t="s">
        <v>102</v>
      </c>
      <c r="I4257" s="77" t="s">
        <v>84</v>
      </c>
      <c r="J4257" s="76" cm="1">
        <f t="array" ref="J4257:J4259">'SUT_EU27 total'!$J$66:$J$68</f>
        <v>0</v>
      </c>
    </row>
    <row r="4258" spans="1:10" x14ac:dyDescent="0.35">
      <c r="A4258" t="s">
        <v>15</v>
      </c>
      <c r="B4258" t="s">
        <v>35</v>
      </c>
      <c r="C4258" s="77" t="s">
        <v>90</v>
      </c>
      <c r="D4258" t="s">
        <v>81</v>
      </c>
      <c r="E4258" s="77" t="s">
        <v>104</v>
      </c>
      <c r="F4258" s="77" t="s">
        <v>73</v>
      </c>
      <c r="G4258" s="77" t="s">
        <v>74</v>
      </c>
      <c r="H4258" s="77" t="s">
        <v>102</v>
      </c>
      <c r="I4258" s="77" t="s">
        <v>84</v>
      </c>
      <c r="J4258" s="76">
        <v>0</v>
      </c>
    </row>
    <row r="4259" spans="1:10" x14ac:dyDescent="0.35">
      <c r="A4259" t="s">
        <v>15</v>
      </c>
      <c r="B4259" t="s">
        <v>35</v>
      </c>
      <c r="C4259" s="77" t="s">
        <v>90</v>
      </c>
      <c r="D4259" t="s">
        <v>81</v>
      </c>
      <c r="E4259" s="77" t="s">
        <v>106</v>
      </c>
      <c r="F4259" s="77" t="s">
        <v>73</v>
      </c>
      <c r="G4259" s="77" t="s">
        <v>74</v>
      </c>
      <c r="H4259" s="77" t="s">
        <v>102</v>
      </c>
      <c r="I4259" s="77" t="s">
        <v>84</v>
      </c>
      <c r="J4259" s="76">
        <v>0</v>
      </c>
    </row>
    <row r="4260" spans="1:10" x14ac:dyDescent="0.35">
      <c r="A4260" t="s">
        <v>15</v>
      </c>
      <c r="B4260" t="s">
        <v>35</v>
      </c>
      <c r="C4260" s="77" t="s">
        <v>91</v>
      </c>
      <c r="D4260" t="s">
        <v>81</v>
      </c>
      <c r="E4260" s="77" t="s">
        <v>115</v>
      </c>
      <c r="F4260" s="77" t="s">
        <v>73</v>
      </c>
      <c r="G4260" s="77" t="s">
        <v>74</v>
      </c>
      <c r="H4260" s="77" t="s">
        <v>102</v>
      </c>
      <c r="I4260" s="77" t="s">
        <v>84</v>
      </c>
      <c r="J4260" s="76" cm="1">
        <f t="array" ref="J4260:J4261">'SUT_EU27 total'!$J$70:$J$71</f>
        <v>15.771428571428569</v>
      </c>
    </row>
    <row r="4261" spans="1:10" x14ac:dyDescent="0.35">
      <c r="A4261" t="s">
        <v>15</v>
      </c>
      <c r="B4261" t="s">
        <v>35</v>
      </c>
      <c r="C4261" s="77" t="s">
        <v>91</v>
      </c>
      <c r="D4261" t="s">
        <v>81</v>
      </c>
      <c r="E4261" s="77" t="s">
        <v>116</v>
      </c>
      <c r="F4261" s="77" t="s">
        <v>73</v>
      </c>
      <c r="G4261" s="77" t="s">
        <v>74</v>
      </c>
      <c r="H4261" s="77" t="s">
        <v>102</v>
      </c>
      <c r="I4261" s="77" t="s">
        <v>84</v>
      </c>
      <c r="J4261" s="76">
        <v>8.7507175559917313E-2</v>
      </c>
    </row>
    <row r="4262" spans="1:10" x14ac:dyDescent="0.35">
      <c r="A4262" t="s">
        <v>15</v>
      </c>
      <c r="B4262" t="s">
        <v>35</v>
      </c>
      <c r="C4262" s="77" t="s">
        <v>91</v>
      </c>
      <c r="D4262" t="s">
        <v>81</v>
      </c>
      <c r="E4262" s="77" t="s">
        <v>117</v>
      </c>
      <c r="F4262" s="77" t="s">
        <v>73</v>
      </c>
      <c r="G4262" s="77" t="s">
        <v>74</v>
      </c>
      <c r="H4262" s="77" t="s">
        <v>102</v>
      </c>
      <c r="I4262" s="77" t="s">
        <v>84</v>
      </c>
      <c r="J4262" s="76">
        <f>'SUT_EU27 total'!$J$78</f>
        <v>41.4801</v>
      </c>
    </row>
    <row r="4263" spans="1:10" x14ac:dyDescent="0.35">
      <c r="A4263" t="s">
        <v>15</v>
      </c>
      <c r="B4263" t="s">
        <v>35</v>
      </c>
      <c r="C4263" s="77" t="s">
        <v>91</v>
      </c>
      <c r="D4263" t="s">
        <v>81</v>
      </c>
      <c r="E4263" s="77" t="s">
        <v>101</v>
      </c>
      <c r="F4263" s="77" t="s">
        <v>73</v>
      </c>
      <c r="G4263" s="77" t="s">
        <v>74</v>
      </c>
      <c r="H4263" s="77" t="s">
        <v>102</v>
      </c>
      <c r="I4263" s="77" t="s">
        <v>84</v>
      </c>
      <c r="J4263" s="76" cm="1">
        <f t="array" ref="J4263:J4265">'SUT_EU27 total'!$J$83:$J$85</f>
        <v>0</v>
      </c>
    </row>
    <row r="4264" spans="1:10" x14ac:dyDescent="0.35">
      <c r="A4264" t="s">
        <v>15</v>
      </c>
      <c r="B4264" t="s">
        <v>35</v>
      </c>
      <c r="C4264" s="77" t="s">
        <v>91</v>
      </c>
      <c r="D4264" t="s">
        <v>81</v>
      </c>
      <c r="E4264" s="77" t="s">
        <v>104</v>
      </c>
      <c r="F4264" s="77" t="s">
        <v>73</v>
      </c>
      <c r="G4264" s="77" t="s">
        <v>74</v>
      </c>
      <c r="H4264" s="77" t="s">
        <v>102</v>
      </c>
      <c r="I4264" s="77" t="s">
        <v>84</v>
      </c>
      <c r="J4264" s="76">
        <v>0</v>
      </c>
    </row>
    <row r="4265" spans="1:10" x14ac:dyDescent="0.35">
      <c r="A4265" t="s">
        <v>15</v>
      </c>
      <c r="B4265" t="s">
        <v>35</v>
      </c>
      <c r="C4265" s="77" t="s">
        <v>91</v>
      </c>
      <c r="D4265" t="s">
        <v>81</v>
      </c>
      <c r="E4265" s="77" t="s">
        <v>106</v>
      </c>
      <c r="F4265" s="77" t="s">
        <v>73</v>
      </c>
      <c r="G4265" s="77" t="s">
        <v>74</v>
      </c>
      <c r="H4265" s="77" t="s">
        <v>102</v>
      </c>
      <c r="I4265" s="77" t="s">
        <v>84</v>
      </c>
      <c r="J4265" s="76">
        <v>0</v>
      </c>
    </row>
    <row r="4266" spans="1:10" x14ac:dyDescent="0.35">
      <c r="A4266" t="s">
        <v>15</v>
      </c>
      <c r="B4266" t="s">
        <v>35</v>
      </c>
      <c r="C4266" s="77" t="s">
        <v>92</v>
      </c>
      <c r="D4266" t="s">
        <v>81</v>
      </c>
      <c r="E4266" s="77" t="s">
        <v>115</v>
      </c>
      <c r="F4266" s="77" t="s">
        <v>73</v>
      </c>
      <c r="G4266" s="77" t="s">
        <v>74</v>
      </c>
      <c r="H4266" s="77" t="s">
        <v>102</v>
      </c>
      <c r="I4266" s="77" t="s">
        <v>84</v>
      </c>
      <c r="J4266" s="76" cm="1">
        <f t="array" ref="J4266:J4267">'SUT_EU27 total'!$J$87:$J$88</f>
        <v>6.6239999999999997</v>
      </c>
    </row>
    <row r="4267" spans="1:10" x14ac:dyDescent="0.35">
      <c r="A4267" t="s">
        <v>15</v>
      </c>
      <c r="B4267" t="s">
        <v>35</v>
      </c>
      <c r="C4267" s="77" t="s">
        <v>92</v>
      </c>
      <c r="D4267" t="s">
        <v>81</v>
      </c>
      <c r="E4267" s="77" t="s">
        <v>116</v>
      </c>
      <c r="F4267" s="77" t="s">
        <v>73</v>
      </c>
      <c r="G4267" s="77" t="s">
        <v>74</v>
      </c>
      <c r="H4267" s="77" t="s">
        <v>102</v>
      </c>
      <c r="I4267" s="77" t="s">
        <v>84</v>
      </c>
      <c r="J4267" s="76">
        <v>6.0040746268656714E-2</v>
      </c>
    </row>
    <row r="4268" spans="1:10" x14ac:dyDescent="0.35">
      <c r="A4268" t="s">
        <v>15</v>
      </c>
      <c r="B4268" t="s">
        <v>35</v>
      </c>
      <c r="C4268" s="77" t="s">
        <v>92</v>
      </c>
      <c r="D4268" t="s">
        <v>81</v>
      </c>
      <c r="E4268" s="77" t="s">
        <v>117</v>
      </c>
      <c r="F4268" s="77" t="s">
        <v>73</v>
      </c>
      <c r="G4268" s="77" t="s">
        <v>74</v>
      </c>
      <c r="H4268" s="77" t="s">
        <v>102</v>
      </c>
      <c r="I4268" s="77" t="s">
        <v>84</v>
      </c>
      <c r="J4268" s="76">
        <f>'SUT_EU27 total'!$J$95</f>
        <v>13.3146</v>
      </c>
    </row>
    <row r="4269" spans="1:10" x14ac:dyDescent="0.35">
      <c r="A4269" t="s">
        <v>15</v>
      </c>
      <c r="B4269" t="s">
        <v>35</v>
      </c>
      <c r="C4269" s="77" t="s">
        <v>92</v>
      </c>
      <c r="D4269" t="s">
        <v>81</v>
      </c>
      <c r="E4269" s="77" t="s">
        <v>101</v>
      </c>
      <c r="F4269" s="77" t="s">
        <v>73</v>
      </c>
      <c r="G4269" s="77" t="s">
        <v>74</v>
      </c>
      <c r="H4269" s="77" t="s">
        <v>102</v>
      </c>
      <c r="I4269" s="77" t="s">
        <v>84</v>
      </c>
      <c r="J4269" s="76" cm="1">
        <f t="array" ref="J4269:J4271">'SUT_EU27 total'!$J$100:$J$102</f>
        <v>0</v>
      </c>
    </row>
    <row r="4270" spans="1:10" x14ac:dyDescent="0.35">
      <c r="A4270" t="s">
        <v>15</v>
      </c>
      <c r="B4270" t="s">
        <v>35</v>
      </c>
      <c r="C4270" s="77" t="s">
        <v>92</v>
      </c>
      <c r="D4270" t="s">
        <v>81</v>
      </c>
      <c r="E4270" s="77" t="s">
        <v>104</v>
      </c>
      <c r="F4270" s="77" t="s">
        <v>73</v>
      </c>
      <c r="G4270" s="77" t="s">
        <v>74</v>
      </c>
      <c r="H4270" s="77" t="s">
        <v>102</v>
      </c>
      <c r="I4270" s="77" t="s">
        <v>84</v>
      </c>
      <c r="J4270" s="76">
        <v>0</v>
      </c>
    </row>
    <row r="4271" spans="1:10" x14ac:dyDescent="0.35">
      <c r="A4271" t="s">
        <v>15</v>
      </c>
      <c r="B4271" t="s">
        <v>35</v>
      </c>
      <c r="C4271" s="77" t="s">
        <v>92</v>
      </c>
      <c r="D4271" t="s">
        <v>81</v>
      </c>
      <c r="E4271" s="77" t="s">
        <v>106</v>
      </c>
      <c r="F4271" s="77" t="s">
        <v>73</v>
      </c>
      <c r="G4271" s="77" t="s">
        <v>74</v>
      </c>
      <c r="H4271" s="77" t="s">
        <v>102</v>
      </c>
      <c r="I4271" s="77" t="s">
        <v>84</v>
      </c>
      <c r="J4271" s="76">
        <v>0</v>
      </c>
    </row>
    <row r="4272" spans="1:10" x14ac:dyDescent="0.35">
      <c r="A4272" t="s">
        <v>15</v>
      </c>
      <c r="B4272" t="s">
        <v>35</v>
      </c>
      <c r="C4272" s="77" t="s">
        <v>93</v>
      </c>
      <c r="D4272" t="s">
        <v>81</v>
      </c>
      <c r="E4272" s="77" t="s">
        <v>115</v>
      </c>
      <c r="F4272" s="77" t="s">
        <v>73</v>
      </c>
      <c r="G4272" s="77" t="s">
        <v>74</v>
      </c>
      <c r="H4272" s="77" t="s">
        <v>102</v>
      </c>
      <c r="I4272" s="77" t="s">
        <v>84</v>
      </c>
      <c r="J4272" s="76" cm="1">
        <f t="array" ref="J4272:J4273">'SUT_EU27 total'!$J$104:$J$105</f>
        <v>44.633142857142865</v>
      </c>
    </row>
    <row r="4273" spans="1:10" x14ac:dyDescent="0.35">
      <c r="A4273" t="s">
        <v>15</v>
      </c>
      <c r="B4273" t="s">
        <v>35</v>
      </c>
      <c r="C4273" s="77" t="s">
        <v>93</v>
      </c>
      <c r="D4273" t="s">
        <v>81</v>
      </c>
      <c r="E4273" s="77" t="s">
        <v>116</v>
      </c>
      <c r="F4273" s="77" t="s">
        <v>73</v>
      </c>
      <c r="G4273" s="77" t="s">
        <v>74</v>
      </c>
      <c r="H4273" s="77" t="s">
        <v>102</v>
      </c>
      <c r="I4273" s="77" t="s">
        <v>84</v>
      </c>
      <c r="J4273" s="76">
        <v>0.3673348440311186</v>
      </c>
    </row>
    <row r="4274" spans="1:10" x14ac:dyDescent="0.35">
      <c r="A4274" t="s">
        <v>15</v>
      </c>
      <c r="B4274" t="s">
        <v>35</v>
      </c>
      <c r="C4274" s="77" t="s">
        <v>93</v>
      </c>
      <c r="D4274" t="s">
        <v>81</v>
      </c>
      <c r="E4274" s="77" t="s">
        <v>117</v>
      </c>
      <c r="F4274" s="77" t="s">
        <v>73</v>
      </c>
      <c r="G4274" s="77" t="s">
        <v>74</v>
      </c>
      <c r="H4274" s="77" t="s">
        <v>102</v>
      </c>
      <c r="I4274" s="77" t="s">
        <v>84</v>
      </c>
      <c r="J4274" s="76">
        <f>'SUT_EU27 total'!$J$112</f>
        <v>138.77909999999997</v>
      </c>
    </row>
    <row r="4275" spans="1:10" x14ac:dyDescent="0.35">
      <c r="A4275" t="s">
        <v>15</v>
      </c>
      <c r="B4275" t="s">
        <v>35</v>
      </c>
      <c r="C4275" s="77" t="s">
        <v>93</v>
      </c>
      <c r="D4275" t="s">
        <v>81</v>
      </c>
      <c r="E4275" s="77" t="s">
        <v>101</v>
      </c>
      <c r="F4275" s="77" t="s">
        <v>73</v>
      </c>
      <c r="G4275" s="77" t="s">
        <v>74</v>
      </c>
      <c r="H4275" s="77" t="s">
        <v>102</v>
      </c>
      <c r="I4275" s="77" t="s">
        <v>84</v>
      </c>
      <c r="J4275" s="76" cm="1">
        <f t="array" ref="J4275:J4277">'SUT_EU27 total'!$J$117:$J$119</f>
        <v>0</v>
      </c>
    </row>
    <row r="4276" spans="1:10" x14ac:dyDescent="0.35">
      <c r="A4276" t="s">
        <v>15</v>
      </c>
      <c r="B4276" t="s">
        <v>35</v>
      </c>
      <c r="C4276" s="77" t="s">
        <v>93</v>
      </c>
      <c r="D4276" t="s">
        <v>81</v>
      </c>
      <c r="E4276" s="77" t="s">
        <v>104</v>
      </c>
      <c r="F4276" s="77" t="s">
        <v>73</v>
      </c>
      <c r="G4276" s="77" t="s">
        <v>74</v>
      </c>
      <c r="H4276" s="77" t="s">
        <v>102</v>
      </c>
      <c r="I4276" s="77" t="s">
        <v>84</v>
      </c>
      <c r="J4276" s="76">
        <v>0</v>
      </c>
    </row>
    <row r="4277" spans="1:10" x14ac:dyDescent="0.35">
      <c r="A4277" t="s">
        <v>15</v>
      </c>
      <c r="B4277" t="s">
        <v>35</v>
      </c>
      <c r="C4277" s="77" t="s">
        <v>93</v>
      </c>
      <c r="D4277" t="s">
        <v>81</v>
      </c>
      <c r="E4277" s="77" t="s">
        <v>106</v>
      </c>
      <c r="F4277" s="77" t="s">
        <v>73</v>
      </c>
      <c r="G4277" s="77" t="s">
        <v>74</v>
      </c>
      <c r="H4277" s="77" t="s">
        <v>102</v>
      </c>
      <c r="I4277" s="77" t="s">
        <v>84</v>
      </c>
      <c r="J4277" s="76">
        <v>0</v>
      </c>
    </row>
    <row r="4278" spans="1:10" x14ac:dyDescent="0.35">
      <c r="A4278" t="s">
        <v>15</v>
      </c>
      <c r="B4278" t="s">
        <v>35</v>
      </c>
      <c r="C4278" s="77" t="s">
        <v>73</v>
      </c>
      <c r="D4278" t="s">
        <v>81</v>
      </c>
      <c r="E4278" s="77" t="s">
        <v>118</v>
      </c>
      <c r="F4278" s="77" t="s">
        <v>73</v>
      </c>
      <c r="G4278" s="77" t="s">
        <v>74</v>
      </c>
      <c r="H4278" s="77" t="s">
        <v>108</v>
      </c>
      <c r="I4278" s="77" t="s">
        <v>84</v>
      </c>
      <c r="J4278" s="76" cm="1">
        <f t="array" ref="J4278:J4280">'SUT_EU27 total'!$K$21:$K$23</f>
        <v>1.4582562144772118E-3</v>
      </c>
    </row>
    <row r="4279" spans="1:10" x14ac:dyDescent="0.35">
      <c r="A4279" t="s">
        <v>15</v>
      </c>
      <c r="B4279" t="s">
        <v>35</v>
      </c>
      <c r="C4279" s="77" t="s">
        <v>73</v>
      </c>
      <c r="D4279" t="s">
        <v>81</v>
      </c>
      <c r="E4279" s="77" t="s">
        <v>119</v>
      </c>
      <c r="F4279" s="77" t="s">
        <v>73</v>
      </c>
      <c r="G4279" s="77" t="s">
        <v>74</v>
      </c>
      <c r="H4279" s="77" t="s">
        <v>108</v>
      </c>
      <c r="I4279" s="77" t="s">
        <v>84</v>
      </c>
      <c r="J4279" s="76">
        <v>8.4634636521458274E-4</v>
      </c>
    </row>
    <row r="4280" spans="1:10" x14ac:dyDescent="0.35">
      <c r="A4280" t="s">
        <v>15</v>
      </c>
      <c r="B4280" t="s">
        <v>35</v>
      </c>
      <c r="C4280" s="77" t="s">
        <v>73</v>
      </c>
      <c r="D4280" t="s">
        <v>81</v>
      </c>
      <c r="E4280" s="77" t="s">
        <v>120</v>
      </c>
      <c r="F4280" s="77" t="s">
        <v>73</v>
      </c>
      <c r="G4280" s="77" t="s">
        <v>74</v>
      </c>
      <c r="H4280" s="77" t="s">
        <v>108</v>
      </c>
      <c r="I4280" s="77" t="s">
        <v>84</v>
      </c>
      <c r="J4280" s="76">
        <v>1.2517329093179335E-4</v>
      </c>
    </row>
    <row r="4281" spans="1:10" x14ac:dyDescent="0.35">
      <c r="A4281" t="s">
        <v>15</v>
      </c>
      <c r="B4281" t="s">
        <v>35</v>
      </c>
      <c r="C4281" s="77" t="s">
        <v>73</v>
      </c>
      <c r="D4281" t="s">
        <v>81</v>
      </c>
      <c r="E4281" s="77" t="s">
        <v>121</v>
      </c>
      <c r="F4281" s="77" t="s">
        <v>73</v>
      </c>
      <c r="G4281" s="77" t="s">
        <v>74</v>
      </c>
      <c r="H4281" s="77" t="s">
        <v>108</v>
      </c>
      <c r="I4281" s="77" t="s">
        <v>84</v>
      </c>
      <c r="J4281" s="76">
        <f>'SUT_EU27 total'!$K$25</f>
        <v>6.9749679999999994E-2</v>
      </c>
    </row>
    <row r="4282" spans="1:10" x14ac:dyDescent="0.35">
      <c r="A4282" t="s">
        <v>15</v>
      </c>
      <c r="B4282" t="s">
        <v>35</v>
      </c>
      <c r="C4282" s="77" t="s">
        <v>73</v>
      </c>
      <c r="D4282" t="s">
        <v>81</v>
      </c>
      <c r="E4282" s="77" t="s">
        <v>117</v>
      </c>
      <c r="F4282" s="77" t="s">
        <v>73</v>
      </c>
      <c r="G4282" s="77" t="s">
        <v>74</v>
      </c>
      <c r="H4282" s="77" t="s">
        <v>108</v>
      </c>
      <c r="I4282" s="77" t="s">
        <v>84</v>
      </c>
      <c r="J4282" s="76">
        <f>'SUT_EU27 total'!$K$27</f>
        <v>1.1932942595726979E-3</v>
      </c>
    </row>
    <row r="4283" spans="1:10" x14ac:dyDescent="0.35">
      <c r="A4283" t="s">
        <v>15</v>
      </c>
      <c r="B4283" t="s">
        <v>35</v>
      </c>
      <c r="C4283" s="77" t="s">
        <v>73</v>
      </c>
      <c r="D4283" t="s">
        <v>81</v>
      </c>
      <c r="E4283" s="77" t="s">
        <v>122</v>
      </c>
      <c r="F4283" s="77" t="s">
        <v>73</v>
      </c>
      <c r="G4283" s="77" t="s">
        <v>74</v>
      </c>
      <c r="H4283" s="77" t="s">
        <v>108</v>
      </c>
      <c r="I4283" s="77" t="s">
        <v>84</v>
      </c>
      <c r="J4283" s="76">
        <f>'SUT_EU27 total'!$K$30</f>
        <v>1.5965533412604042E-3</v>
      </c>
    </row>
    <row r="4284" spans="1:10" x14ac:dyDescent="0.35">
      <c r="A4284" t="s">
        <v>15</v>
      </c>
      <c r="B4284" t="s">
        <v>35</v>
      </c>
      <c r="C4284" s="77" t="s">
        <v>73</v>
      </c>
      <c r="D4284" t="s">
        <v>81</v>
      </c>
      <c r="E4284" s="77" t="s">
        <v>101</v>
      </c>
      <c r="F4284" s="77" t="s">
        <v>73</v>
      </c>
      <c r="G4284" s="77" t="s">
        <v>74</v>
      </c>
      <c r="H4284" s="77" t="s">
        <v>108</v>
      </c>
      <c r="I4284" s="77" t="s">
        <v>84</v>
      </c>
      <c r="J4284" s="76" cm="1">
        <f t="array" ref="J4284:J4286">'SUT_EU27 total'!$K$32:$K$34</f>
        <v>2.4335351040000001E-4</v>
      </c>
    </row>
    <row r="4285" spans="1:10" x14ac:dyDescent="0.35">
      <c r="A4285" t="s">
        <v>15</v>
      </c>
      <c r="B4285" t="s">
        <v>35</v>
      </c>
      <c r="C4285" s="77" t="s">
        <v>73</v>
      </c>
      <c r="D4285" t="s">
        <v>81</v>
      </c>
      <c r="E4285" s="77" t="s">
        <v>104</v>
      </c>
      <c r="F4285" s="77" t="s">
        <v>73</v>
      </c>
      <c r="G4285" s="77" t="s">
        <v>74</v>
      </c>
      <c r="H4285" s="77" t="s">
        <v>108</v>
      </c>
      <c r="I4285" s="77" t="s">
        <v>84</v>
      </c>
      <c r="J4285" s="76">
        <v>4.6076808959999996E-4</v>
      </c>
    </row>
    <row r="4286" spans="1:10" x14ac:dyDescent="0.35">
      <c r="A4286" t="s">
        <v>15</v>
      </c>
      <c r="B4286" t="s">
        <v>35</v>
      </c>
      <c r="C4286" s="77" t="s">
        <v>73</v>
      </c>
      <c r="D4286" t="s">
        <v>81</v>
      </c>
      <c r="E4286" s="77" t="s">
        <v>106</v>
      </c>
      <c r="F4286" s="77" t="s">
        <v>73</v>
      </c>
      <c r="G4286" s="77" t="s">
        <v>74</v>
      </c>
      <c r="H4286" s="77" t="s">
        <v>108</v>
      </c>
      <c r="I4286" s="77" t="s">
        <v>84</v>
      </c>
      <c r="J4286" s="76">
        <v>1.5672383999999996E-3</v>
      </c>
    </row>
    <row r="4287" spans="1:10" x14ac:dyDescent="0.35">
      <c r="A4287" t="s">
        <v>15</v>
      </c>
      <c r="B4287" t="s">
        <v>35</v>
      </c>
      <c r="C4287" s="77" t="s">
        <v>88</v>
      </c>
      <c r="D4287" t="s">
        <v>81</v>
      </c>
      <c r="E4287" s="77" t="s">
        <v>118</v>
      </c>
      <c r="F4287" s="77" t="s">
        <v>73</v>
      </c>
      <c r="G4287" s="77" t="s">
        <v>74</v>
      </c>
      <c r="H4287" s="77" t="s">
        <v>108</v>
      </c>
      <c r="I4287" s="77" t="s">
        <v>84</v>
      </c>
      <c r="J4287" s="76" cm="1">
        <f t="array" ref="J4287:J4289">'SUT_EU27 total'!$K$38:$K$40</f>
        <v>3.3029309855227888E-2</v>
      </c>
    </row>
    <row r="4288" spans="1:10" x14ac:dyDescent="0.35">
      <c r="A4288" t="s">
        <v>15</v>
      </c>
      <c r="B4288" t="s">
        <v>35</v>
      </c>
      <c r="C4288" s="77" t="s">
        <v>88</v>
      </c>
      <c r="D4288" t="s">
        <v>81</v>
      </c>
      <c r="E4288" s="77" t="s">
        <v>119</v>
      </c>
      <c r="F4288" s="77" t="s">
        <v>73</v>
      </c>
      <c r="G4288" s="77" t="s">
        <v>74</v>
      </c>
      <c r="H4288" s="77" t="s">
        <v>108</v>
      </c>
      <c r="I4288" s="77" t="s">
        <v>84</v>
      </c>
      <c r="J4288" s="76">
        <v>6.9915569300335089E-3</v>
      </c>
    </row>
    <row r="4289" spans="1:10" x14ac:dyDescent="0.35">
      <c r="A4289" t="s">
        <v>15</v>
      </c>
      <c r="B4289" t="s">
        <v>35</v>
      </c>
      <c r="C4289" s="77" t="s">
        <v>88</v>
      </c>
      <c r="D4289" t="s">
        <v>81</v>
      </c>
      <c r="E4289" s="77" t="s">
        <v>120</v>
      </c>
      <c r="F4289" s="77" t="s">
        <v>73</v>
      </c>
      <c r="G4289" s="77" t="s">
        <v>74</v>
      </c>
      <c r="H4289" s="77" t="s">
        <v>108</v>
      </c>
      <c r="I4289" s="77" t="s">
        <v>84</v>
      </c>
      <c r="J4289" s="76">
        <v>1.5283979779928203E-3</v>
      </c>
    </row>
    <row r="4290" spans="1:10" x14ac:dyDescent="0.35">
      <c r="A4290" t="s">
        <v>15</v>
      </c>
      <c r="B4290" t="s">
        <v>35</v>
      </c>
      <c r="C4290" s="77" t="s">
        <v>88</v>
      </c>
      <c r="D4290" t="s">
        <v>81</v>
      </c>
      <c r="E4290" s="77" t="s">
        <v>121</v>
      </c>
      <c r="F4290" s="77" t="s">
        <v>73</v>
      </c>
      <c r="G4290" s="77" t="s">
        <v>74</v>
      </c>
      <c r="H4290" s="77" t="s">
        <v>108</v>
      </c>
      <c r="I4290" s="77" t="s">
        <v>84</v>
      </c>
      <c r="J4290" s="76">
        <f>'SUT_EU27 total'!$K$42</f>
        <v>0</v>
      </c>
    </row>
    <row r="4291" spans="1:10" x14ac:dyDescent="0.35">
      <c r="A4291" t="s">
        <v>15</v>
      </c>
      <c r="B4291" t="s">
        <v>35</v>
      </c>
      <c r="C4291" s="77" t="s">
        <v>88</v>
      </c>
      <c r="D4291" t="s">
        <v>81</v>
      </c>
      <c r="E4291" s="77" t="s">
        <v>117</v>
      </c>
      <c r="F4291" s="77" t="s">
        <v>73</v>
      </c>
      <c r="G4291" s="77" t="s">
        <v>74</v>
      </c>
      <c r="H4291" s="77" t="s">
        <v>108</v>
      </c>
      <c r="I4291" s="77" t="s">
        <v>84</v>
      </c>
      <c r="J4291" s="76">
        <f>'SUT_EU27 total'!$K$44</f>
        <v>9.9090099874062521E-4</v>
      </c>
    </row>
    <row r="4292" spans="1:10" x14ac:dyDescent="0.35">
      <c r="A4292" t="s">
        <v>15</v>
      </c>
      <c r="B4292" t="s">
        <v>35</v>
      </c>
      <c r="C4292" s="77" t="s">
        <v>88</v>
      </c>
      <c r="D4292" t="s">
        <v>81</v>
      </c>
      <c r="E4292" s="77" t="s">
        <v>122</v>
      </c>
      <c r="F4292" s="77" t="s">
        <v>73</v>
      </c>
      <c r="G4292" s="77" t="s">
        <v>74</v>
      </c>
      <c r="H4292" s="77" t="s">
        <v>108</v>
      </c>
      <c r="I4292" s="77" t="s">
        <v>84</v>
      </c>
      <c r="J4292" s="76">
        <f>'SUT_EU27 total'!$K$47</f>
        <v>0</v>
      </c>
    </row>
    <row r="4293" spans="1:10" x14ac:dyDescent="0.35">
      <c r="A4293" t="s">
        <v>15</v>
      </c>
      <c r="B4293" t="s">
        <v>35</v>
      </c>
      <c r="C4293" s="77" t="s">
        <v>88</v>
      </c>
      <c r="D4293" t="s">
        <v>81</v>
      </c>
      <c r="E4293" s="77" t="s">
        <v>101</v>
      </c>
      <c r="F4293" s="77" t="s">
        <v>73</v>
      </c>
      <c r="G4293" s="77" t="s">
        <v>74</v>
      </c>
      <c r="H4293" s="77" t="s">
        <v>108</v>
      </c>
      <c r="I4293" s="77" t="s">
        <v>84</v>
      </c>
      <c r="J4293" s="76" cm="1">
        <f t="array" ref="J4293:J4295">'SUT_EU27 total'!$K$49:$K$51</f>
        <v>0</v>
      </c>
    </row>
    <row r="4294" spans="1:10" x14ac:dyDescent="0.35">
      <c r="A4294" t="s">
        <v>15</v>
      </c>
      <c r="B4294" t="s">
        <v>35</v>
      </c>
      <c r="C4294" s="77" t="s">
        <v>88</v>
      </c>
      <c r="D4294" t="s">
        <v>81</v>
      </c>
      <c r="E4294" s="77" t="s">
        <v>104</v>
      </c>
      <c r="F4294" s="77" t="s">
        <v>73</v>
      </c>
      <c r="G4294" s="77" t="s">
        <v>74</v>
      </c>
      <c r="H4294" s="77" t="s">
        <v>108</v>
      </c>
      <c r="I4294" s="77" t="s">
        <v>84</v>
      </c>
      <c r="J4294" s="76">
        <v>0</v>
      </c>
    </row>
    <row r="4295" spans="1:10" x14ac:dyDescent="0.35">
      <c r="A4295" t="s">
        <v>15</v>
      </c>
      <c r="B4295" t="s">
        <v>35</v>
      </c>
      <c r="C4295" s="77" t="s">
        <v>88</v>
      </c>
      <c r="D4295" t="s">
        <v>81</v>
      </c>
      <c r="E4295" s="77" t="s">
        <v>106</v>
      </c>
      <c r="F4295" s="77" t="s">
        <v>73</v>
      </c>
      <c r="G4295" s="77" t="s">
        <v>74</v>
      </c>
      <c r="H4295" s="77" t="s">
        <v>108</v>
      </c>
      <c r="I4295" s="77" t="s">
        <v>84</v>
      </c>
      <c r="J4295" s="76">
        <v>0</v>
      </c>
    </row>
    <row r="4296" spans="1:10" x14ac:dyDescent="0.35">
      <c r="A4296" t="s">
        <v>15</v>
      </c>
      <c r="B4296" t="s">
        <v>35</v>
      </c>
      <c r="C4296" s="77" t="s">
        <v>90</v>
      </c>
      <c r="D4296" t="s">
        <v>81</v>
      </c>
      <c r="E4296" s="77" t="s">
        <v>118</v>
      </c>
      <c r="F4296" s="77" t="s">
        <v>73</v>
      </c>
      <c r="G4296" s="77" t="s">
        <v>74</v>
      </c>
      <c r="H4296" s="77" t="s">
        <v>108</v>
      </c>
      <c r="I4296" s="77" t="s">
        <v>84</v>
      </c>
      <c r="J4296" s="76" cm="1">
        <f t="array" ref="J4296:J4298">'SUT_EU27 total'!$K$55:$K$57</f>
        <v>4.323194595174263E-3</v>
      </c>
    </row>
    <row r="4297" spans="1:10" x14ac:dyDescent="0.35">
      <c r="A4297" t="s">
        <v>15</v>
      </c>
      <c r="B4297" t="s">
        <v>35</v>
      </c>
      <c r="C4297" s="77" t="s">
        <v>90</v>
      </c>
      <c r="D4297" t="s">
        <v>81</v>
      </c>
      <c r="E4297" s="77" t="s">
        <v>119</v>
      </c>
      <c r="F4297" s="77" t="s">
        <v>73</v>
      </c>
      <c r="G4297" s="77" t="s">
        <v>74</v>
      </c>
      <c r="H4297" s="77" t="s">
        <v>108</v>
      </c>
      <c r="I4297" s="77" t="s">
        <v>84</v>
      </c>
      <c r="J4297" s="76">
        <v>1.2800331672655335E-3</v>
      </c>
    </row>
    <row r="4298" spans="1:10" x14ac:dyDescent="0.35">
      <c r="A4298" t="s">
        <v>15</v>
      </c>
      <c r="B4298" t="s">
        <v>35</v>
      </c>
      <c r="C4298" s="77" t="s">
        <v>90</v>
      </c>
      <c r="D4298" t="s">
        <v>81</v>
      </c>
      <c r="E4298" s="77" t="s">
        <v>120</v>
      </c>
      <c r="F4298" s="77" t="s">
        <v>73</v>
      </c>
      <c r="G4298" s="77" t="s">
        <v>74</v>
      </c>
      <c r="H4298" s="77" t="s">
        <v>108</v>
      </c>
      <c r="I4298" s="77" t="s">
        <v>84</v>
      </c>
      <c r="J4298" s="76">
        <v>5.6700291220540041E-3</v>
      </c>
    </row>
    <row r="4299" spans="1:10" x14ac:dyDescent="0.35">
      <c r="A4299" t="s">
        <v>15</v>
      </c>
      <c r="B4299" t="s">
        <v>35</v>
      </c>
      <c r="C4299" s="77" t="s">
        <v>90</v>
      </c>
      <c r="D4299" t="s">
        <v>81</v>
      </c>
      <c r="E4299" s="77" t="s">
        <v>121</v>
      </c>
      <c r="F4299" s="77" t="s">
        <v>73</v>
      </c>
      <c r="G4299" s="77" t="s">
        <v>74</v>
      </c>
      <c r="H4299" s="77" t="s">
        <v>108</v>
      </c>
      <c r="I4299" s="77" t="s">
        <v>84</v>
      </c>
      <c r="J4299" s="76">
        <f>'SUT_EU27 total'!$K$59</f>
        <v>0</v>
      </c>
    </row>
    <row r="4300" spans="1:10" x14ac:dyDescent="0.35">
      <c r="A4300" t="s">
        <v>15</v>
      </c>
      <c r="B4300" t="s">
        <v>35</v>
      </c>
      <c r="C4300" s="77" t="s">
        <v>90</v>
      </c>
      <c r="D4300" t="s">
        <v>81</v>
      </c>
      <c r="E4300" s="77" t="s">
        <v>117</v>
      </c>
      <c r="F4300" s="77" t="s">
        <v>73</v>
      </c>
      <c r="G4300" s="77" t="s">
        <v>74</v>
      </c>
      <c r="H4300" s="77" t="s">
        <v>108</v>
      </c>
      <c r="I4300" s="77" t="s">
        <v>84</v>
      </c>
      <c r="J4300" s="76">
        <f>'SUT_EU27 total'!$K$61</f>
        <v>1.1930979242119881E-3</v>
      </c>
    </row>
    <row r="4301" spans="1:10" x14ac:dyDescent="0.35">
      <c r="A4301" t="s">
        <v>15</v>
      </c>
      <c r="B4301" t="s">
        <v>35</v>
      </c>
      <c r="C4301" s="77" t="s">
        <v>90</v>
      </c>
      <c r="D4301" t="s">
        <v>81</v>
      </c>
      <c r="E4301" s="77" t="s">
        <v>122</v>
      </c>
      <c r="F4301" s="77" t="s">
        <v>73</v>
      </c>
      <c r="G4301" s="77" t="s">
        <v>74</v>
      </c>
      <c r="H4301" s="77" t="s">
        <v>108</v>
      </c>
      <c r="I4301" s="77" t="s">
        <v>84</v>
      </c>
      <c r="J4301" s="76">
        <f>'SUT_EU27 total'!$K$64</f>
        <v>2.5776238002378116E-3</v>
      </c>
    </row>
    <row r="4302" spans="1:10" x14ac:dyDescent="0.35">
      <c r="A4302" t="s">
        <v>15</v>
      </c>
      <c r="B4302" t="s">
        <v>35</v>
      </c>
      <c r="C4302" s="77" t="s">
        <v>90</v>
      </c>
      <c r="D4302" t="s">
        <v>81</v>
      </c>
      <c r="E4302" s="77" t="s">
        <v>101</v>
      </c>
      <c r="F4302" s="77" t="s">
        <v>73</v>
      </c>
      <c r="G4302" s="77" t="s">
        <v>74</v>
      </c>
      <c r="H4302" s="77" t="s">
        <v>108</v>
      </c>
      <c r="I4302" s="77" t="s">
        <v>84</v>
      </c>
      <c r="J4302" s="76" cm="1">
        <f t="array" ref="J4302:J4304">'SUT_EU27 total'!$K$66:$K$68</f>
        <v>0</v>
      </c>
    </row>
    <row r="4303" spans="1:10" x14ac:dyDescent="0.35">
      <c r="A4303" t="s">
        <v>15</v>
      </c>
      <c r="B4303" t="s">
        <v>35</v>
      </c>
      <c r="C4303" s="77" t="s">
        <v>90</v>
      </c>
      <c r="D4303" t="s">
        <v>81</v>
      </c>
      <c r="E4303" s="77" t="s">
        <v>104</v>
      </c>
      <c r="F4303" s="77" t="s">
        <v>73</v>
      </c>
      <c r="G4303" s="77" t="s">
        <v>74</v>
      </c>
      <c r="H4303" s="77" t="s">
        <v>108</v>
      </c>
      <c r="I4303" s="77" t="s">
        <v>84</v>
      </c>
      <c r="J4303" s="76">
        <v>0</v>
      </c>
    </row>
    <row r="4304" spans="1:10" x14ac:dyDescent="0.35">
      <c r="A4304" t="s">
        <v>15</v>
      </c>
      <c r="B4304" t="s">
        <v>35</v>
      </c>
      <c r="C4304" s="77" t="s">
        <v>90</v>
      </c>
      <c r="D4304" t="s">
        <v>81</v>
      </c>
      <c r="E4304" s="77" t="s">
        <v>106</v>
      </c>
      <c r="F4304" s="77" t="s">
        <v>73</v>
      </c>
      <c r="G4304" s="77" t="s">
        <v>74</v>
      </c>
      <c r="H4304" s="77" t="s">
        <v>108</v>
      </c>
      <c r="I4304" s="77" t="s">
        <v>84</v>
      </c>
      <c r="J4304" s="76">
        <v>0</v>
      </c>
    </row>
    <row r="4305" spans="1:10" x14ac:dyDescent="0.35">
      <c r="A4305" t="s">
        <v>15</v>
      </c>
      <c r="B4305" t="s">
        <v>35</v>
      </c>
      <c r="C4305" s="77" t="s">
        <v>91</v>
      </c>
      <c r="D4305" t="s">
        <v>81</v>
      </c>
      <c r="E4305" s="77" t="s">
        <v>118</v>
      </c>
      <c r="F4305" s="77" t="s">
        <v>73</v>
      </c>
      <c r="G4305" s="77" t="s">
        <v>74</v>
      </c>
      <c r="H4305" s="77" t="s">
        <v>108</v>
      </c>
      <c r="I4305" s="77" t="s">
        <v>84</v>
      </c>
      <c r="J4305" s="76" cm="1">
        <f t="array" ref="J4305:J4307">'SUT_EU27 total'!$K$72:$K$74</f>
        <v>5.3791732332439677E-3</v>
      </c>
    </row>
    <row r="4306" spans="1:10" x14ac:dyDescent="0.35">
      <c r="A4306" t="s">
        <v>15</v>
      </c>
      <c r="B4306" t="s">
        <v>35</v>
      </c>
      <c r="C4306" s="77" t="s">
        <v>91</v>
      </c>
      <c r="D4306" t="s">
        <v>81</v>
      </c>
      <c r="E4306" s="77" t="s">
        <v>119</v>
      </c>
      <c r="F4306" s="77" t="s">
        <v>73</v>
      </c>
      <c r="G4306" s="77" t="s">
        <v>74</v>
      </c>
      <c r="H4306" s="77" t="s">
        <v>108</v>
      </c>
      <c r="I4306" s="77" t="s">
        <v>84</v>
      </c>
      <c r="J4306" s="76">
        <v>6.5526133182607291E-3</v>
      </c>
    </row>
    <row r="4307" spans="1:10" x14ac:dyDescent="0.35">
      <c r="A4307" t="s">
        <v>15</v>
      </c>
      <c r="B4307" t="s">
        <v>35</v>
      </c>
      <c r="C4307" s="77" t="s">
        <v>91</v>
      </c>
      <c r="D4307" t="s">
        <v>81</v>
      </c>
      <c r="E4307" s="77" t="s">
        <v>120</v>
      </c>
      <c r="F4307" s="77" t="s">
        <v>73</v>
      </c>
      <c r="G4307" s="77" t="s">
        <v>74</v>
      </c>
      <c r="H4307" s="77" t="s">
        <v>108</v>
      </c>
      <c r="I4307" s="77" t="s">
        <v>84</v>
      </c>
      <c r="J4307" s="76">
        <v>2.464950959887623E-4</v>
      </c>
    </row>
    <row r="4308" spans="1:10" x14ac:dyDescent="0.35">
      <c r="A4308" t="s">
        <v>15</v>
      </c>
      <c r="B4308" t="s">
        <v>35</v>
      </c>
      <c r="C4308" s="77" t="s">
        <v>91</v>
      </c>
      <c r="D4308" t="s">
        <v>81</v>
      </c>
      <c r="E4308" s="77" t="s">
        <v>121</v>
      </c>
      <c r="F4308" s="77" t="s">
        <v>73</v>
      </c>
      <c r="G4308" s="77" t="s">
        <v>74</v>
      </c>
      <c r="H4308" s="77" t="s">
        <v>108</v>
      </c>
      <c r="I4308" s="77" t="s">
        <v>84</v>
      </c>
      <c r="J4308" s="76">
        <f>'SUT_EU27 total'!$K$76</f>
        <v>0</v>
      </c>
    </row>
    <row r="4309" spans="1:10" x14ac:dyDescent="0.35">
      <c r="A4309" t="s">
        <v>15</v>
      </c>
      <c r="B4309" t="s">
        <v>35</v>
      </c>
      <c r="C4309" s="77" t="s">
        <v>91</v>
      </c>
      <c r="D4309" t="s">
        <v>81</v>
      </c>
      <c r="E4309" s="77" t="s">
        <v>117</v>
      </c>
      <c r="F4309" s="77" t="s">
        <v>73</v>
      </c>
      <c r="G4309" s="77" t="s">
        <v>74</v>
      </c>
      <c r="H4309" s="77" t="s">
        <v>108</v>
      </c>
      <c r="I4309" s="77" t="s">
        <v>84</v>
      </c>
      <c r="J4309" s="76">
        <f>'SUT_EU27 total'!$K$78</f>
        <v>1.1485683451306521E-3</v>
      </c>
    </row>
    <row r="4310" spans="1:10" x14ac:dyDescent="0.35">
      <c r="A4310" t="s">
        <v>15</v>
      </c>
      <c r="B4310" t="s">
        <v>35</v>
      </c>
      <c r="C4310" s="77" t="s">
        <v>91</v>
      </c>
      <c r="D4310" t="s">
        <v>81</v>
      </c>
      <c r="E4310" s="77" t="s">
        <v>122</v>
      </c>
      <c r="F4310" s="77" t="s">
        <v>73</v>
      </c>
      <c r="G4310" s="77" t="s">
        <v>74</v>
      </c>
      <c r="H4310" s="77" t="s">
        <v>108</v>
      </c>
      <c r="I4310" s="77" t="s">
        <v>84</v>
      </c>
      <c r="J4310" s="76">
        <f>'SUT_EU27 total'!$K$81</f>
        <v>0</v>
      </c>
    </row>
    <row r="4311" spans="1:10" x14ac:dyDescent="0.35">
      <c r="A4311" t="s">
        <v>15</v>
      </c>
      <c r="B4311" t="s">
        <v>35</v>
      </c>
      <c r="C4311" s="77" t="s">
        <v>91</v>
      </c>
      <c r="D4311" t="s">
        <v>81</v>
      </c>
      <c r="E4311" s="77" t="s">
        <v>101</v>
      </c>
      <c r="F4311" s="77" t="s">
        <v>73</v>
      </c>
      <c r="G4311" s="77" t="s">
        <v>74</v>
      </c>
      <c r="H4311" s="77" t="s">
        <v>108</v>
      </c>
      <c r="I4311" s="77" t="s">
        <v>84</v>
      </c>
      <c r="J4311" s="76" cm="1">
        <f t="array" ref="J4311:J4313">'SUT_EU27 total'!$K$83:$K$85</f>
        <v>0</v>
      </c>
    </row>
    <row r="4312" spans="1:10" x14ac:dyDescent="0.35">
      <c r="A4312" t="s">
        <v>15</v>
      </c>
      <c r="B4312" t="s">
        <v>35</v>
      </c>
      <c r="C4312" s="77" t="s">
        <v>91</v>
      </c>
      <c r="D4312" t="s">
        <v>81</v>
      </c>
      <c r="E4312" s="77" t="s">
        <v>104</v>
      </c>
      <c r="F4312" s="77" t="s">
        <v>73</v>
      </c>
      <c r="G4312" s="77" t="s">
        <v>74</v>
      </c>
      <c r="H4312" s="77" t="s">
        <v>108</v>
      </c>
      <c r="I4312" s="77" t="s">
        <v>84</v>
      </c>
      <c r="J4312" s="76">
        <v>0</v>
      </c>
    </row>
    <row r="4313" spans="1:10" x14ac:dyDescent="0.35">
      <c r="A4313" t="s">
        <v>15</v>
      </c>
      <c r="B4313" t="s">
        <v>35</v>
      </c>
      <c r="C4313" s="77" t="s">
        <v>91</v>
      </c>
      <c r="D4313" t="s">
        <v>81</v>
      </c>
      <c r="E4313" s="77" t="s">
        <v>106</v>
      </c>
      <c r="F4313" s="77" t="s">
        <v>73</v>
      </c>
      <c r="G4313" s="77" t="s">
        <v>74</v>
      </c>
      <c r="H4313" s="77" t="s">
        <v>108</v>
      </c>
      <c r="I4313" s="77" t="s">
        <v>84</v>
      </c>
      <c r="J4313" s="76">
        <v>0</v>
      </c>
    </row>
    <row r="4314" spans="1:10" x14ac:dyDescent="0.35">
      <c r="A4314" t="s">
        <v>15</v>
      </c>
      <c r="B4314" t="s">
        <v>35</v>
      </c>
      <c r="C4314" s="77" t="s">
        <v>92</v>
      </c>
      <c r="D4314" t="s">
        <v>81</v>
      </c>
      <c r="E4314" s="77" t="s">
        <v>118</v>
      </c>
      <c r="F4314" s="77" t="s">
        <v>73</v>
      </c>
      <c r="G4314" s="77" t="s">
        <v>74</v>
      </c>
      <c r="H4314" s="77" t="s">
        <v>108</v>
      </c>
      <c r="I4314" s="77" t="s">
        <v>84</v>
      </c>
      <c r="J4314" s="76" cm="1">
        <f t="array" ref="J4314:J4316">'SUT_EU27 total'!$K$89:$K$91</f>
        <v>3.3497344343163542E-3</v>
      </c>
    </row>
    <row r="4315" spans="1:10" x14ac:dyDescent="0.35">
      <c r="A4315" t="s">
        <v>15</v>
      </c>
      <c r="B4315" t="s">
        <v>35</v>
      </c>
      <c r="C4315" s="77" t="s">
        <v>92</v>
      </c>
      <c r="D4315" t="s">
        <v>81</v>
      </c>
      <c r="E4315" s="77" t="s">
        <v>119</v>
      </c>
      <c r="F4315" s="77" t="s">
        <v>73</v>
      </c>
      <c r="G4315" s="77" t="s">
        <v>74</v>
      </c>
      <c r="H4315" s="77" t="s">
        <v>108</v>
      </c>
      <c r="I4315" s="77" t="s">
        <v>84</v>
      </c>
      <c r="J4315" s="76">
        <v>6.0269323460777589E-3</v>
      </c>
    </row>
    <row r="4316" spans="1:10" x14ac:dyDescent="0.35">
      <c r="A4316" t="s">
        <v>15</v>
      </c>
      <c r="B4316" t="s">
        <v>35</v>
      </c>
      <c r="C4316" s="77" t="s">
        <v>92</v>
      </c>
      <c r="D4316" t="s">
        <v>81</v>
      </c>
      <c r="E4316" s="77" t="s">
        <v>120</v>
      </c>
      <c r="F4316" s="77" t="s">
        <v>73</v>
      </c>
      <c r="G4316" s="77" t="s">
        <v>74</v>
      </c>
      <c r="H4316" s="77" t="s">
        <v>108</v>
      </c>
      <c r="I4316" s="77" t="s">
        <v>84</v>
      </c>
      <c r="J4316" s="76">
        <v>4.0947713992508196E-3</v>
      </c>
    </row>
    <row r="4317" spans="1:10" x14ac:dyDescent="0.35">
      <c r="A4317" t="s">
        <v>15</v>
      </c>
      <c r="B4317" t="s">
        <v>35</v>
      </c>
      <c r="C4317" s="77" t="s">
        <v>92</v>
      </c>
      <c r="D4317" t="s">
        <v>81</v>
      </c>
      <c r="E4317" s="77" t="s">
        <v>121</v>
      </c>
      <c r="F4317" s="77" t="s">
        <v>73</v>
      </c>
      <c r="G4317" s="77" t="s">
        <v>74</v>
      </c>
      <c r="H4317" s="77" t="s">
        <v>108</v>
      </c>
      <c r="I4317" s="77" t="s">
        <v>84</v>
      </c>
      <c r="J4317" s="76">
        <f>'SUT_EU27 total'!$K$93</f>
        <v>0</v>
      </c>
    </row>
    <row r="4318" spans="1:10" x14ac:dyDescent="0.35">
      <c r="A4318" t="s">
        <v>15</v>
      </c>
      <c r="B4318" t="s">
        <v>35</v>
      </c>
      <c r="C4318" s="77" t="s">
        <v>92</v>
      </c>
      <c r="D4318" t="s">
        <v>81</v>
      </c>
      <c r="E4318" s="77" t="s">
        <v>117</v>
      </c>
      <c r="F4318" s="77" t="s">
        <v>73</v>
      </c>
      <c r="G4318" s="77" t="s">
        <v>74</v>
      </c>
      <c r="H4318" s="77" t="s">
        <v>108</v>
      </c>
      <c r="I4318" s="77" t="s">
        <v>84</v>
      </c>
      <c r="J4318" s="76">
        <f>'SUT_EU27 total'!$K$95</f>
        <v>0</v>
      </c>
    </row>
    <row r="4319" spans="1:10" x14ac:dyDescent="0.35">
      <c r="A4319" t="s">
        <v>15</v>
      </c>
      <c r="B4319" t="s">
        <v>35</v>
      </c>
      <c r="C4319" s="77" t="s">
        <v>92</v>
      </c>
      <c r="D4319" t="s">
        <v>81</v>
      </c>
      <c r="E4319" s="77" t="s">
        <v>122</v>
      </c>
      <c r="F4319" s="77" t="s">
        <v>73</v>
      </c>
      <c r="G4319" s="77" t="s">
        <v>74</v>
      </c>
      <c r="H4319" s="77" t="s">
        <v>108</v>
      </c>
      <c r="I4319" s="77" t="s">
        <v>84</v>
      </c>
      <c r="J4319" s="76">
        <f>'SUT_EU27 total'!$K$98</f>
        <v>0</v>
      </c>
    </row>
    <row r="4320" spans="1:10" x14ac:dyDescent="0.35">
      <c r="A4320" t="s">
        <v>15</v>
      </c>
      <c r="B4320" t="s">
        <v>35</v>
      </c>
      <c r="C4320" s="77" t="s">
        <v>92</v>
      </c>
      <c r="D4320" t="s">
        <v>81</v>
      </c>
      <c r="E4320" s="77" t="s">
        <v>101</v>
      </c>
      <c r="F4320" s="77" t="s">
        <v>73</v>
      </c>
      <c r="G4320" s="77" t="s">
        <v>74</v>
      </c>
      <c r="H4320" s="77" t="s">
        <v>108</v>
      </c>
      <c r="I4320" s="77" t="s">
        <v>84</v>
      </c>
      <c r="J4320" s="76" cm="1">
        <f t="array" ref="J4320:J4322">'SUT_EU27 total'!$K$100:$K$102</f>
        <v>0</v>
      </c>
    </row>
    <row r="4321" spans="1:10" x14ac:dyDescent="0.35">
      <c r="A4321" t="s">
        <v>15</v>
      </c>
      <c r="B4321" t="s">
        <v>35</v>
      </c>
      <c r="C4321" s="77" t="s">
        <v>92</v>
      </c>
      <c r="D4321" t="s">
        <v>81</v>
      </c>
      <c r="E4321" s="77" t="s">
        <v>104</v>
      </c>
      <c r="F4321" s="77" t="s">
        <v>73</v>
      </c>
      <c r="G4321" s="77" t="s">
        <v>74</v>
      </c>
      <c r="H4321" s="77" t="s">
        <v>108</v>
      </c>
      <c r="I4321" s="77" t="s">
        <v>84</v>
      </c>
      <c r="J4321" s="76">
        <v>0</v>
      </c>
    </row>
    <row r="4322" spans="1:10" x14ac:dyDescent="0.35">
      <c r="A4322" t="s">
        <v>15</v>
      </c>
      <c r="B4322" t="s">
        <v>35</v>
      </c>
      <c r="C4322" s="77" t="s">
        <v>92</v>
      </c>
      <c r="D4322" t="s">
        <v>81</v>
      </c>
      <c r="E4322" s="77" t="s">
        <v>106</v>
      </c>
      <c r="F4322" s="77" t="s">
        <v>73</v>
      </c>
      <c r="G4322" s="77" t="s">
        <v>74</v>
      </c>
      <c r="H4322" s="77" t="s">
        <v>108</v>
      </c>
      <c r="I4322" s="77" t="s">
        <v>84</v>
      </c>
      <c r="J4322" s="76">
        <v>0</v>
      </c>
    </row>
    <row r="4323" spans="1:10" x14ac:dyDescent="0.35">
      <c r="A4323" t="s">
        <v>15</v>
      </c>
      <c r="B4323" t="s">
        <v>35</v>
      </c>
      <c r="C4323" s="77" t="s">
        <v>93</v>
      </c>
      <c r="D4323" t="s">
        <v>81</v>
      </c>
      <c r="E4323" s="77" t="s">
        <v>118</v>
      </c>
      <c r="F4323" s="77" t="s">
        <v>73</v>
      </c>
      <c r="G4323" s="77" t="s">
        <v>74</v>
      </c>
      <c r="H4323" s="77" t="s">
        <v>108</v>
      </c>
      <c r="I4323" s="77" t="s">
        <v>84</v>
      </c>
      <c r="J4323" s="76" cm="1">
        <f t="array" ref="J4323:J4325">'SUT_EU27 total'!$K$106:$K$108</f>
        <v>1.4980971667560324E-2</v>
      </c>
    </row>
    <row r="4324" spans="1:10" x14ac:dyDescent="0.35">
      <c r="A4324" t="s">
        <v>15</v>
      </c>
      <c r="B4324" t="s">
        <v>35</v>
      </c>
      <c r="C4324" s="77" t="s">
        <v>93</v>
      </c>
      <c r="D4324" t="s">
        <v>81</v>
      </c>
      <c r="E4324" s="77" t="s">
        <v>119</v>
      </c>
      <c r="F4324" s="77" t="s">
        <v>73</v>
      </c>
      <c r="G4324" s="77" t="s">
        <v>74</v>
      </c>
      <c r="H4324" s="77" t="s">
        <v>108</v>
      </c>
      <c r="I4324" s="77" t="s">
        <v>84</v>
      </c>
      <c r="J4324" s="76">
        <v>4.3405477873147885E-2</v>
      </c>
    </row>
    <row r="4325" spans="1:10" x14ac:dyDescent="0.35">
      <c r="A4325" t="s">
        <v>15</v>
      </c>
      <c r="B4325" t="s">
        <v>35</v>
      </c>
      <c r="C4325" s="77" t="s">
        <v>93</v>
      </c>
      <c r="D4325" t="s">
        <v>81</v>
      </c>
      <c r="E4325" s="77" t="s">
        <v>120</v>
      </c>
      <c r="F4325" s="77" t="s">
        <v>73</v>
      </c>
      <c r="G4325" s="77" t="s">
        <v>74</v>
      </c>
      <c r="H4325" s="77" t="s">
        <v>108</v>
      </c>
      <c r="I4325" s="77" t="s">
        <v>84</v>
      </c>
      <c r="J4325" s="76">
        <v>2.1237093113781802E-2</v>
      </c>
    </row>
    <row r="4326" spans="1:10" x14ac:dyDescent="0.35">
      <c r="A4326" t="s">
        <v>15</v>
      </c>
      <c r="B4326" t="s">
        <v>35</v>
      </c>
      <c r="C4326" s="77" t="s">
        <v>93</v>
      </c>
      <c r="D4326" t="s">
        <v>81</v>
      </c>
      <c r="E4326" s="77" t="s">
        <v>121</v>
      </c>
      <c r="F4326" s="77" t="s">
        <v>73</v>
      </c>
      <c r="G4326" s="77" t="s">
        <v>74</v>
      </c>
      <c r="H4326" s="77" t="s">
        <v>108</v>
      </c>
      <c r="I4326" s="77" t="s">
        <v>84</v>
      </c>
      <c r="J4326" s="76">
        <f>'SUT_EU27 total'!$K$110</f>
        <v>0</v>
      </c>
    </row>
    <row r="4327" spans="1:10" x14ac:dyDescent="0.35">
      <c r="A4327" t="s">
        <v>15</v>
      </c>
      <c r="B4327" t="s">
        <v>35</v>
      </c>
      <c r="C4327" s="77" t="s">
        <v>93</v>
      </c>
      <c r="D4327" t="s">
        <v>81</v>
      </c>
      <c r="E4327" s="77" t="s">
        <v>117</v>
      </c>
      <c r="F4327" s="77" t="s">
        <v>73</v>
      </c>
      <c r="G4327" s="77" t="s">
        <v>74</v>
      </c>
      <c r="H4327" s="77" t="s">
        <v>108</v>
      </c>
      <c r="I4327" s="77" t="s">
        <v>84</v>
      </c>
      <c r="J4327" s="76">
        <f>'SUT_EU27 total'!$K$112</f>
        <v>1.1930984723440377E-3</v>
      </c>
    </row>
    <row r="4328" spans="1:10" x14ac:dyDescent="0.35">
      <c r="A4328" t="s">
        <v>15</v>
      </c>
      <c r="B4328" t="s">
        <v>35</v>
      </c>
      <c r="C4328" s="77" t="s">
        <v>93</v>
      </c>
      <c r="D4328" t="s">
        <v>81</v>
      </c>
      <c r="E4328" s="77" t="s">
        <v>122</v>
      </c>
      <c r="F4328" s="77" t="s">
        <v>73</v>
      </c>
      <c r="G4328" s="77" t="s">
        <v>74</v>
      </c>
      <c r="H4328" s="77" t="s">
        <v>108</v>
      </c>
      <c r="I4328" s="77" t="s">
        <v>84</v>
      </c>
      <c r="J4328" s="76">
        <f>'SUT_EU27 total'!$K$115</f>
        <v>8.7987828585017833E-3</v>
      </c>
    </row>
    <row r="4329" spans="1:10" x14ac:dyDescent="0.35">
      <c r="A4329" t="s">
        <v>15</v>
      </c>
      <c r="B4329" t="s">
        <v>35</v>
      </c>
      <c r="C4329" s="77" t="s">
        <v>93</v>
      </c>
      <c r="D4329" t="s">
        <v>81</v>
      </c>
      <c r="E4329" s="77" t="s">
        <v>101</v>
      </c>
      <c r="F4329" s="77" t="s">
        <v>73</v>
      </c>
      <c r="G4329" s="77" t="s">
        <v>74</v>
      </c>
      <c r="H4329" s="77" t="s">
        <v>108</v>
      </c>
      <c r="I4329" s="77" t="s">
        <v>84</v>
      </c>
      <c r="J4329" s="76" cm="1">
        <f t="array" ref="J4329:J4331">'SUT_EU27 total'!$K$117:$K$119</f>
        <v>0</v>
      </c>
    </row>
    <row r="4330" spans="1:10" x14ac:dyDescent="0.35">
      <c r="A4330" t="s">
        <v>15</v>
      </c>
      <c r="B4330" t="s">
        <v>35</v>
      </c>
      <c r="C4330" s="77" t="s">
        <v>93</v>
      </c>
      <c r="D4330" t="s">
        <v>81</v>
      </c>
      <c r="E4330" s="77" t="s">
        <v>104</v>
      </c>
      <c r="F4330" s="77" t="s">
        <v>73</v>
      </c>
      <c r="G4330" s="77" t="s">
        <v>74</v>
      </c>
      <c r="H4330" s="77" t="s">
        <v>108</v>
      </c>
      <c r="I4330" s="77" t="s">
        <v>84</v>
      </c>
      <c r="J4330" s="76">
        <v>0</v>
      </c>
    </row>
    <row r="4331" spans="1:10" x14ac:dyDescent="0.35">
      <c r="A4331" t="s">
        <v>15</v>
      </c>
      <c r="B4331" t="s">
        <v>35</v>
      </c>
      <c r="C4331" s="77" t="s">
        <v>93</v>
      </c>
      <c r="D4331" t="s">
        <v>81</v>
      </c>
      <c r="E4331" s="77" t="s">
        <v>106</v>
      </c>
      <c r="F4331" s="77" t="s">
        <v>73</v>
      </c>
      <c r="G4331" s="77" t="s">
        <v>74</v>
      </c>
      <c r="H4331" s="77" t="s">
        <v>108</v>
      </c>
      <c r="I4331" s="77" t="s">
        <v>84</v>
      </c>
      <c r="J4331" s="76">
        <v>0</v>
      </c>
    </row>
    <row r="4332" spans="1:10" x14ac:dyDescent="0.35">
      <c r="A4332" t="s">
        <v>15</v>
      </c>
      <c r="B4332" t="s">
        <v>35</v>
      </c>
      <c r="C4332" s="77" t="s">
        <v>73</v>
      </c>
      <c r="D4332" t="s">
        <v>81</v>
      </c>
      <c r="E4332" s="77" t="s">
        <v>119</v>
      </c>
      <c r="F4332" s="77" t="s">
        <v>73</v>
      </c>
      <c r="G4332" s="77" t="s">
        <v>74</v>
      </c>
      <c r="H4332" s="77" t="s">
        <v>123</v>
      </c>
      <c r="I4332" s="77" t="s">
        <v>84</v>
      </c>
      <c r="J4332" s="76">
        <f>'SUT_EU27 total'!$L$22</f>
        <v>1.9500181678711294E-2</v>
      </c>
    </row>
    <row r="4333" spans="1:10" x14ac:dyDescent="0.35">
      <c r="A4333" t="s">
        <v>15</v>
      </c>
      <c r="B4333" t="s">
        <v>35</v>
      </c>
      <c r="C4333" s="77" t="s">
        <v>73</v>
      </c>
      <c r="D4333" t="s">
        <v>81</v>
      </c>
      <c r="E4333" s="77" t="s">
        <v>124</v>
      </c>
      <c r="F4333" s="77" t="s">
        <v>73</v>
      </c>
      <c r="G4333" s="77" t="s">
        <v>74</v>
      </c>
      <c r="H4333" s="77" t="s">
        <v>123</v>
      </c>
      <c r="I4333" s="77" t="s">
        <v>84</v>
      </c>
      <c r="J4333" s="76" cm="1">
        <f t="array" ref="J4333:J4341">'SUT_EU27 total'!$L$26:$L$34</f>
        <v>1.9404661061278542E-3</v>
      </c>
    </row>
    <row r="4334" spans="1:10" x14ac:dyDescent="0.35">
      <c r="A4334" t="s">
        <v>15</v>
      </c>
      <c r="B4334" t="s">
        <v>35</v>
      </c>
      <c r="C4334" s="77" t="s">
        <v>73</v>
      </c>
      <c r="D4334" t="s">
        <v>81</v>
      </c>
      <c r="E4334" s="77" t="s">
        <v>117</v>
      </c>
      <c r="F4334" s="77" t="s">
        <v>73</v>
      </c>
      <c r="G4334" s="77" t="s">
        <v>74</v>
      </c>
      <c r="H4334" s="77" t="s">
        <v>123</v>
      </c>
      <c r="I4334" s="77" t="s">
        <v>84</v>
      </c>
      <c r="J4334" s="76">
        <v>5.8423628191201782E-3</v>
      </c>
    </row>
    <row r="4335" spans="1:10" x14ac:dyDescent="0.35">
      <c r="A4335" t="s">
        <v>15</v>
      </c>
      <c r="B4335" t="s">
        <v>35</v>
      </c>
      <c r="C4335" s="77" t="s">
        <v>73</v>
      </c>
      <c r="D4335" t="s">
        <v>81</v>
      </c>
      <c r="E4335" s="77" t="s">
        <v>82</v>
      </c>
      <c r="F4335" s="77" t="s">
        <v>73</v>
      </c>
      <c r="G4335" s="77" t="s">
        <v>74</v>
      </c>
      <c r="H4335" s="77" t="s">
        <v>123</v>
      </c>
      <c r="I4335" s="77" t="s">
        <v>84</v>
      </c>
      <c r="J4335" s="76">
        <v>4.8981233243967828E-4</v>
      </c>
    </row>
    <row r="4336" spans="1:10" x14ac:dyDescent="0.35">
      <c r="A4336" t="s">
        <v>15</v>
      </c>
      <c r="B4336" t="s">
        <v>35</v>
      </c>
      <c r="C4336" s="77" t="s">
        <v>73</v>
      </c>
      <c r="D4336" t="s">
        <v>81</v>
      </c>
      <c r="E4336" s="77" t="s">
        <v>125</v>
      </c>
      <c r="F4336" s="77" t="s">
        <v>73</v>
      </c>
      <c r="G4336" s="77" t="s">
        <v>74</v>
      </c>
      <c r="H4336" s="77" t="s">
        <v>123</v>
      </c>
      <c r="I4336" s="77" t="s">
        <v>84</v>
      </c>
      <c r="J4336" s="76">
        <v>2.4658201215687387E-3</v>
      </c>
    </row>
    <row r="4337" spans="1:11" x14ac:dyDescent="0.35">
      <c r="A4337" t="s">
        <v>15</v>
      </c>
      <c r="B4337" t="s">
        <v>35</v>
      </c>
      <c r="C4337" s="77" t="s">
        <v>73</v>
      </c>
      <c r="D4337" t="s">
        <v>81</v>
      </c>
      <c r="E4337" s="77" t="s">
        <v>122</v>
      </c>
      <c r="F4337" s="77" t="s">
        <v>73</v>
      </c>
      <c r="G4337" s="77" t="s">
        <v>74</v>
      </c>
      <c r="H4337" s="77" t="s">
        <v>123</v>
      </c>
      <c r="I4337" s="77" t="s">
        <v>84</v>
      </c>
      <c r="J4337" s="76">
        <v>4.922711058263972E-4</v>
      </c>
    </row>
    <row r="4338" spans="1:11" x14ac:dyDescent="0.35">
      <c r="A4338" t="s">
        <v>15</v>
      </c>
      <c r="B4338" t="s">
        <v>35</v>
      </c>
      <c r="C4338" s="77" t="s">
        <v>73</v>
      </c>
      <c r="D4338" t="s">
        <v>81</v>
      </c>
      <c r="E4338" s="77" t="s">
        <v>126</v>
      </c>
      <c r="F4338" s="77" t="s">
        <v>73</v>
      </c>
      <c r="G4338" s="77" t="s">
        <v>74</v>
      </c>
      <c r="H4338" s="77" t="s">
        <v>123</v>
      </c>
      <c r="I4338" s="77" t="s">
        <v>84</v>
      </c>
      <c r="J4338" s="76">
        <v>0</v>
      </c>
    </row>
    <row r="4339" spans="1:11" x14ac:dyDescent="0.35">
      <c r="A4339" t="s">
        <v>15</v>
      </c>
      <c r="B4339" t="s">
        <v>35</v>
      </c>
      <c r="C4339" s="77" t="s">
        <v>73</v>
      </c>
      <c r="D4339" t="s">
        <v>81</v>
      </c>
      <c r="E4339" s="77" t="s">
        <v>101</v>
      </c>
      <c r="F4339" s="77" t="s">
        <v>73</v>
      </c>
      <c r="G4339" s="77" t="s">
        <v>74</v>
      </c>
      <c r="H4339" s="77" t="s">
        <v>123</v>
      </c>
      <c r="I4339" s="77" t="s">
        <v>84</v>
      </c>
      <c r="J4339" s="76">
        <v>3.7860913795851507E-4</v>
      </c>
    </row>
    <row r="4340" spans="1:11" x14ac:dyDescent="0.35">
      <c r="A4340" t="s">
        <v>15</v>
      </c>
      <c r="B4340" t="s">
        <v>35</v>
      </c>
      <c r="C4340" s="77" t="s">
        <v>73</v>
      </c>
      <c r="D4340" t="s">
        <v>81</v>
      </c>
      <c r="E4340" s="77" t="s">
        <v>104</v>
      </c>
      <c r="F4340" s="77" t="s">
        <v>73</v>
      </c>
      <c r="G4340" s="77" t="s">
        <v>74</v>
      </c>
      <c r="H4340" s="77" t="s">
        <v>123</v>
      </c>
      <c r="I4340" s="77" t="s">
        <v>84</v>
      </c>
      <c r="J4340" s="76">
        <v>7.1686251377883477E-4</v>
      </c>
      <c r="K4340" s="72"/>
    </row>
    <row r="4341" spans="1:11" x14ac:dyDescent="0.35">
      <c r="A4341" t="s">
        <v>15</v>
      </c>
      <c r="B4341" t="s">
        <v>35</v>
      </c>
      <c r="C4341" s="77" t="s">
        <v>73</v>
      </c>
      <c r="D4341" t="s">
        <v>81</v>
      </c>
      <c r="E4341" s="77" t="s">
        <v>106</v>
      </c>
      <c r="F4341" s="77" t="s">
        <v>73</v>
      </c>
      <c r="G4341" s="77" t="s">
        <v>74</v>
      </c>
      <c r="H4341" s="77" t="s">
        <v>123</v>
      </c>
      <c r="I4341" s="77" t="s">
        <v>84</v>
      </c>
      <c r="J4341" s="76">
        <v>2.438307869996036E-3</v>
      </c>
    </row>
    <row r="4342" spans="1:11" x14ac:dyDescent="0.35">
      <c r="A4342" t="s">
        <v>15</v>
      </c>
      <c r="B4342" t="s">
        <v>35</v>
      </c>
      <c r="C4342" s="77" t="s">
        <v>88</v>
      </c>
      <c r="D4342" t="s">
        <v>81</v>
      </c>
      <c r="E4342" s="77" t="s">
        <v>119</v>
      </c>
      <c r="F4342" s="77" t="s">
        <v>73</v>
      </c>
      <c r="G4342" s="77" t="s">
        <v>74</v>
      </c>
      <c r="H4342" s="77" t="s">
        <v>123</v>
      </c>
      <c r="I4342" s="77" t="s">
        <v>84</v>
      </c>
      <c r="J4342" s="76">
        <f>'SUT_EU27 total'!$L$39</f>
        <v>0.16108845734587587</v>
      </c>
    </row>
    <row r="4343" spans="1:11" x14ac:dyDescent="0.35">
      <c r="A4343" t="s">
        <v>15</v>
      </c>
      <c r="B4343" t="s">
        <v>35</v>
      </c>
      <c r="C4343" s="77" t="s">
        <v>88</v>
      </c>
      <c r="D4343" t="s">
        <v>81</v>
      </c>
      <c r="E4343" s="77" t="s">
        <v>124</v>
      </c>
      <c r="F4343" s="77" t="s">
        <v>73</v>
      </c>
      <c r="G4343" s="77" t="s">
        <v>74</v>
      </c>
      <c r="H4343" s="77" t="s">
        <v>123</v>
      </c>
      <c r="I4343" s="77" t="s">
        <v>84</v>
      </c>
      <c r="J4343" s="76" cm="1">
        <f t="array" ref="J4343:J4351">'SUT_EU27 total'!$M$43:$M$51</f>
        <v>5.0558836222750793E-4</v>
      </c>
    </row>
    <row r="4344" spans="1:11" x14ac:dyDescent="0.35">
      <c r="A4344" t="s">
        <v>15</v>
      </c>
      <c r="B4344" t="s">
        <v>35</v>
      </c>
      <c r="C4344" s="77" t="s">
        <v>88</v>
      </c>
      <c r="D4344" t="s">
        <v>81</v>
      </c>
      <c r="E4344" s="77" t="s">
        <v>117</v>
      </c>
      <c r="F4344" s="77" t="s">
        <v>73</v>
      </c>
      <c r="G4344" s="77" t="s">
        <v>74</v>
      </c>
      <c r="H4344" s="77" t="s">
        <v>123</v>
      </c>
      <c r="I4344" s="77" t="s">
        <v>84</v>
      </c>
      <c r="J4344" s="76">
        <v>4.8514464106651379E-3</v>
      </c>
    </row>
    <row r="4345" spans="1:11" x14ac:dyDescent="0.35">
      <c r="A4345" t="s">
        <v>15</v>
      </c>
      <c r="B4345" t="s">
        <v>35</v>
      </c>
      <c r="C4345" s="77" t="s">
        <v>88</v>
      </c>
      <c r="D4345" t="s">
        <v>81</v>
      </c>
      <c r="E4345" s="77" t="s">
        <v>82</v>
      </c>
      <c r="F4345" s="77" t="s">
        <v>73</v>
      </c>
      <c r="G4345" s="77" t="s">
        <v>74</v>
      </c>
      <c r="H4345" s="77" t="s">
        <v>123</v>
      </c>
      <c r="I4345" s="77" t="s">
        <v>84</v>
      </c>
      <c r="J4345" s="76">
        <v>1.109418436791091E-2</v>
      </c>
    </row>
    <row r="4346" spans="1:11" x14ac:dyDescent="0.35">
      <c r="A4346" t="s">
        <v>15</v>
      </c>
      <c r="B4346" t="s">
        <v>35</v>
      </c>
      <c r="C4346" s="77" t="s">
        <v>88</v>
      </c>
      <c r="D4346" t="s">
        <v>81</v>
      </c>
      <c r="E4346" s="77" t="s">
        <v>125</v>
      </c>
      <c r="F4346" s="77" t="s">
        <v>73</v>
      </c>
      <c r="G4346" s="77" t="s">
        <v>74</v>
      </c>
      <c r="H4346" s="77" t="s">
        <v>123</v>
      </c>
      <c r="I4346" s="77" t="s">
        <v>84</v>
      </c>
      <c r="J4346" s="76">
        <v>2.890870278990243E-5</v>
      </c>
    </row>
    <row r="4347" spans="1:11" x14ac:dyDescent="0.35">
      <c r="A4347" t="s">
        <v>15</v>
      </c>
      <c r="B4347" t="s">
        <v>35</v>
      </c>
      <c r="C4347" s="77" t="s">
        <v>88</v>
      </c>
      <c r="D4347" t="s">
        <v>81</v>
      </c>
      <c r="E4347" s="77" t="s">
        <v>122</v>
      </c>
      <c r="F4347" s="77" t="s">
        <v>73</v>
      </c>
      <c r="G4347" s="77" t="s">
        <v>74</v>
      </c>
      <c r="H4347" s="77" t="s">
        <v>123</v>
      </c>
      <c r="I4347" s="77" t="s">
        <v>84</v>
      </c>
      <c r="J4347" s="76">
        <v>0</v>
      </c>
    </row>
    <row r="4348" spans="1:11" x14ac:dyDescent="0.35">
      <c r="A4348" t="s">
        <v>15</v>
      </c>
      <c r="B4348" t="s">
        <v>35</v>
      </c>
      <c r="C4348" s="77" t="s">
        <v>88</v>
      </c>
      <c r="D4348" t="s">
        <v>81</v>
      </c>
      <c r="E4348" s="77" t="s">
        <v>126</v>
      </c>
      <c r="F4348" s="77" t="s">
        <v>73</v>
      </c>
      <c r="G4348" s="77" t="s">
        <v>74</v>
      </c>
      <c r="H4348" s="77" t="s">
        <v>123</v>
      </c>
      <c r="I4348" s="77" t="s">
        <v>84</v>
      </c>
      <c r="J4348" s="76">
        <v>2.8514320987501449E-3</v>
      </c>
    </row>
    <row r="4349" spans="1:11" x14ac:dyDescent="0.35">
      <c r="A4349" t="s">
        <v>15</v>
      </c>
      <c r="B4349" t="s">
        <v>35</v>
      </c>
      <c r="C4349" s="77" t="s">
        <v>88</v>
      </c>
      <c r="D4349" t="s">
        <v>81</v>
      </c>
      <c r="E4349" s="77" t="s">
        <v>101</v>
      </c>
      <c r="F4349" s="77" t="s">
        <v>73</v>
      </c>
      <c r="G4349" s="77" t="s">
        <v>74</v>
      </c>
      <c r="H4349" s="77" t="s">
        <v>123</v>
      </c>
      <c r="I4349" s="77" t="s">
        <v>84</v>
      </c>
      <c r="J4349" s="76">
        <v>0</v>
      </c>
    </row>
    <row r="4350" spans="1:11" x14ac:dyDescent="0.35">
      <c r="A4350" t="s">
        <v>15</v>
      </c>
      <c r="B4350" t="s">
        <v>35</v>
      </c>
      <c r="C4350" s="77" t="s">
        <v>88</v>
      </c>
      <c r="D4350" t="s">
        <v>81</v>
      </c>
      <c r="E4350" s="77" t="s">
        <v>104</v>
      </c>
      <c r="F4350" s="77" t="s">
        <v>73</v>
      </c>
      <c r="G4350" s="77" t="s">
        <v>74</v>
      </c>
      <c r="H4350" s="77" t="s">
        <v>123</v>
      </c>
      <c r="I4350" s="77" t="s">
        <v>84</v>
      </c>
      <c r="J4350" s="76">
        <v>0</v>
      </c>
    </row>
    <row r="4351" spans="1:11" x14ac:dyDescent="0.35">
      <c r="A4351" t="s">
        <v>15</v>
      </c>
      <c r="B4351" t="s">
        <v>35</v>
      </c>
      <c r="C4351" s="77" t="s">
        <v>88</v>
      </c>
      <c r="D4351" t="s">
        <v>81</v>
      </c>
      <c r="E4351" s="77" t="s">
        <v>106</v>
      </c>
      <c r="F4351" s="77" t="s">
        <v>73</v>
      </c>
      <c r="G4351" s="77" t="s">
        <v>74</v>
      </c>
      <c r="H4351" s="77" t="s">
        <v>123</v>
      </c>
      <c r="I4351" s="77" t="s">
        <v>84</v>
      </c>
      <c r="J4351" s="76">
        <v>0</v>
      </c>
    </row>
    <row r="4352" spans="1:11" x14ac:dyDescent="0.35">
      <c r="A4352" t="s">
        <v>15</v>
      </c>
      <c r="B4352" t="s">
        <v>35</v>
      </c>
      <c r="C4352" s="77" t="s">
        <v>90</v>
      </c>
      <c r="D4352" t="s">
        <v>81</v>
      </c>
      <c r="E4352" s="77" t="s">
        <v>119</v>
      </c>
      <c r="F4352" s="77" t="s">
        <v>73</v>
      </c>
      <c r="G4352" s="77" t="s">
        <v>74</v>
      </c>
      <c r="H4352" s="77" t="s">
        <v>123</v>
      </c>
      <c r="I4352" s="77" t="s">
        <v>84</v>
      </c>
      <c r="J4352" s="76">
        <f>'SUT_EU27 total'!$M$56</f>
        <v>2.949251079979006E-2</v>
      </c>
    </row>
    <row r="4353" spans="1:10" x14ac:dyDescent="0.35">
      <c r="A4353" t="s">
        <v>15</v>
      </c>
      <c r="B4353" t="s">
        <v>35</v>
      </c>
      <c r="C4353" s="77" t="s">
        <v>90</v>
      </c>
      <c r="D4353" t="s">
        <v>81</v>
      </c>
      <c r="E4353" s="77" t="s">
        <v>124</v>
      </c>
      <c r="F4353" s="77" t="s">
        <v>73</v>
      </c>
      <c r="G4353" s="77" t="s">
        <v>74</v>
      </c>
      <c r="H4353" s="77" t="s">
        <v>123</v>
      </c>
      <c r="I4353" s="77" t="s">
        <v>84</v>
      </c>
      <c r="J4353" s="76" cm="1">
        <f t="array" ref="J4353:J4361">'SUT_EU27 total'!$L$60:$L$68</f>
        <v>2.1047443073980527E-5</v>
      </c>
    </row>
    <row r="4354" spans="1:10" x14ac:dyDescent="0.35">
      <c r="A4354" t="s">
        <v>15</v>
      </c>
      <c r="B4354" t="s">
        <v>35</v>
      </c>
      <c r="C4354" s="77" t="s">
        <v>90</v>
      </c>
      <c r="D4354" t="s">
        <v>81</v>
      </c>
      <c r="E4354" s="77" t="s">
        <v>117</v>
      </c>
      <c r="F4354" s="77" t="s">
        <v>73</v>
      </c>
      <c r="G4354" s="77" t="s">
        <v>74</v>
      </c>
      <c r="H4354" s="77" t="s">
        <v>123</v>
      </c>
      <c r="I4354" s="77" t="s">
        <v>84</v>
      </c>
      <c r="J4354" s="76">
        <v>5.8414015621608938E-3</v>
      </c>
    </row>
    <row r="4355" spans="1:10" x14ac:dyDescent="0.35">
      <c r="A4355" t="s">
        <v>15</v>
      </c>
      <c r="B4355" t="s">
        <v>35</v>
      </c>
      <c r="C4355" s="77" t="s">
        <v>90</v>
      </c>
      <c r="D4355" t="s">
        <v>81</v>
      </c>
      <c r="E4355" s="77" t="s">
        <v>82</v>
      </c>
      <c r="F4355" s="77" t="s">
        <v>73</v>
      </c>
      <c r="G4355" s="77" t="s">
        <v>74</v>
      </c>
      <c r="H4355" s="77" t="s">
        <v>123</v>
      </c>
      <c r="I4355" s="77" t="s">
        <v>84</v>
      </c>
      <c r="J4355" s="76">
        <v>1.4521138379047227E-3</v>
      </c>
    </row>
    <row r="4356" spans="1:10" x14ac:dyDescent="0.35">
      <c r="A4356" t="s">
        <v>15</v>
      </c>
      <c r="B4356" t="s">
        <v>35</v>
      </c>
      <c r="C4356" s="77" t="s">
        <v>90</v>
      </c>
      <c r="D4356" t="s">
        <v>81</v>
      </c>
      <c r="E4356" s="77" t="s">
        <v>125</v>
      </c>
      <c r="F4356" s="77" t="s">
        <v>73</v>
      </c>
      <c r="G4356" s="77" t="s">
        <v>74</v>
      </c>
      <c r="H4356" s="77" t="s">
        <v>123</v>
      </c>
      <c r="I4356" s="77" t="s">
        <v>84</v>
      </c>
      <c r="J4356" s="76">
        <v>6.5130870114372285E-5</v>
      </c>
    </row>
    <row r="4357" spans="1:10" x14ac:dyDescent="0.35">
      <c r="A4357" t="s">
        <v>15</v>
      </c>
      <c r="B4357" t="s">
        <v>35</v>
      </c>
      <c r="C4357" s="77" t="s">
        <v>90</v>
      </c>
      <c r="D4357" t="s">
        <v>81</v>
      </c>
      <c r="E4357" s="77" t="s">
        <v>122</v>
      </c>
      <c r="F4357" s="77" t="s">
        <v>73</v>
      </c>
      <c r="G4357" s="77" t="s">
        <v>74</v>
      </c>
      <c r="H4357" s="77" t="s">
        <v>123</v>
      </c>
      <c r="I4357" s="77" t="s">
        <v>84</v>
      </c>
      <c r="J4357" s="76">
        <v>7.9476813317479189E-4</v>
      </c>
    </row>
    <row r="4358" spans="1:10" x14ac:dyDescent="0.35">
      <c r="A4358" t="s">
        <v>15</v>
      </c>
      <c r="B4358" t="s">
        <v>35</v>
      </c>
      <c r="C4358" s="77" t="s">
        <v>90</v>
      </c>
      <c r="D4358" t="s">
        <v>81</v>
      </c>
      <c r="E4358" s="77" t="s">
        <v>126</v>
      </c>
      <c r="F4358" s="77" t="s">
        <v>73</v>
      </c>
      <c r="G4358" s="77" t="s">
        <v>74</v>
      </c>
      <c r="H4358" s="77" t="s">
        <v>123</v>
      </c>
      <c r="I4358" s="77" t="s">
        <v>84</v>
      </c>
      <c r="J4358" s="76">
        <v>8.4821183458843076E-3</v>
      </c>
    </row>
    <row r="4359" spans="1:10" x14ac:dyDescent="0.35">
      <c r="A4359" t="s">
        <v>15</v>
      </c>
      <c r="B4359" t="s">
        <v>35</v>
      </c>
      <c r="C4359" s="77" t="s">
        <v>90</v>
      </c>
      <c r="D4359" t="s">
        <v>81</v>
      </c>
      <c r="E4359" s="77" t="s">
        <v>101</v>
      </c>
      <c r="F4359" s="77" t="s">
        <v>73</v>
      </c>
      <c r="G4359" s="77" t="s">
        <v>74</v>
      </c>
      <c r="H4359" s="77" t="s">
        <v>123</v>
      </c>
      <c r="I4359" s="77" t="s">
        <v>84</v>
      </c>
      <c r="J4359" s="76">
        <v>0</v>
      </c>
    </row>
    <row r="4360" spans="1:10" x14ac:dyDescent="0.35">
      <c r="A4360" t="s">
        <v>15</v>
      </c>
      <c r="B4360" t="s">
        <v>35</v>
      </c>
      <c r="C4360" s="77" t="s">
        <v>90</v>
      </c>
      <c r="D4360" t="s">
        <v>81</v>
      </c>
      <c r="E4360" s="77" t="s">
        <v>104</v>
      </c>
      <c r="F4360" s="77" t="s">
        <v>73</v>
      </c>
      <c r="G4360" s="77" t="s">
        <v>74</v>
      </c>
      <c r="H4360" s="77" t="s">
        <v>123</v>
      </c>
      <c r="I4360" s="77" t="s">
        <v>84</v>
      </c>
      <c r="J4360" s="76">
        <v>0</v>
      </c>
    </row>
    <row r="4361" spans="1:10" x14ac:dyDescent="0.35">
      <c r="A4361" t="s">
        <v>15</v>
      </c>
      <c r="B4361" t="s">
        <v>35</v>
      </c>
      <c r="C4361" s="77" t="s">
        <v>90</v>
      </c>
      <c r="D4361" t="s">
        <v>81</v>
      </c>
      <c r="E4361" s="77" t="s">
        <v>106</v>
      </c>
      <c r="F4361" s="77" t="s">
        <v>73</v>
      </c>
      <c r="G4361" s="77" t="s">
        <v>74</v>
      </c>
      <c r="H4361" s="77" t="s">
        <v>123</v>
      </c>
      <c r="I4361" s="77" t="s">
        <v>84</v>
      </c>
      <c r="J4361" s="76">
        <v>0</v>
      </c>
    </row>
    <row r="4362" spans="1:10" x14ac:dyDescent="0.35">
      <c r="A4362" t="s">
        <v>15</v>
      </c>
      <c r="B4362" t="s">
        <v>35</v>
      </c>
      <c r="C4362" s="77" t="s">
        <v>91</v>
      </c>
      <c r="D4362" t="s">
        <v>81</v>
      </c>
      <c r="E4362" s="77" t="s">
        <v>119</v>
      </c>
      <c r="F4362" s="77" t="s">
        <v>73</v>
      </c>
      <c r="G4362" s="77" t="s">
        <v>74</v>
      </c>
      <c r="H4362" s="77" t="s">
        <v>123</v>
      </c>
      <c r="I4362" s="77" t="s">
        <v>84</v>
      </c>
      <c r="J4362" s="76">
        <f>'SUT_EU27 total'!$L$73</f>
        <v>0.15097500908393557</v>
      </c>
    </row>
    <row r="4363" spans="1:10" x14ac:dyDescent="0.35">
      <c r="A4363" t="s">
        <v>15</v>
      </c>
      <c r="B4363" t="s">
        <v>35</v>
      </c>
      <c r="C4363" s="77" t="s">
        <v>91</v>
      </c>
      <c r="D4363" t="s">
        <v>81</v>
      </c>
      <c r="E4363" s="77" t="s">
        <v>124</v>
      </c>
      <c r="F4363" s="77" t="s">
        <v>73</v>
      </c>
      <c r="G4363" s="77" t="s">
        <v>74</v>
      </c>
      <c r="H4363" s="77" t="s">
        <v>123</v>
      </c>
      <c r="I4363" s="77" t="s">
        <v>84</v>
      </c>
      <c r="J4363" s="76" cm="1">
        <f t="array" ref="J4363:J4371">'SUT_EU27 total'!$L$77:$L$85</f>
        <v>6.7728942399646885E-5</v>
      </c>
    </row>
    <row r="4364" spans="1:10" x14ac:dyDescent="0.35">
      <c r="A4364" t="s">
        <v>15</v>
      </c>
      <c r="B4364" t="s">
        <v>35</v>
      </c>
      <c r="C4364" s="77" t="s">
        <v>91</v>
      </c>
      <c r="D4364" t="s">
        <v>81</v>
      </c>
      <c r="E4364" s="77" t="s">
        <v>117</v>
      </c>
      <c r="F4364" s="77" t="s">
        <v>73</v>
      </c>
      <c r="G4364" s="77" t="s">
        <v>74</v>
      </c>
      <c r="H4364" s="77" t="s">
        <v>123</v>
      </c>
      <c r="I4364" s="77" t="s">
        <v>84</v>
      </c>
      <c r="J4364" s="76">
        <v>5.6233849622410815E-3</v>
      </c>
    </row>
    <row r="4365" spans="1:10" x14ac:dyDescent="0.35">
      <c r="A4365" t="s">
        <v>15</v>
      </c>
      <c r="B4365" t="s">
        <v>35</v>
      </c>
      <c r="C4365" s="77" t="s">
        <v>91</v>
      </c>
      <c r="D4365" t="s">
        <v>81</v>
      </c>
      <c r="E4365" s="77" t="s">
        <v>82</v>
      </c>
      <c r="F4365" s="77" t="s">
        <v>73</v>
      </c>
      <c r="G4365" s="77" t="s">
        <v>74</v>
      </c>
      <c r="H4365" s="77" t="s">
        <v>123</v>
      </c>
      <c r="I4365" s="77" t="s">
        <v>84</v>
      </c>
      <c r="J4365" s="76">
        <v>1.8068055269127655E-3</v>
      </c>
    </row>
    <row r="4366" spans="1:10" x14ac:dyDescent="0.35">
      <c r="A4366" t="s">
        <v>15</v>
      </c>
      <c r="B4366" t="s">
        <v>35</v>
      </c>
      <c r="C4366" s="77" t="s">
        <v>91</v>
      </c>
      <c r="D4366" t="s">
        <v>81</v>
      </c>
      <c r="E4366" s="77" t="s">
        <v>125</v>
      </c>
      <c r="F4366" s="77" t="s">
        <v>73</v>
      </c>
      <c r="G4366" s="77" t="s">
        <v>74</v>
      </c>
      <c r="H4366" s="77" t="s">
        <v>123</v>
      </c>
      <c r="I4366" s="77" t="s">
        <v>84</v>
      </c>
      <c r="J4366" s="76">
        <v>5.6492118062760293E-6</v>
      </c>
    </row>
    <row r="4367" spans="1:10" x14ac:dyDescent="0.35">
      <c r="A4367" t="s">
        <v>15</v>
      </c>
      <c r="B4367" t="s">
        <v>35</v>
      </c>
      <c r="C4367" s="77" t="s">
        <v>91</v>
      </c>
      <c r="D4367" t="s">
        <v>81</v>
      </c>
      <c r="E4367" s="77" t="s">
        <v>122</v>
      </c>
      <c r="F4367" s="77" t="s">
        <v>73</v>
      </c>
      <c r="G4367" s="77" t="s">
        <v>74</v>
      </c>
      <c r="H4367" s="77" t="s">
        <v>123</v>
      </c>
      <c r="I4367" s="77" t="s">
        <v>84</v>
      </c>
      <c r="J4367" s="76">
        <v>0</v>
      </c>
    </row>
    <row r="4368" spans="1:10" x14ac:dyDescent="0.35">
      <c r="A4368" t="s">
        <v>15</v>
      </c>
      <c r="B4368" t="s">
        <v>35</v>
      </c>
      <c r="C4368" s="77" t="s">
        <v>91</v>
      </c>
      <c r="D4368" t="s">
        <v>81</v>
      </c>
      <c r="E4368" s="77" t="s">
        <v>126</v>
      </c>
      <c r="F4368" s="77" t="s">
        <v>73</v>
      </c>
      <c r="G4368" s="77" t="s">
        <v>74</v>
      </c>
      <c r="H4368" s="77" t="s">
        <v>123</v>
      </c>
      <c r="I4368" s="77" t="s">
        <v>84</v>
      </c>
      <c r="J4368" s="76">
        <v>8.1093795177776388E-4</v>
      </c>
    </row>
    <row r="4369" spans="1:10" x14ac:dyDescent="0.35">
      <c r="A4369" t="s">
        <v>15</v>
      </c>
      <c r="B4369" t="s">
        <v>35</v>
      </c>
      <c r="C4369" s="77" t="s">
        <v>91</v>
      </c>
      <c r="D4369" t="s">
        <v>81</v>
      </c>
      <c r="E4369" s="77" t="s">
        <v>101</v>
      </c>
      <c r="F4369" s="77" t="s">
        <v>73</v>
      </c>
      <c r="G4369" s="77" t="s">
        <v>74</v>
      </c>
      <c r="H4369" s="77" t="s">
        <v>123</v>
      </c>
      <c r="I4369" s="77" t="s">
        <v>84</v>
      </c>
      <c r="J4369" s="76">
        <v>0</v>
      </c>
    </row>
    <row r="4370" spans="1:10" x14ac:dyDescent="0.35">
      <c r="A4370" t="s">
        <v>15</v>
      </c>
      <c r="B4370" t="s">
        <v>35</v>
      </c>
      <c r="C4370" s="77" t="s">
        <v>91</v>
      </c>
      <c r="D4370" t="s">
        <v>81</v>
      </c>
      <c r="E4370" s="77" t="s">
        <v>104</v>
      </c>
      <c r="F4370" s="77" t="s">
        <v>73</v>
      </c>
      <c r="G4370" s="77" t="s">
        <v>74</v>
      </c>
      <c r="H4370" s="77" t="s">
        <v>123</v>
      </c>
      <c r="I4370" s="77" t="s">
        <v>84</v>
      </c>
      <c r="J4370" s="76">
        <v>0</v>
      </c>
    </row>
    <row r="4371" spans="1:10" x14ac:dyDescent="0.35">
      <c r="A4371" t="s">
        <v>15</v>
      </c>
      <c r="B4371" t="s">
        <v>35</v>
      </c>
      <c r="C4371" s="77" t="s">
        <v>91</v>
      </c>
      <c r="D4371" t="s">
        <v>81</v>
      </c>
      <c r="E4371" s="77" t="s">
        <v>106</v>
      </c>
      <c r="F4371" s="77" t="s">
        <v>73</v>
      </c>
      <c r="G4371" s="77" t="s">
        <v>74</v>
      </c>
      <c r="H4371" s="77" t="s">
        <v>123</v>
      </c>
      <c r="I4371" s="77" t="s">
        <v>84</v>
      </c>
      <c r="J4371" s="76">
        <v>0</v>
      </c>
    </row>
    <row r="4372" spans="1:10" x14ac:dyDescent="0.35">
      <c r="A4372" t="s">
        <v>15</v>
      </c>
      <c r="B4372" t="s">
        <v>35</v>
      </c>
      <c r="C4372" s="77" t="s">
        <v>92</v>
      </c>
      <c r="D4372" t="s">
        <v>81</v>
      </c>
      <c r="E4372" s="77" t="s">
        <v>119</v>
      </c>
      <c r="F4372" s="77" t="s">
        <v>73</v>
      </c>
      <c r="G4372" s="77" t="s">
        <v>74</v>
      </c>
      <c r="H4372" s="77" t="s">
        <v>123</v>
      </c>
      <c r="I4372" s="77" t="s">
        <v>84</v>
      </c>
      <c r="J4372" s="76">
        <f>'SUT_EU27 total'!$L$90</f>
        <v>0.13886309499777949</v>
      </c>
    </row>
    <row r="4373" spans="1:10" x14ac:dyDescent="0.35">
      <c r="A4373" t="s">
        <v>15</v>
      </c>
      <c r="B4373" t="s">
        <v>35</v>
      </c>
      <c r="C4373" s="77" t="s">
        <v>92</v>
      </c>
      <c r="D4373" t="s">
        <v>81</v>
      </c>
      <c r="E4373" s="77" t="s">
        <v>124</v>
      </c>
      <c r="F4373" s="77" t="s">
        <v>73</v>
      </c>
      <c r="G4373" s="77" t="s">
        <v>74</v>
      </c>
      <c r="H4373" s="77" t="s">
        <v>123</v>
      </c>
      <c r="I4373" s="77" t="s">
        <v>84</v>
      </c>
      <c r="J4373" s="76" cm="1">
        <f t="array" ref="J4373:J4381">'SUT_EU27 total'!$L$94:$L$102</f>
        <v>9.2968907089085616E-5</v>
      </c>
    </row>
    <row r="4374" spans="1:10" x14ac:dyDescent="0.35">
      <c r="A4374" t="s">
        <v>15</v>
      </c>
      <c r="B4374" t="s">
        <v>35</v>
      </c>
      <c r="C4374" s="77" t="s">
        <v>92</v>
      </c>
      <c r="D4374" t="s">
        <v>81</v>
      </c>
      <c r="E4374" s="77" t="s">
        <v>117</v>
      </c>
      <c r="F4374" s="77" t="s">
        <v>73</v>
      </c>
      <c r="G4374" s="77" t="s">
        <v>74</v>
      </c>
      <c r="H4374" s="77" t="s">
        <v>123</v>
      </c>
      <c r="I4374" s="77" t="s">
        <v>84</v>
      </c>
      <c r="J4374" s="76">
        <v>0</v>
      </c>
    </row>
    <row r="4375" spans="1:10" x14ac:dyDescent="0.35">
      <c r="A4375" t="s">
        <v>15</v>
      </c>
      <c r="B4375" t="s">
        <v>35</v>
      </c>
      <c r="C4375" s="77" t="s">
        <v>92</v>
      </c>
      <c r="D4375" t="s">
        <v>81</v>
      </c>
      <c r="E4375" s="77" t="s">
        <v>82</v>
      </c>
      <c r="F4375" s="77" t="s">
        <v>73</v>
      </c>
      <c r="G4375" s="77" t="s">
        <v>74</v>
      </c>
      <c r="H4375" s="77" t="s">
        <v>123</v>
      </c>
      <c r="I4375" s="77" t="s">
        <v>84</v>
      </c>
      <c r="J4375" s="76">
        <v>1.1251392039595793E-3</v>
      </c>
    </row>
    <row r="4376" spans="1:10" x14ac:dyDescent="0.35">
      <c r="A4376" t="s">
        <v>15</v>
      </c>
      <c r="B4376" t="s">
        <v>35</v>
      </c>
      <c r="C4376" s="77" t="s">
        <v>92</v>
      </c>
      <c r="D4376" t="s">
        <v>81</v>
      </c>
      <c r="E4376" s="77" t="s">
        <v>125</v>
      </c>
      <c r="F4376" s="77" t="s">
        <v>73</v>
      </c>
      <c r="G4376" s="77" t="s">
        <v>74</v>
      </c>
      <c r="H4376" s="77" t="s">
        <v>123</v>
      </c>
      <c r="I4376" s="77" t="s">
        <v>84</v>
      </c>
      <c r="J4376" s="76">
        <v>5.0048817841215026E-7</v>
      </c>
    </row>
    <row r="4377" spans="1:10" x14ac:dyDescent="0.35">
      <c r="A4377" t="s">
        <v>15</v>
      </c>
      <c r="B4377" t="s">
        <v>35</v>
      </c>
      <c r="C4377" s="77" t="s">
        <v>92</v>
      </c>
      <c r="D4377" t="s">
        <v>81</v>
      </c>
      <c r="E4377" s="77" t="s">
        <v>122</v>
      </c>
      <c r="F4377" s="77" t="s">
        <v>73</v>
      </c>
      <c r="G4377" s="77" t="s">
        <v>74</v>
      </c>
      <c r="H4377" s="77" t="s">
        <v>123</v>
      </c>
      <c r="I4377" s="77" t="s">
        <v>84</v>
      </c>
      <c r="J4377" s="76">
        <v>0</v>
      </c>
    </row>
    <row r="4378" spans="1:10" x14ac:dyDescent="0.35">
      <c r="A4378" t="s">
        <v>15</v>
      </c>
      <c r="B4378" t="s">
        <v>35</v>
      </c>
      <c r="C4378" s="77" t="s">
        <v>92</v>
      </c>
      <c r="D4378" t="s">
        <v>81</v>
      </c>
      <c r="E4378" s="77" t="s">
        <v>126</v>
      </c>
      <c r="F4378" s="77" t="s">
        <v>73</v>
      </c>
      <c r="G4378" s="77" t="s">
        <v>74</v>
      </c>
      <c r="H4378" s="77" t="s">
        <v>123</v>
      </c>
      <c r="I4378" s="77" t="s">
        <v>84</v>
      </c>
      <c r="J4378" s="76">
        <v>0</v>
      </c>
    </row>
    <row r="4379" spans="1:10" x14ac:dyDescent="0.35">
      <c r="A4379" t="s">
        <v>15</v>
      </c>
      <c r="B4379" t="s">
        <v>35</v>
      </c>
      <c r="C4379" s="77" t="s">
        <v>92</v>
      </c>
      <c r="D4379" t="s">
        <v>81</v>
      </c>
      <c r="E4379" s="77" t="s">
        <v>101</v>
      </c>
      <c r="F4379" s="77" t="s">
        <v>73</v>
      </c>
      <c r="G4379" s="77" t="s">
        <v>74</v>
      </c>
      <c r="H4379" s="77" t="s">
        <v>123</v>
      </c>
      <c r="I4379" s="77" t="s">
        <v>84</v>
      </c>
      <c r="J4379" s="76">
        <v>0</v>
      </c>
    </row>
    <row r="4380" spans="1:10" x14ac:dyDescent="0.35">
      <c r="A4380" t="s">
        <v>15</v>
      </c>
      <c r="B4380" t="s">
        <v>35</v>
      </c>
      <c r="C4380" s="77" t="s">
        <v>92</v>
      </c>
      <c r="D4380" t="s">
        <v>81</v>
      </c>
      <c r="E4380" s="77" t="s">
        <v>104</v>
      </c>
      <c r="F4380" s="77" t="s">
        <v>73</v>
      </c>
      <c r="G4380" s="77" t="s">
        <v>74</v>
      </c>
      <c r="H4380" s="77" t="s">
        <v>123</v>
      </c>
      <c r="I4380" s="77" t="s">
        <v>84</v>
      </c>
      <c r="J4380" s="76">
        <v>0</v>
      </c>
    </row>
    <row r="4381" spans="1:10" x14ac:dyDescent="0.35">
      <c r="A4381" t="s">
        <v>15</v>
      </c>
      <c r="B4381" t="s">
        <v>35</v>
      </c>
      <c r="C4381" s="77" t="s">
        <v>92</v>
      </c>
      <c r="D4381" t="s">
        <v>81</v>
      </c>
      <c r="E4381" s="77" t="s">
        <v>106</v>
      </c>
      <c r="F4381" s="77" t="s">
        <v>73</v>
      </c>
      <c r="G4381" s="77" t="s">
        <v>74</v>
      </c>
      <c r="H4381" s="77" t="s">
        <v>123</v>
      </c>
      <c r="I4381" s="77" t="s">
        <v>84</v>
      </c>
      <c r="J4381" s="76">
        <v>0</v>
      </c>
    </row>
    <row r="4382" spans="1:10" x14ac:dyDescent="0.35">
      <c r="A4382" t="s">
        <v>15</v>
      </c>
      <c r="B4382" t="s">
        <v>35</v>
      </c>
      <c r="C4382" s="77" t="s">
        <v>93</v>
      </c>
      <c r="D4382" t="s">
        <v>81</v>
      </c>
      <c r="E4382" s="77" t="s">
        <v>119</v>
      </c>
      <c r="F4382" s="77" t="s">
        <v>73</v>
      </c>
      <c r="G4382" s="77" t="s">
        <v>74</v>
      </c>
      <c r="H4382" s="77" t="s">
        <v>123</v>
      </c>
      <c r="I4382" s="77" t="s">
        <v>84</v>
      </c>
      <c r="J4382" s="76">
        <f>'SUT_EU27 total'!$L$107</f>
        <v>1.0000807460939076</v>
      </c>
    </row>
    <row r="4383" spans="1:10" x14ac:dyDescent="0.35">
      <c r="A4383" t="s">
        <v>15</v>
      </c>
      <c r="B4383" t="s">
        <v>35</v>
      </c>
      <c r="C4383" s="77" t="s">
        <v>93</v>
      </c>
      <c r="D4383" t="s">
        <v>81</v>
      </c>
      <c r="E4383" s="77" t="s">
        <v>124</v>
      </c>
      <c r="F4383" s="77" t="s">
        <v>73</v>
      </c>
      <c r="G4383" s="77" t="s">
        <v>74</v>
      </c>
      <c r="H4383" s="77" t="s">
        <v>123</v>
      </c>
      <c r="I4383" s="77" t="s">
        <v>84</v>
      </c>
      <c r="J4383" s="76" cm="1">
        <f t="array" ref="J4383:J4391">'SUT_EU27 total'!$L$111:$L$119</f>
        <v>3.7052409430862396E-4</v>
      </c>
    </row>
    <row r="4384" spans="1:10" x14ac:dyDescent="0.35">
      <c r="A4384" t="s">
        <v>15</v>
      </c>
      <c r="B4384" t="s">
        <v>35</v>
      </c>
      <c r="C4384" s="77" t="s">
        <v>93</v>
      </c>
      <c r="D4384" t="s">
        <v>81</v>
      </c>
      <c r="E4384" s="77" t="s">
        <v>117</v>
      </c>
      <c r="F4384" s="77" t="s">
        <v>73</v>
      </c>
      <c r="G4384" s="77" t="s">
        <v>74</v>
      </c>
      <c r="H4384" s="77" t="s">
        <v>123</v>
      </c>
      <c r="I4384" s="77" t="s">
        <v>84</v>
      </c>
      <c r="J4384" s="76">
        <v>5.8414042458127093E-3</v>
      </c>
    </row>
    <row r="4385" spans="1:10" x14ac:dyDescent="0.35">
      <c r="A4385" t="s">
        <v>15</v>
      </c>
      <c r="B4385" t="s">
        <v>35</v>
      </c>
      <c r="C4385" s="77" t="s">
        <v>93</v>
      </c>
      <c r="D4385" t="s">
        <v>81</v>
      </c>
      <c r="E4385" s="77" t="s">
        <v>82</v>
      </c>
      <c r="F4385" s="77" t="s">
        <v>73</v>
      </c>
      <c r="G4385" s="77" t="s">
        <v>74</v>
      </c>
      <c r="H4385" s="77" t="s">
        <v>123</v>
      </c>
      <c r="I4385" s="77" t="s">
        <v>84</v>
      </c>
      <c r="J4385" s="76">
        <v>5.0319447308723453E-3</v>
      </c>
    </row>
    <row r="4386" spans="1:10" x14ac:dyDescent="0.35">
      <c r="A4386" t="s">
        <v>15</v>
      </c>
      <c r="B4386" t="s">
        <v>35</v>
      </c>
      <c r="C4386" s="77" t="s">
        <v>93</v>
      </c>
      <c r="D4386" t="s">
        <v>81</v>
      </c>
      <c r="E4386" s="77" t="s">
        <v>125</v>
      </c>
      <c r="F4386" s="77" t="s">
        <v>73</v>
      </c>
      <c r="G4386" s="77" t="s">
        <v>74</v>
      </c>
      <c r="H4386" s="77" t="s">
        <v>123</v>
      </c>
      <c r="I4386" s="77" t="s">
        <v>84</v>
      </c>
      <c r="J4386" s="76">
        <v>4.336096678710085E-4</v>
      </c>
    </row>
    <row r="4387" spans="1:10" x14ac:dyDescent="0.35">
      <c r="A4387" t="s">
        <v>15</v>
      </c>
      <c r="B4387" t="s">
        <v>35</v>
      </c>
      <c r="C4387" s="77" t="s">
        <v>93</v>
      </c>
      <c r="D4387" t="s">
        <v>81</v>
      </c>
      <c r="E4387" s="77" t="s">
        <v>122</v>
      </c>
      <c r="F4387" s="77" t="s">
        <v>73</v>
      </c>
      <c r="G4387" s="77" t="s">
        <v>74</v>
      </c>
      <c r="H4387" s="77" t="s">
        <v>123</v>
      </c>
      <c r="I4387" s="77" t="s">
        <v>84</v>
      </c>
      <c r="J4387" s="76">
        <v>2.7129607609988112E-3</v>
      </c>
    </row>
    <row r="4388" spans="1:10" x14ac:dyDescent="0.35">
      <c r="A4388" t="s">
        <v>15</v>
      </c>
      <c r="B4388" t="s">
        <v>35</v>
      </c>
      <c r="C4388" s="77" t="s">
        <v>93</v>
      </c>
      <c r="D4388" t="s">
        <v>81</v>
      </c>
      <c r="E4388" s="77" t="s">
        <v>126</v>
      </c>
      <c r="F4388" s="77" t="s">
        <v>73</v>
      </c>
      <c r="G4388" s="77" t="s">
        <v>74</v>
      </c>
      <c r="H4388" s="77" t="s">
        <v>123</v>
      </c>
      <c r="I4388" s="77" t="s">
        <v>84</v>
      </c>
      <c r="J4388" s="76">
        <v>4.3855511603587784E-2</v>
      </c>
    </row>
    <row r="4389" spans="1:10" x14ac:dyDescent="0.35">
      <c r="A4389" t="s">
        <v>15</v>
      </c>
      <c r="B4389" t="s">
        <v>35</v>
      </c>
      <c r="C4389" s="77" t="s">
        <v>93</v>
      </c>
      <c r="D4389" t="s">
        <v>81</v>
      </c>
      <c r="E4389" s="77" t="s">
        <v>101</v>
      </c>
      <c r="F4389" s="77" t="s">
        <v>73</v>
      </c>
      <c r="G4389" s="77" t="s">
        <v>74</v>
      </c>
      <c r="H4389" s="77" t="s">
        <v>123</v>
      </c>
      <c r="I4389" s="77" t="s">
        <v>84</v>
      </c>
      <c r="J4389" s="76">
        <v>0</v>
      </c>
    </row>
    <row r="4390" spans="1:10" x14ac:dyDescent="0.35">
      <c r="A4390" t="s">
        <v>15</v>
      </c>
      <c r="B4390" t="s">
        <v>35</v>
      </c>
      <c r="C4390" s="77" t="s">
        <v>93</v>
      </c>
      <c r="D4390" t="s">
        <v>81</v>
      </c>
      <c r="E4390" s="77" t="s">
        <v>104</v>
      </c>
      <c r="F4390" s="77" t="s">
        <v>73</v>
      </c>
      <c r="G4390" s="77" t="s">
        <v>74</v>
      </c>
      <c r="H4390" s="77" t="s">
        <v>123</v>
      </c>
      <c r="I4390" s="77" t="s">
        <v>84</v>
      </c>
      <c r="J4390" s="76">
        <v>0</v>
      </c>
    </row>
    <row r="4391" spans="1:10" x14ac:dyDescent="0.35">
      <c r="A4391" t="s">
        <v>15</v>
      </c>
      <c r="B4391" t="s">
        <v>35</v>
      </c>
      <c r="C4391" s="77" t="s">
        <v>93</v>
      </c>
      <c r="D4391" t="s">
        <v>81</v>
      </c>
      <c r="E4391" s="77" t="s">
        <v>106</v>
      </c>
      <c r="F4391" s="77" t="s">
        <v>73</v>
      </c>
      <c r="G4391" s="77" t="s">
        <v>74</v>
      </c>
      <c r="H4391" s="77" t="s">
        <v>123</v>
      </c>
      <c r="I4391" s="77" t="s">
        <v>84</v>
      </c>
      <c r="J4391" s="76">
        <v>0</v>
      </c>
    </row>
    <row r="4392" spans="1:10" x14ac:dyDescent="0.35">
      <c r="A4392" t="s">
        <v>15</v>
      </c>
      <c r="B4392" t="s">
        <v>35</v>
      </c>
      <c r="C4392" s="77" t="s">
        <v>73</v>
      </c>
      <c r="D4392" t="s">
        <v>81</v>
      </c>
      <c r="E4392" s="77" t="s">
        <v>119</v>
      </c>
      <c r="F4392" s="77" t="s">
        <v>73</v>
      </c>
      <c r="G4392" s="77" t="s">
        <v>74</v>
      </c>
      <c r="H4392" s="77" t="s">
        <v>127</v>
      </c>
      <c r="I4392" s="77" t="s">
        <v>84</v>
      </c>
      <c r="J4392" s="76">
        <f>'SUT_EU27 total'!$M$22</f>
        <v>1.9500181678711294E-2</v>
      </c>
    </row>
    <row r="4393" spans="1:10" x14ac:dyDescent="0.35">
      <c r="A4393" t="s">
        <v>15</v>
      </c>
      <c r="B4393" t="s">
        <v>35</v>
      </c>
      <c r="C4393" s="77" t="s">
        <v>73</v>
      </c>
      <c r="D4393" t="s">
        <v>81</v>
      </c>
      <c r="E4393" s="77" t="s">
        <v>124</v>
      </c>
      <c r="F4393" s="77" t="s">
        <v>73</v>
      </c>
      <c r="G4393" s="77" t="s">
        <v>74</v>
      </c>
      <c r="H4393" s="77" t="s">
        <v>127</v>
      </c>
      <c r="I4393" s="77" t="s">
        <v>84</v>
      </c>
      <c r="J4393" s="76" cm="1">
        <f t="array" ref="J4393:J4401">'SUT_EU27 total'!$M$26:$M$34</f>
        <v>1.9404661061278542E-3</v>
      </c>
    </row>
    <row r="4394" spans="1:10" x14ac:dyDescent="0.35">
      <c r="A4394" t="s">
        <v>15</v>
      </c>
      <c r="B4394" t="s">
        <v>35</v>
      </c>
      <c r="C4394" s="77" t="s">
        <v>73</v>
      </c>
      <c r="D4394" t="s">
        <v>81</v>
      </c>
      <c r="E4394" s="77" t="s">
        <v>117</v>
      </c>
      <c r="F4394" s="77" t="s">
        <v>73</v>
      </c>
      <c r="G4394" s="77" t="s">
        <v>74</v>
      </c>
      <c r="H4394" s="77" t="s">
        <v>127</v>
      </c>
      <c r="I4394" s="77" t="s">
        <v>84</v>
      </c>
      <c r="J4394" s="76">
        <v>5.8423628191201782E-3</v>
      </c>
    </row>
    <row r="4395" spans="1:10" x14ac:dyDescent="0.35">
      <c r="A4395" t="s">
        <v>15</v>
      </c>
      <c r="B4395" t="s">
        <v>35</v>
      </c>
      <c r="C4395" s="77" t="s">
        <v>73</v>
      </c>
      <c r="D4395" t="s">
        <v>81</v>
      </c>
      <c r="E4395" s="77" t="s">
        <v>82</v>
      </c>
      <c r="F4395" s="77" t="s">
        <v>73</v>
      </c>
      <c r="G4395" s="77" t="s">
        <v>74</v>
      </c>
      <c r="H4395" s="77" t="s">
        <v>127</v>
      </c>
      <c r="I4395" s="77" t="s">
        <v>84</v>
      </c>
      <c r="J4395" s="76">
        <v>4.8981233243967828E-4</v>
      </c>
    </row>
    <row r="4396" spans="1:10" x14ac:dyDescent="0.35">
      <c r="A4396" t="s">
        <v>15</v>
      </c>
      <c r="B4396" t="s">
        <v>35</v>
      </c>
      <c r="C4396" s="77" t="s">
        <v>73</v>
      </c>
      <c r="D4396" t="s">
        <v>81</v>
      </c>
      <c r="E4396" s="77" t="s">
        <v>125</v>
      </c>
      <c r="F4396" s="77" t="s">
        <v>73</v>
      </c>
      <c r="G4396" s="77" t="s">
        <v>74</v>
      </c>
      <c r="H4396" s="77" t="s">
        <v>127</v>
      </c>
      <c r="I4396" s="77" t="s">
        <v>84</v>
      </c>
      <c r="J4396" s="76">
        <v>2.4658201215687387E-3</v>
      </c>
    </row>
    <row r="4397" spans="1:10" x14ac:dyDescent="0.35">
      <c r="A4397" t="s">
        <v>15</v>
      </c>
      <c r="B4397" t="s">
        <v>35</v>
      </c>
      <c r="C4397" s="77" t="s">
        <v>73</v>
      </c>
      <c r="D4397" t="s">
        <v>81</v>
      </c>
      <c r="E4397" s="77" t="s">
        <v>122</v>
      </c>
      <c r="F4397" s="77" t="s">
        <v>73</v>
      </c>
      <c r="G4397" s="77" t="s">
        <v>74</v>
      </c>
      <c r="H4397" s="77" t="s">
        <v>127</v>
      </c>
      <c r="I4397" s="77" t="s">
        <v>84</v>
      </c>
      <c r="J4397" s="76">
        <v>4.922711058263972E-4</v>
      </c>
    </row>
    <row r="4398" spans="1:10" x14ac:dyDescent="0.35">
      <c r="A4398" t="s">
        <v>15</v>
      </c>
      <c r="B4398" t="s">
        <v>35</v>
      </c>
      <c r="C4398" s="77" t="s">
        <v>73</v>
      </c>
      <c r="D4398" t="s">
        <v>81</v>
      </c>
      <c r="E4398" s="77" t="s">
        <v>126</v>
      </c>
      <c r="F4398" s="77" t="s">
        <v>73</v>
      </c>
      <c r="G4398" s="77" t="s">
        <v>74</v>
      </c>
      <c r="H4398" s="77" t="s">
        <v>127</v>
      </c>
      <c r="I4398" s="77" t="s">
        <v>84</v>
      </c>
      <c r="J4398" s="76">
        <v>0</v>
      </c>
    </row>
    <row r="4399" spans="1:10" x14ac:dyDescent="0.35">
      <c r="A4399" t="s">
        <v>15</v>
      </c>
      <c r="B4399" t="s">
        <v>35</v>
      </c>
      <c r="C4399" s="77" t="s">
        <v>73</v>
      </c>
      <c r="D4399" t="s">
        <v>81</v>
      </c>
      <c r="E4399" s="77" t="s">
        <v>101</v>
      </c>
      <c r="F4399" s="77" t="s">
        <v>73</v>
      </c>
      <c r="G4399" s="77" t="s">
        <v>74</v>
      </c>
      <c r="H4399" s="77" t="s">
        <v>127</v>
      </c>
      <c r="I4399" s="77" t="s">
        <v>84</v>
      </c>
      <c r="J4399" s="76">
        <v>3.6586167200000007E-4</v>
      </c>
    </row>
    <row r="4400" spans="1:10" x14ac:dyDescent="0.35">
      <c r="A4400" t="s">
        <v>15</v>
      </c>
      <c r="B4400" t="s">
        <v>35</v>
      </c>
      <c r="C4400" s="77" t="s">
        <v>73</v>
      </c>
      <c r="D4400" t="s">
        <v>81</v>
      </c>
      <c r="E4400" s="77" t="s">
        <v>104</v>
      </c>
      <c r="F4400" s="77" t="s">
        <v>73</v>
      </c>
      <c r="G4400" s="77" t="s">
        <v>74</v>
      </c>
      <c r="H4400" s="77" t="s">
        <v>127</v>
      </c>
      <c r="I4400" s="77" t="s">
        <v>84</v>
      </c>
      <c r="J4400" s="76">
        <v>6.9272632800000005E-4</v>
      </c>
    </row>
    <row r="4401" spans="1:10" x14ac:dyDescent="0.35">
      <c r="A4401" t="s">
        <v>15</v>
      </c>
      <c r="B4401" t="s">
        <v>35</v>
      </c>
      <c r="C4401" s="77" t="s">
        <v>73</v>
      </c>
      <c r="D4401" t="s">
        <v>81</v>
      </c>
      <c r="E4401" s="77" t="s">
        <v>106</v>
      </c>
      <c r="F4401" s="77" t="s">
        <v>73</v>
      </c>
      <c r="G4401" s="77" t="s">
        <v>74</v>
      </c>
      <c r="H4401" s="77" t="s">
        <v>127</v>
      </c>
      <c r="I4401" s="77" t="s">
        <v>84</v>
      </c>
      <c r="J4401" s="76">
        <v>2.3562119999999999E-3</v>
      </c>
    </row>
    <row r="4402" spans="1:10" x14ac:dyDescent="0.35">
      <c r="A4402" t="s">
        <v>15</v>
      </c>
      <c r="B4402" t="s">
        <v>35</v>
      </c>
      <c r="C4402" s="77" t="s">
        <v>88</v>
      </c>
      <c r="D4402" t="s">
        <v>81</v>
      </c>
      <c r="E4402" s="77" t="s">
        <v>119</v>
      </c>
      <c r="F4402" s="77" t="s">
        <v>73</v>
      </c>
      <c r="G4402" s="77" t="s">
        <v>74</v>
      </c>
      <c r="H4402" s="77" t="s">
        <v>127</v>
      </c>
      <c r="I4402" s="77" t="s">
        <v>84</v>
      </c>
      <c r="J4402" s="76">
        <f>'SUT_EU27 total'!$M$39</f>
        <v>0.16108845734587587</v>
      </c>
    </row>
    <row r="4403" spans="1:10" x14ac:dyDescent="0.35">
      <c r="A4403" t="s">
        <v>15</v>
      </c>
      <c r="B4403" t="s">
        <v>35</v>
      </c>
      <c r="C4403" s="77" t="s">
        <v>88</v>
      </c>
      <c r="D4403" t="s">
        <v>81</v>
      </c>
      <c r="E4403" s="77" t="s">
        <v>124</v>
      </c>
      <c r="F4403" s="77" t="s">
        <v>73</v>
      </c>
      <c r="G4403" s="77" t="s">
        <v>74</v>
      </c>
      <c r="H4403" s="77" t="s">
        <v>127</v>
      </c>
      <c r="I4403" s="77" t="s">
        <v>84</v>
      </c>
      <c r="J4403" s="76" cm="1">
        <f t="array" ref="J4403:J4411">'SUT_EU27 total'!$L$43:$L$51</f>
        <v>5.0558836222750793E-4</v>
      </c>
    </row>
    <row r="4404" spans="1:10" x14ac:dyDescent="0.35">
      <c r="A4404" t="s">
        <v>15</v>
      </c>
      <c r="B4404" t="s">
        <v>35</v>
      </c>
      <c r="C4404" s="77" t="s">
        <v>88</v>
      </c>
      <c r="D4404" t="s">
        <v>81</v>
      </c>
      <c r="E4404" s="77" t="s">
        <v>117</v>
      </c>
      <c r="F4404" s="77" t="s">
        <v>73</v>
      </c>
      <c r="G4404" s="77" t="s">
        <v>74</v>
      </c>
      <c r="H4404" s="77" t="s">
        <v>127</v>
      </c>
      <c r="I4404" s="77" t="s">
        <v>84</v>
      </c>
      <c r="J4404" s="76">
        <v>4.8514464106651379E-3</v>
      </c>
    </row>
    <row r="4405" spans="1:10" x14ac:dyDescent="0.35">
      <c r="A4405" t="s">
        <v>15</v>
      </c>
      <c r="B4405" t="s">
        <v>35</v>
      </c>
      <c r="C4405" s="77" t="s">
        <v>88</v>
      </c>
      <c r="D4405" t="s">
        <v>81</v>
      </c>
      <c r="E4405" s="77" t="s">
        <v>82</v>
      </c>
      <c r="F4405" s="77" t="s">
        <v>73</v>
      </c>
      <c r="G4405" s="77" t="s">
        <v>74</v>
      </c>
      <c r="H4405" s="77" t="s">
        <v>127</v>
      </c>
      <c r="I4405" s="77" t="s">
        <v>84</v>
      </c>
      <c r="J4405" s="76">
        <v>1.109418436791091E-2</v>
      </c>
    </row>
    <row r="4406" spans="1:10" x14ac:dyDescent="0.35">
      <c r="A4406" t="s">
        <v>15</v>
      </c>
      <c r="B4406" t="s">
        <v>35</v>
      </c>
      <c r="C4406" s="77" t="s">
        <v>88</v>
      </c>
      <c r="D4406" t="s">
        <v>81</v>
      </c>
      <c r="E4406" s="77" t="s">
        <v>125</v>
      </c>
      <c r="F4406" s="77" t="s">
        <v>73</v>
      </c>
      <c r="G4406" s="77" t="s">
        <v>74</v>
      </c>
      <c r="H4406" s="77" t="s">
        <v>127</v>
      </c>
      <c r="I4406" s="77" t="s">
        <v>84</v>
      </c>
      <c r="J4406" s="76">
        <v>2.890870278990243E-5</v>
      </c>
    </row>
    <row r="4407" spans="1:10" x14ac:dyDescent="0.35">
      <c r="A4407" t="s">
        <v>15</v>
      </c>
      <c r="B4407" t="s">
        <v>35</v>
      </c>
      <c r="C4407" s="77" t="s">
        <v>88</v>
      </c>
      <c r="D4407" t="s">
        <v>81</v>
      </c>
      <c r="E4407" s="77" t="s">
        <v>122</v>
      </c>
      <c r="F4407" s="77" t="s">
        <v>73</v>
      </c>
      <c r="G4407" s="77" t="s">
        <v>74</v>
      </c>
      <c r="H4407" s="77" t="s">
        <v>127</v>
      </c>
      <c r="I4407" s="77" t="s">
        <v>84</v>
      </c>
      <c r="J4407" s="76">
        <v>0</v>
      </c>
    </row>
    <row r="4408" spans="1:10" x14ac:dyDescent="0.35">
      <c r="A4408" t="s">
        <v>15</v>
      </c>
      <c r="B4408" t="s">
        <v>35</v>
      </c>
      <c r="C4408" s="77" t="s">
        <v>88</v>
      </c>
      <c r="D4408" t="s">
        <v>81</v>
      </c>
      <c r="E4408" s="77" t="s">
        <v>126</v>
      </c>
      <c r="F4408" s="77" t="s">
        <v>73</v>
      </c>
      <c r="G4408" s="77" t="s">
        <v>74</v>
      </c>
      <c r="H4408" s="77" t="s">
        <v>127</v>
      </c>
      <c r="I4408" s="77" t="s">
        <v>84</v>
      </c>
      <c r="J4408" s="76">
        <v>2.8514320987501449E-3</v>
      </c>
    </row>
    <row r="4409" spans="1:10" x14ac:dyDescent="0.35">
      <c r="A4409" t="s">
        <v>15</v>
      </c>
      <c r="B4409" t="s">
        <v>35</v>
      </c>
      <c r="C4409" s="77" t="s">
        <v>88</v>
      </c>
      <c r="D4409" t="s">
        <v>81</v>
      </c>
      <c r="E4409" s="77" t="s">
        <v>101</v>
      </c>
      <c r="F4409" s="77" t="s">
        <v>73</v>
      </c>
      <c r="G4409" s="77" t="s">
        <v>74</v>
      </c>
      <c r="H4409" s="77" t="s">
        <v>127</v>
      </c>
      <c r="I4409" s="77" t="s">
        <v>84</v>
      </c>
      <c r="J4409" s="76">
        <v>0</v>
      </c>
    </row>
    <row r="4410" spans="1:10" x14ac:dyDescent="0.35">
      <c r="A4410" t="s">
        <v>15</v>
      </c>
      <c r="B4410" t="s">
        <v>35</v>
      </c>
      <c r="C4410" s="77" t="s">
        <v>88</v>
      </c>
      <c r="D4410" t="s">
        <v>81</v>
      </c>
      <c r="E4410" s="77" t="s">
        <v>104</v>
      </c>
      <c r="F4410" s="77" t="s">
        <v>73</v>
      </c>
      <c r="G4410" s="77" t="s">
        <v>74</v>
      </c>
      <c r="H4410" s="77" t="s">
        <v>127</v>
      </c>
      <c r="I4410" s="77" t="s">
        <v>84</v>
      </c>
      <c r="J4410" s="76">
        <v>0</v>
      </c>
    </row>
    <row r="4411" spans="1:10" x14ac:dyDescent="0.35">
      <c r="A4411" t="s">
        <v>15</v>
      </c>
      <c r="B4411" t="s">
        <v>35</v>
      </c>
      <c r="C4411" s="77" t="s">
        <v>88</v>
      </c>
      <c r="D4411" t="s">
        <v>81</v>
      </c>
      <c r="E4411" s="77" t="s">
        <v>106</v>
      </c>
      <c r="F4411" s="77" t="s">
        <v>73</v>
      </c>
      <c r="G4411" s="77" t="s">
        <v>74</v>
      </c>
      <c r="H4411" s="77" t="s">
        <v>127</v>
      </c>
      <c r="I4411" s="77" t="s">
        <v>84</v>
      </c>
      <c r="J4411" s="76">
        <v>0</v>
      </c>
    </row>
    <row r="4412" spans="1:10" x14ac:dyDescent="0.35">
      <c r="A4412" t="s">
        <v>15</v>
      </c>
      <c r="B4412" t="s">
        <v>35</v>
      </c>
      <c r="C4412" s="77" t="s">
        <v>90</v>
      </c>
      <c r="D4412" t="s">
        <v>81</v>
      </c>
      <c r="E4412" s="77" t="s">
        <v>119</v>
      </c>
      <c r="F4412" s="77" t="s">
        <v>73</v>
      </c>
      <c r="G4412" s="77" t="s">
        <v>74</v>
      </c>
      <c r="H4412" s="77" t="s">
        <v>127</v>
      </c>
      <c r="I4412" s="77" t="s">
        <v>84</v>
      </c>
      <c r="J4412" s="76">
        <f>'SUT_EU27 total'!$M$56</f>
        <v>2.949251079979006E-2</v>
      </c>
    </row>
    <row r="4413" spans="1:10" x14ac:dyDescent="0.35">
      <c r="A4413" t="s">
        <v>15</v>
      </c>
      <c r="B4413" t="s">
        <v>35</v>
      </c>
      <c r="C4413" s="77" t="s">
        <v>90</v>
      </c>
      <c r="D4413" t="s">
        <v>81</v>
      </c>
      <c r="E4413" s="77" t="s">
        <v>124</v>
      </c>
      <c r="F4413" s="77" t="s">
        <v>73</v>
      </c>
      <c r="G4413" s="77" t="s">
        <v>74</v>
      </c>
      <c r="H4413" s="77" t="s">
        <v>127</v>
      </c>
      <c r="I4413" s="77" t="s">
        <v>84</v>
      </c>
      <c r="J4413" s="76" cm="1">
        <f t="array" ref="J4413:J4421">'SUT_EU27 total'!$M$60:$M$68</f>
        <v>2.1047443073980527E-5</v>
      </c>
    </row>
    <row r="4414" spans="1:10" x14ac:dyDescent="0.35">
      <c r="A4414" t="s">
        <v>15</v>
      </c>
      <c r="B4414" t="s">
        <v>35</v>
      </c>
      <c r="C4414" s="77" t="s">
        <v>90</v>
      </c>
      <c r="D4414" t="s">
        <v>81</v>
      </c>
      <c r="E4414" s="77" t="s">
        <v>117</v>
      </c>
      <c r="F4414" s="77" t="s">
        <v>73</v>
      </c>
      <c r="G4414" s="77" t="s">
        <v>74</v>
      </c>
      <c r="H4414" s="77" t="s">
        <v>127</v>
      </c>
      <c r="I4414" s="77" t="s">
        <v>84</v>
      </c>
      <c r="J4414" s="76">
        <v>5.8414015621608938E-3</v>
      </c>
    </row>
    <row r="4415" spans="1:10" x14ac:dyDescent="0.35">
      <c r="A4415" t="s">
        <v>15</v>
      </c>
      <c r="B4415" t="s">
        <v>35</v>
      </c>
      <c r="C4415" s="77" t="s">
        <v>90</v>
      </c>
      <c r="D4415" t="s">
        <v>81</v>
      </c>
      <c r="E4415" s="77" t="s">
        <v>82</v>
      </c>
      <c r="F4415" s="77" t="s">
        <v>73</v>
      </c>
      <c r="G4415" s="77" t="s">
        <v>74</v>
      </c>
      <c r="H4415" s="77" t="s">
        <v>127</v>
      </c>
      <c r="I4415" s="77" t="s">
        <v>84</v>
      </c>
      <c r="J4415" s="76">
        <v>1.4521138379047227E-3</v>
      </c>
    </row>
    <row r="4416" spans="1:10" x14ac:dyDescent="0.35">
      <c r="A4416" t="s">
        <v>15</v>
      </c>
      <c r="B4416" t="s">
        <v>35</v>
      </c>
      <c r="C4416" s="77" t="s">
        <v>90</v>
      </c>
      <c r="D4416" t="s">
        <v>81</v>
      </c>
      <c r="E4416" s="77" t="s">
        <v>125</v>
      </c>
      <c r="F4416" s="77" t="s">
        <v>73</v>
      </c>
      <c r="G4416" s="77" t="s">
        <v>74</v>
      </c>
      <c r="H4416" s="77" t="s">
        <v>127</v>
      </c>
      <c r="I4416" s="77" t="s">
        <v>84</v>
      </c>
      <c r="J4416" s="76">
        <v>6.5130870114372285E-5</v>
      </c>
    </row>
    <row r="4417" spans="1:10" x14ac:dyDescent="0.35">
      <c r="A4417" t="s">
        <v>15</v>
      </c>
      <c r="B4417" t="s">
        <v>35</v>
      </c>
      <c r="C4417" s="77" t="s">
        <v>90</v>
      </c>
      <c r="D4417" t="s">
        <v>81</v>
      </c>
      <c r="E4417" s="77" t="s">
        <v>122</v>
      </c>
      <c r="F4417" s="77" t="s">
        <v>73</v>
      </c>
      <c r="G4417" s="77" t="s">
        <v>74</v>
      </c>
      <c r="H4417" s="77" t="s">
        <v>127</v>
      </c>
      <c r="I4417" s="77" t="s">
        <v>84</v>
      </c>
      <c r="J4417" s="76">
        <v>7.9476813317479189E-4</v>
      </c>
    </row>
    <row r="4418" spans="1:10" x14ac:dyDescent="0.35">
      <c r="A4418" t="s">
        <v>15</v>
      </c>
      <c r="B4418" t="s">
        <v>35</v>
      </c>
      <c r="C4418" s="77" t="s">
        <v>90</v>
      </c>
      <c r="D4418" t="s">
        <v>81</v>
      </c>
      <c r="E4418" s="77" t="s">
        <v>126</v>
      </c>
      <c r="F4418" s="77" t="s">
        <v>73</v>
      </c>
      <c r="G4418" s="77" t="s">
        <v>74</v>
      </c>
      <c r="H4418" s="77" t="s">
        <v>127</v>
      </c>
      <c r="I4418" s="77" t="s">
        <v>84</v>
      </c>
      <c r="J4418" s="76">
        <v>8.4821183458843076E-3</v>
      </c>
    </row>
    <row r="4419" spans="1:10" x14ac:dyDescent="0.35">
      <c r="A4419" t="s">
        <v>15</v>
      </c>
      <c r="B4419" t="s">
        <v>35</v>
      </c>
      <c r="C4419" s="77" t="s">
        <v>90</v>
      </c>
      <c r="D4419" t="s">
        <v>81</v>
      </c>
      <c r="E4419" s="77" t="s">
        <v>101</v>
      </c>
      <c r="F4419" s="77" t="s">
        <v>73</v>
      </c>
      <c r="G4419" s="77" t="s">
        <v>74</v>
      </c>
      <c r="H4419" s="77" t="s">
        <v>127</v>
      </c>
      <c r="I4419" s="77" t="s">
        <v>84</v>
      </c>
      <c r="J4419" s="76">
        <v>0</v>
      </c>
    </row>
    <row r="4420" spans="1:10" x14ac:dyDescent="0.35">
      <c r="A4420" t="s">
        <v>15</v>
      </c>
      <c r="B4420" t="s">
        <v>35</v>
      </c>
      <c r="C4420" s="77" t="s">
        <v>90</v>
      </c>
      <c r="D4420" t="s">
        <v>81</v>
      </c>
      <c r="E4420" s="77" t="s">
        <v>104</v>
      </c>
      <c r="F4420" s="77" t="s">
        <v>73</v>
      </c>
      <c r="G4420" s="77" t="s">
        <v>74</v>
      </c>
      <c r="H4420" s="77" t="s">
        <v>127</v>
      </c>
      <c r="I4420" s="77" t="s">
        <v>84</v>
      </c>
      <c r="J4420" s="76">
        <v>0</v>
      </c>
    </row>
    <row r="4421" spans="1:10" x14ac:dyDescent="0.35">
      <c r="A4421" t="s">
        <v>15</v>
      </c>
      <c r="B4421" t="s">
        <v>35</v>
      </c>
      <c r="C4421" s="77" t="s">
        <v>90</v>
      </c>
      <c r="D4421" t="s">
        <v>81</v>
      </c>
      <c r="E4421" s="77" t="s">
        <v>106</v>
      </c>
      <c r="F4421" s="77" t="s">
        <v>73</v>
      </c>
      <c r="G4421" s="77" t="s">
        <v>74</v>
      </c>
      <c r="H4421" s="77" t="s">
        <v>127</v>
      </c>
      <c r="I4421" s="77" t="s">
        <v>84</v>
      </c>
      <c r="J4421" s="76">
        <v>0</v>
      </c>
    </row>
    <row r="4422" spans="1:10" x14ac:dyDescent="0.35">
      <c r="A4422" t="s">
        <v>15</v>
      </c>
      <c r="B4422" t="s">
        <v>35</v>
      </c>
      <c r="C4422" s="77" t="s">
        <v>91</v>
      </c>
      <c r="D4422" t="s">
        <v>81</v>
      </c>
      <c r="E4422" s="77" t="s">
        <v>119</v>
      </c>
      <c r="F4422" s="77" t="s">
        <v>73</v>
      </c>
      <c r="G4422" s="77" t="s">
        <v>74</v>
      </c>
      <c r="H4422" s="77" t="s">
        <v>127</v>
      </c>
      <c r="I4422" s="77" t="s">
        <v>84</v>
      </c>
      <c r="J4422" s="76">
        <f>'SUT_EU27 total'!$M$73</f>
        <v>0.15097500908393557</v>
      </c>
    </row>
    <row r="4423" spans="1:10" x14ac:dyDescent="0.35">
      <c r="A4423" t="s">
        <v>15</v>
      </c>
      <c r="B4423" t="s">
        <v>35</v>
      </c>
      <c r="C4423" s="77" t="s">
        <v>91</v>
      </c>
      <c r="D4423" t="s">
        <v>81</v>
      </c>
      <c r="E4423" s="77" t="s">
        <v>124</v>
      </c>
      <c r="F4423" s="77" t="s">
        <v>73</v>
      </c>
      <c r="G4423" s="77" t="s">
        <v>74</v>
      </c>
      <c r="H4423" s="77" t="s">
        <v>127</v>
      </c>
      <c r="I4423" s="77" t="s">
        <v>84</v>
      </c>
      <c r="J4423" s="76" cm="1">
        <f t="array" ref="J4423:J4431">'SUT_EU27 total'!$M$77:$M$85</f>
        <v>6.7728942399646885E-5</v>
      </c>
    </row>
    <row r="4424" spans="1:10" x14ac:dyDescent="0.35">
      <c r="A4424" t="s">
        <v>15</v>
      </c>
      <c r="B4424" t="s">
        <v>35</v>
      </c>
      <c r="C4424" s="77" t="s">
        <v>91</v>
      </c>
      <c r="D4424" t="s">
        <v>81</v>
      </c>
      <c r="E4424" s="77" t="s">
        <v>117</v>
      </c>
      <c r="F4424" s="77" t="s">
        <v>73</v>
      </c>
      <c r="G4424" s="77" t="s">
        <v>74</v>
      </c>
      <c r="H4424" s="77" t="s">
        <v>127</v>
      </c>
      <c r="I4424" s="77" t="s">
        <v>84</v>
      </c>
      <c r="J4424" s="76">
        <v>5.6233849622410815E-3</v>
      </c>
    </row>
    <row r="4425" spans="1:10" x14ac:dyDescent="0.35">
      <c r="A4425" t="s">
        <v>15</v>
      </c>
      <c r="B4425" t="s">
        <v>35</v>
      </c>
      <c r="C4425" s="77" t="s">
        <v>91</v>
      </c>
      <c r="D4425" t="s">
        <v>81</v>
      </c>
      <c r="E4425" s="77" t="s">
        <v>82</v>
      </c>
      <c r="F4425" s="77" t="s">
        <v>73</v>
      </c>
      <c r="G4425" s="77" t="s">
        <v>74</v>
      </c>
      <c r="H4425" s="77" t="s">
        <v>127</v>
      </c>
      <c r="I4425" s="77" t="s">
        <v>84</v>
      </c>
      <c r="J4425" s="76">
        <v>1.8068055269127655E-3</v>
      </c>
    </row>
    <row r="4426" spans="1:10" x14ac:dyDescent="0.35">
      <c r="A4426" t="s">
        <v>15</v>
      </c>
      <c r="B4426" t="s">
        <v>35</v>
      </c>
      <c r="C4426" s="77" t="s">
        <v>91</v>
      </c>
      <c r="D4426" t="s">
        <v>81</v>
      </c>
      <c r="E4426" s="77" t="s">
        <v>125</v>
      </c>
      <c r="F4426" s="77" t="s">
        <v>73</v>
      </c>
      <c r="G4426" s="77" t="s">
        <v>74</v>
      </c>
      <c r="H4426" s="77" t="s">
        <v>127</v>
      </c>
      <c r="I4426" s="77" t="s">
        <v>84</v>
      </c>
      <c r="J4426" s="76">
        <v>5.6492118062760293E-6</v>
      </c>
    </row>
    <row r="4427" spans="1:10" x14ac:dyDescent="0.35">
      <c r="A4427" t="s">
        <v>15</v>
      </c>
      <c r="B4427" t="s">
        <v>35</v>
      </c>
      <c r="C4427" s="77" t="s">
        <v>91</v>
      </c>
      <c r="D4427" t="s">
        <v>81</v>
      </c>
      <c r="E4427" s="77" t="s">
        <v>122</v>
      </c>
      <c r="F4427" s="77" t="s">
        <v>73</v>
      </c>
      <c r="G4427" s="77" t="s">
        <v>74</v>
      </c>
      <c r="H4427" s="77" t="s">
        <v>127</v>
      </c>
      <c r="I4427" s="77" t="s">
        <v>84</v>
      </c>
      <c r="J4427" s="76">
        <v>0</v>
      </c>
    </row>
    <row r="4428" spans="1:10" x14ac:dyDescent="0.35">
      <c r="A4428" t="s">
        <v>15</v>
      </c>
      <c r="B4428" t="s">
        <v>35</v>
      </c>
      <c r="C4428" s="77" t="s">
        <v>91</v>
      </c>
      <c r="D4428" t="s">
        <v>81</v>
      </c>
      <c r="E4428" s="77" t="s">
        <v>126</v>
      </c>
      <c r="F4428" s="77" t="s">
        <v>73</v>
      </c>
      <c r="G4428" s="77" t="s">
        <v>74</v>
      </c>
      <c r="H4428" s="77" t="s">
        <v>127</v>
      </c>
      <c r="I4428" s="77" t="s">
        <v>84</v>
      </c>
      <c r="J4428" s="76">
        <v>8.1093795177776388E-4</v>
      </c>
    </row>
    <row r="4429" spans="1:10" x14ac:dyDescent="0.35">
      <c r="A4429" t="s">
        <v>15</v>
      </c>
      <c r="B4429" t="s">
        <v>35</v>
      </c>
      <c r="C4429" s="77" t="s">
        <v>91</v>
      </c>
      <c r="D4429" t="s">
        <v>81</v>
      </c>
      <c r="E4429" s="77" t="s">
        <v>101</v>
      </c>
      <c r="F4429" s="77" t="s">
        <v>73</v>
      </c>
      <c r="G4429" s="77" t="s">
        <v>74</v>
      </c>
      <c r="H4429" s="77" t="s">
        <v>127</v>
      </c>
      <c r="I4429" s="77" t="s">
        <v>84</v>
      </c>
      <c r="J4429" s="76">
        <v>0</v>
      </c>
    </row>
    <row r="4430" spans="1:10" x14ac:dyDescent="0.35">
      <c r="A4430" t="s">
        <v>15</v>
      </c>
      <c r="B4430" t="s">
        <v>35</v>
      </c>
      <c r="C4430" s="77" t="s">
        <v>91</v>
      </c>
      <c r="D4430" t="s">
        <v>81</v>
      </c>
      <c r="E4430" s="77" t="s">
        <v>104</v>
      </c>
      <c r="F4430" s="77" t="s">
        <v>73</v>
      </c>
      <c r="G4430" s="77" t="s">
        <v>74</v>
      </c>
      <c r="H4430" s="77" t="s">
        <v>127</v>
      </c>
      <c r="I4430" s="77" t="s">
        <v>84</v>
      </c>
      <c r="J4430" s="76">
        <v>0</v>
      </c>
    </row>
    <row r="4431" spans="1:10" x14ac:dyDescent="0.35">
      <c r="A4431" t="s">
        <v>15</v>
      </c>
      <c r="B4431" t="s">
        <v>35</v>
      </c>
      <c r="C4431" s="77" t="s">
        <v>91</v>
      </c>
      <c r="D4431" t="s">
        <v>81</v>
      </c>
      <c r="E4431" s="77" t="s">
        <v>106</v>
      </c>
      <c r="F4431" s="77" t="s">
        <v>73</v>
      </c>
      <c r="G4431" s="77" t="s">
        <v>74</v>
      </c>
      <c r="H4431" s="77" t="s">
        <v>127</v>
      </c>
      <c r="I4431" s="77" t="s">
        <v>84</v>
      </c>
      <c r="J4431" s="76">
        <v>0</v>
      </c>
    </row>
    <row r="4432" spans="1:10" x14ac:dyDescent="0.35">
      <c r="A4432" t="s">
        <v>15</v>
      </c>
      <c r="B4432" t="s">
        <v>35</v>
      </c>
      <c r="C4432" s="77" t="s">
        <v>92</v>
      </c>
      <c r="D4432" t="s">
        <v>81</v>
      </c>
      <c r="E4432" s="77" t="s">
        <v>119</v>
      </c>
      <c r="F4432" s="77" t="s">
        <v>73</v>
      </c>
      <c r="G4432" s="77" t="s">
        <v>74</v>
      </c>
      <c r="H4432" s="77" t="s">
        <v>127</v>
      </c>
      <c r="I4432" s="77" t="s">
        <v>84</v>
      </c>
      <c r="J4432" s="76">
        <f>'SUT_EU27 total'!$M$90</f>
        <v>0.13886309499777949</v>
      </c>
    </row>
    <row r="4433" spans="1:10" x14ac:dyDescent="0.35">
      <c r="A4433" t="s">
        <v>15</v>
      </c>
      <c r="B4433" t="s">
        <v>35</v>
      </c>
      <c r="C4433" s="77" t="s">
        <v>92</v>
      </c>
      <c r="D4433" t="s">
        <v>81</v>
      </c>
      <c r="E4433" s="77" t="s">
        <v>124</v>
      </c>
      <c r="F4433" s="77" t="s">
        <v>73</v>
      </c>
      <c r="G4433" s="77" t="s">
        <v>74</v>
      </c>
      <c r="H4433" s="77" t="s">
        <v>127</v>
      </c>
      <c r="I4433" s="77" t="s">
        <v>84</v>
      </c>
      <c r="J4433" s="76" cm="1">
        <f t="array" ref="J4433:J4441">'SUT_EU27 total'!$M$94:$M$102</f>
        <v>9.2968907089085616E-5</v>
      </c>
    </row>
    <row r="4434" spans="1:10" x14ac:dyDescent="0.35">
      <c r="A4434" t="s">
        <v>15</v>
      </c>
      <c r="B4434" t="s">
        <v>35</v>
      </c>
      <c r="C4434" s="77" t="s">
        <v>92</v>
      </c>
      <c r="D4434" t="s">
        <v>81</v>
      </c>
      <c r="E4434" s="77" t="s">
        <v>117</v>
      </c>
      <c r="F4434" s="77" t="s">
        <v>73</v>
      </c>
      <c r="G4434" s="77" t="s">
        <v>74</v>
      </c>
      <c r="H4434" s="77" t="s">
        <v>127</v>
      </c>
      <c r="I4434" s="77" t="s">
        <v>84</v>
      </c>
      <c r="J4434" s="76">
        <v>0</v>
      </c>
    </row>
    <row r="4435" spans="1:10" x14ac:dyDescent="0.35">
      <c r="A4435" t="s">
        <v>15</v>
      </c>
      <c r="B4435" t="s">
        <v>35</v>
      </c>
      <c r="C4435" s="77" t="s">
        <v>92</v>
      </c>
      <c r="D4435" t="s">
        <v>81</v>
      </c>
      <c r="E4435" s="77" t="s">
        <v>82</v>
      </c>
      <c r="F4435" s="77" t="s">
        <v>73</v>
      </c>
      <c r="G4435" s="77" t="s">
        <v>74</v>
      </c>
      <c r="H4435" s="77" t="s">
        <v>127</v>
      </c>
      <c r="I4435" s="77" t="s">
        <v>84</v>
      </c>
      <c r="J4435" s="76">
        <v>1.1251392039595793E-3</v>
      </c>
    </row>
    <row r="4436" spans="1:10" x14ac:dyDescent="0.35">
      <c r="A4436" t="s">
        <v>15</v>
      </c>
      <c r="B4436" t="s">
        <v>35</v>
      </c>
      <c r="C4436" s="77" t="s">
        <v>92</v>
      </c>
      <c r="D4436" t="s">
        <v>81</v>
      </c>
      <c r="E4436" s="77" t="s">
        <v>125</v>
      </c>
      <c r="F4436" s="77" t="s">
        <v>73</v>
      </c>
      <c r="G4436" s="77" t="s">
        <v>74</v>
      </c>
      <c r="H4436" s="77" t="s">
        <v>127</v>
      </c>
      <c r="I4436" s="77" t="s">
        <v>84</v>
      </c>
      <c r="J4436" s="76">
        <v>5.0048817841215026E-7</v>
      </c>
    </row>
    <row r="4437" spans="1:10" x14ac:dyDescent="0.35">
      <c r="A4437" t="s">
        <v>15</v>
      </c>
      <c r="B4437" t="s">
        <v>35</v>
      </c>
      <c r="C4437" s="77" t="s">
        <v>92</v>
      </c>
      <c r="D4437" t="s">
        <v>81</v>
      </c>
      <c r="E4437" s="77" t="s">
        <v>122</v>
      </c>
      <c r="F4437" s="77" t="s">
        <v>73</v>
      </c>
      <c r="G4437" s="77" t="s">
        <v>74</v>
      </c>
      <c r="H4437" s="77" t="s">
        <v>127</v>
      </c>
      <c r="I4437" s="77" t="s">
        <v>84</v>
      </c>
      <c r="J4437" s="76">
        <v>0</v>
      </c>
    </row>
    <row r="4438" spans="1:10" x14ac:dyDescent="0.35">
      <c r="A4438" t="s">
        <v>15</v>
      </c>
      <c r="B4438" t="s">
        <v>35</v>
      </c>
      <c r="C4438" s="77" t="s">
        <v>92</v>
      </c>
      <c r="D4438" t="s">
        <v>81</v>
      </c>
      <c r="E4438" s="77" t="s">
        <v>126</v>
      </c>
      <c r="F4438" s="77" t="s">
        <v>73</v>
      </c>
      <c r="G4438" s="77" t="s">
        <v>74</v>
      </c>
      <c r="H4438" s="77" t="s">
        <v>127</v>
      </c>
      <c r="I4438" s="77" t="s">
        <v>84</v>
      </c>
      <c r="J4438" s="76">
        <v>0</v>
      </c>
    </row>
    <row r="4439" spans="1:10" x14ac:dyDescent="0.35">
      <c r="A4439" t="s">
        <v>15</v>
      </c>
      <c r="B4439" t="s">
        <v>35</v>
      </c>
      <c r="C4439" s="77" t="s">
        <v>92</v>
      </c>
      <c r="D4439" t="s">
        <v>81</v>
      </c>
      <c r="E4439" s="77" t="s">
        <v>101</v>
      </c>
      <c r="F4439" s="77" t="s">
        <v>73</v>
      </c>
      <c r="G4439" s="77" t="s">
        <v>74</v>
      </c>
      <c r="H4439" s="77" t="s">
        <v>127</v>
      </c>
      <c r="I4439" s="77" t="s">
        <v>84</v>
      </c>
      <c r="J4439" s="76">
        <v>0</v>
      </c>
    </row>
    <row r="4440" spans="1:10" x14ac:dyDescent="0.35">
      <c r="A4440" t="s">
        <v>15</v>
      </c>
      <c r="B4440" t="s">
        <v>35</v>
      </c>
      <c r="C4440" s="77" t="s">
        <v>92</v>
      </c>
      <c r="D4440" t="s">
        <v>81</v>
      </c>
      <c r="E4440" s="77" t="s">
        <v>104</v>
      </c>
      <c r="F4440" s="77" t="s">
        <v>73</v>
      </c>
      <c r="G4440" s="77" t="s">
        <v>74</v>
      </c>
      <c r="H4440" s="77" t="s">
        <v>127</v>
      </c>
      <c r="I4440" s="77" t="s">
        <v>84</v>
      </c>
      <c r="J4440" s="76">
        <v>0</v>
      </c>
    </row>
    <row r="4441" spans="1:10" x14ac:dyDescent="0.35">
      <c r="A4441" t="s">
        <v>15</v>
      </c>
      <c r="B4441" t="s">
        <v>35</v>
      </c>
      <c r="C4441" s="77" t="s">
        <v>92</v>
      </c>
      <c r="D4441" t="s">
        <v>81</v>
      </c>
      <c r="E4441" s="77" t="s">
        <v>106</v>
      </c>
      <c r="F4441" s="77" t="s">
        <v>73</v>
      </c>
      <c r="G4441" s="77" t="s">
        <v>74</v>
      </c>
      <c r="H4441" s="77" t="s">
        <v>127</v>
      </c>
      <c r="I4441" s="77" t="s">
        <v>84</v>
      </c>
      <c r="J4441" s="76">
        <v>0</v>
      </c>
    </row>
    <row r="4442" spans="1:10" x14ac:dyDescent="0.35">
      <c r="A4442" t="s">
        <v>15</v>
      </c>
      <c r="B4442" t="s">
        <v>35</v>
      </c>
      <c r="C4442" s="77" t="s">
        <v>93</v>
      </c>
      <c r="D4442" t="s">
        <v>81</v>
      </c>
      <c r="E4442" s="77" t="s">
        <v>119</v>
      </c>
      <c r="F4442" s="77" t="s">
        <v>73</v>
      </c>
      <c r="G4442" s="77" t="s">
        <v>74</v>
      </c>
      <c r="H4442" s="77" t="s">
        <v>127</v>
      </c>
      <c r="I4442" s="77" t="s">
        <v>84</v>
      </c>
      <c r="J4442" s="76">
        <f>'SUT_EU27 total'!$M$107</f>
        <v>1.0000807460939076</v>
      </c>
    </row>
    <row r="4443" spans="1:10" x14ac:dyDescent="0.35">
      <c r="A4443" t="s">
        <v>15</v>
      </c>
      <c r="B4443" t="s">
        <v>35</v>
      </c>
      <c r="C4443" s="77" t="s">
        <v>93</v>
      </c>
      <c r="D4443" t="s">
        <v>81</v>
      </c>
      <c r="E4443" s="77" t="s">
        <v>124</v>
      </c>
      <c r="F4443" s="77" t="s">
        <v>73</v>
      </c>
      <c r="G4443" s="77" t="s">
        <v>74</v>
      </c>
      <c r="H4443" s="77" t="s">
        <v>127</v>
      </c>
      <c r="I4443" s="77" t="s">
        <v>84</v>
      </c>
      <c r="J4443" s="76" cm="1">
        <f t="array" ref="J4443:J4451">'SUT_EU27 total'!$M$111:$M$119</f>
        <v>3.7052409430862396E-4</v>
      </c>
    </row>
    <row r="4444" spans="1:10" x14ac:dyDescent="0.35">
      <c r="A4444" t="s">
        <v>15</v>
      </c>
      <c r="B4444" t="s">
        <v>35</v>
      </c>
      <c r="C4444" s="77" t="s">
        <v>93</v>
      </c>
      <c r="D4444" t="s">
        <v>81</v>
      </c>
      <c r="E4444" s="77" t="s">
        <v>117</v>
      </c>
      <c r="F4444" s="77" t="s">
        <v>73</v>
      </c>
      <c r="G4444" s="77" t="s">
        <v>74</v>
      </c>
      <c r="H4444" s="77" t="s">
        <v>127</v>
      </c>
      <c r="I4444" s="77" t="s">
        <v>84</v>
      </c>
      <c r="J4444" s="76">
        <v>5.8414042458127093E-3</v>
      </c>
    </row>
    <row r="4445" spans="1:10" x14ac:dyDescent="0.35">
      <c r="A4445" t="s">
        <v>15</v>
      </c>
      <c r="B4445" t="s">
        <v>35</v>
      </c>
      <c r="C4445" s="77" t="s">
        <v>93</v>
      </c>
      <c r="D4445" t="s">
        <v>81</v>
      </c>
      <c r="E4445" s="77" t="s">
        <v>82</v>
      </c>
      <c r="F4445" s="77" t="s">
        <v>73</v>
      </c>
      <c r="G4445" s="77" t="s">
        <v>74</v>
      </c>
      <c r="H4445" s="77" t="s">
        <v>127</v>
      </c>
      <c r="I4445" s="77" t="s">
        <v>84</v>
      </c>
      <c r="J4445" s="76">
        <v>5.0319447308723453E-3</v>
      </c>
    </row>
    <row r="4446" spans="1:10" x14ac:dyDescent="0.35">
      <c r="A4446" t="s">
        <v>15</v>
      </c>
      <c r="B4446" t="s">
        <v>35</v>
      </c>
      <c r="C4446" s="77" t="s">
        <v>93</v>
      </c>
      <c r="D4446" t="s">
        <v>81</v>
      </c>
      <c r="E4446" s="77" t="s">
        <v>125</v>
      </c>
      <c r="F4446" s="77" t="s">
        <v>73</v>
      </c>
      <c r="G4446" s="77" t="s">
        <v>74</v>
      </c>
      <c r="H4446" s="77" t="s">
        <v>127</v>
      </c>
      <c r="I4446" s="77" t="s">
        <v>84</v>
      </c>
      <c r="J4446" s="76">
        <v>4.336096678710085E-4</v>
      </c>
    </row>
    <row r="4447" spans="1:10" x14ac:dyDescent="0.35">
      <c r="A4447" t="s">
        <v>15</v>
      </c>
      <c r="B4447" t="s">
        <v>35</v>
      </c>
      <c r="C4447" s="77" t="s">
        <v>93</v>
      </c>
      <c r="D4447" t="s">
        <v>81</v>
      </c>
      <c r="E4447" s="77" t="s">
        <v>122</v>
      </c>
      <c r="F4447" s="77" t="s">
        <v>73</v>
      </c>
      <c r="G4447" s="77" t="s">
        <v>74</v>
      </c>
      <c r="H4447" s="77" t="s">
        <v>127</v>
      </c>
      <c r="I4447" s="77" t="s">
        <v>84</v>
      </c>
      <c r="J4447" s="76">
        <v>2.7129607609988112E-3</v>
      </c>
    </row>
    <row r="4448" spans="1:10" x14ac:dyDescent="0.35">
      <c r="A4448" t="s">
        <v>15</v>
      </c>
      <c r="B4448" t="s">
        <v>35</v>
      </c>
      <c r="C4448" s="77" t="s">
        <v>93</v>
      </c>
      <c r="D4448" t="s">
        <v>81</v>
      </c>
      <c r="E4448" s="77" t="s">
        <v>126</v>
      </c>
      <c r="F4448" s="77" t="s">
        <v>73</v>
      </c>
      <c r="G4448" s="77" t="s">
        <v>74</v>
      </c>
      <c r="H4448" s="77" t="s">
        <v>127</v>
      </c>
      <c r="I4448" s="77" t="s">
        <v>84</v>
      </c>
      <c r="J4448" s="76">
        <v>4.3855511603587784E-2</v>
      </c>
    </row>
    <row r="4449" spans="1:10" x14ac:dyDescent="0.35">
      <c r="A4449" t="s">
        <v>15</v>
      </c>
      <c r="B4449" t="s">
        <v>35</v>
      </c>
      <c r="C4449" s="77" t="s">
        <v>93</v>
      </c>
      <c r="D4449" t="s">
        <v>81</v>
      </c>
      <c r="E4449" s="77" t="s">
        <v>101</v>
      </c>
      <c r="F4449" s="77" t="s">
        <v>73</v>
      </c>
      <c r="G4449" s="77" t="s">
        <v>74</v>
      </c>
      <c r="H4449" s="77" t="s">
        <v>127</v>
      </c>
      <c r="I4449" s="77" t="s">
        <v>84</v>
      </c>
      <c r="J4449" s="76">
        <v>0</v>
      </c>
    </row>
    <row r="4450" spans="1:10" x14ac:dyDescent="0.35">
      <c r="A4450" t="s">
        <v>15</v>
      </c>
      <c r="B4450" t="s">
        <v>35</v>
      </c>
      <c r="C4450" s="77" t="s">
        <v>93</v>
      </c>
      <c r="D4450" t="s">
        <v>81</v>
      </c>
      <c r="E4450" s="77" t="s">
        <v>104</v>
      </c>
      <c r="F4450" s="77" t="s">
        <v>73</v>
      </c>
      <c r="G4450" s="77" t="s">
        <v>74</v>
      </c>
      <c r="H4450" s="77" t="s">
        <v>127</v>
      </c>
      <c r="I4450" s="77" t="s">
        <v>84</v>
      </c>
      <c r="J4450" s="76">
        <v>0</v>
      </c>
    </row>
    <row r="4451" spans="1:10" x14ac:dyDescent="0.35">
      <c r="A4451" t="s">
        <v>15</v>
      </c>
      <c r="B4451" t="s">
        <v>35</v>
      </c>
      <c r="C4451" s="77" t="s">
        <v>93</v>
      </c>
      <c r="D4451" t="s">
        <v>81</v>
      </c>
      <c r="E4451" s="77" t="s">
        <v>106</v>
      </c>
      <c r="F4451" s="77" t="s">
        <v>73</v>
      </c>
      <c r="G4451" s="77" t="s">
        <v>74</v>
      </c>
      <c r="H4451" s="77" t="s">
        <v>127</v>
      </c>
      <c r="I4451" s="77" t="s">
        <v>84</v>
      </c>
      <c r="J4451" s="76">
        <v>0</v>
      </c>
    </row>
    <row r="4452" spans="1:10" x14ac:dyDescent="0.35">
      <c r="A4452" t="s">
        <v>15</v>
      </c>
      <c r="B4452" t="s">
        <v>35</v>
      </c>
      <c r="C4452" s="77" t="s">
        <v>73</v>
      </c>
      <c r="D4452" t="s">
        <v>81</v>
      </c>
      <c r="E4452" s="77" t="s">
        <v>82</v>
      </c>
      <c r="F4452" s="77" t="s">
        <v>73</v>
      </c>
      <c r="G4452" s="77" t="s">
        <v>74</v>
      </c>
      <c r="H4452" s="77" t="s">
        <v>128</v>
      </c>
      <c r="I4452" s="77" t="s">
        <v>84</v>
      </c>
      <c r="J4452" s="76">
        <f>'SUT_EU27 total'!$N$28</f>
        <v>1.4658301341380521E-2</v>
      </c>
    </row>
    <row r="4453" spans="1:10" x14ac:dyDescent="0.35">
      <c r="A4453" t="s">
        <v>15</v>
      </c>
      <c r="B4453" t="s">
        <v>35</v>
      </c>
      <c r="C4453" s="77" t="s">
        <v>73</v>
      </c>
      <c r="D4453" t="s">
        <v>81</v>
      </c>
      <c r="E4453" s="77" t="s">
        <v>86</v>
      </c>
      <c r="F4453" s="77" t="s">
        <v>73</v>
      </c>
      <c r="G4453" s="77" t="s">
        <v>74</v>
      </c>
      <c r="H4453" s="77" t="s">
        <v>128</v>
      </c>
      <c r="I4453" s="77" t="s">
        <v>84</v>
      </c>
      <c r="J4453" s="76">
        <f>'SUT_EU27 total'!$N$35</f>
        <v>3.0740776778828832E-3</v>
      </c>
    </row>
    <row r="4454" spans="1:10" x14ac:dyDescent="0.35">
      <c r="A4454" t="s">
        <v>15</v>
      </c>
      <c r="B4454" t="s">
        <v>35</v>
      </c>
      <c r="C4454" s="77" t="s">
        <v>88</v>
      </c>
      <c r="D4454" t="s">
        <v>81</v>
      </c>
      <c r="E4454" s="77" t="s">
        <v>82</v>
      </c>
      <c r="F4454" s="77" t="s">
        <v>73</v>
      </c>
      <c r="G4454" s="77" t="s">
        <v>74</v>
      </c>
      <c r="H4454" s="77" t="s">
        <v>128</v>
      </c>
      <c r="I4454" s="77" t="s">
        <v>84</v>
      </c>
      <c r="J4454" s="76">
        <f>'SUT_EU27 total'!$N$45</f>
        <v>9.2276548594747033E-3</v>
      </c>
    </row>
    <row r="4455" spans="1:10" x14ac:dyDescent="0.35">
      <c r="A4455" t="s">
        <v>15</v>
      </c>
      <c r="B4455" t="s">
        <v>35</v>
      </c>
      <c r="C4455" s="77" t="s">
        <v>88</v>
      </c>
      <c r="D4455" t="s">
        <v>81</v>
      </c>
      <c r="E4455" s="77" t="s">
        <v>86</v>
      </c>
      <c r="F4455" s="77" t="s">
        <v>73</v>
      </c>
      <c r="G4455" s="77" t="s">
        <v>74</v>
      </c>
      <c r="H4455" s="77" t="s">
        <v>128</v>
      </c>
      <c r="I4455" s="77" t="s">
        <v>84</v>
      </c>
      <c r="J4455" s="76">
        <f>'SUT_EU27 total'!$N$52</f>
        <v>6.9627451701437512E-2</v>
      </c>
    </row>
    <row r="4456" spans="1:10" x14ac:dyDescent="0.35">
      <c r="A4456" t="s">
        <v>15</v>
      </c>
      <c r="B4456" t="s">
        <v>35</v>
      </c>
      <c r="C4456" s="77" t="s">
        <v>90</v>
      </c>
      <c r="D4456" t="s">
        <v>81</v>
      </c>
      <c r="E4456" s="77" t="s">
        <v>82</v>
      </c>
      <c r="F4456" s="77" t="s">
        <v>73</v>
      </c>
      <c r="G4456" s="77" t="s">
        <v>74</v>
      </c>
      <c r="H4456" s="77" t="s">
        <v>128</v>
      </c>
      <c r="I4456" s="77" t="s">
        <v>84</v>
      </c>
      <c r="J4456" s="76">
        <f>'SUT_EU27 total'!$N$62</f>
        <v>2.2200107734217647E-6</v>
      </c>
    </row>
    <row r="4457" spans="1:10" x14ac:dyDescent="0.35">
      <c r="A4457" t="s">
        <v>15</v>
      </c>
      <c r="B4457" t="s">
        <v>35</v>
      </c>
      <c r="C4457" s="77" t="s">
        <v>90</v>
      </c>
      <c r="D4457" t="s">
        <v>81</v>
      </c>
      <c r="E4457" s="77" t="s">
        <v>86</v>
      </c>
      <c r="F4457" s="77" t="s">
        <v>73</v>
      </c>
      <c r="G4457" s="77" t="s">
        <v>74</v>
      </c>
      <c r="H4457" s="77" t="s">
        <v>128</v>
      </c>
      <c r="I4457" s="77" t="s">
        <v>84</v>
      </c>
      <c r="J4457" s="76">
        <f>'SUT_EU27 total'!$N$69</f>
        <v>9.1135123377023061E-3</v>
      </c>
    </row>
    <row r="4458" spans="1:10" x14ac:dyDescent="0.35">
      <c r="A4458" t="s">
        <v>15</v>
      </c>
      <c r="B4458" t="s">
        <v>35</v>
      </c>
      <c r="C4458" s="77" t="s">
        <v>91</v>
      </c>
      <c r="D4458" t="s">
        <v>81</v>
      </c>
      <c r="E4458" s="77" t="s">
        <v>82</v>
      </c>
      <c r="F4458" s="77" t="s">
        <v>73</v>
      </c>
      <c r="G4458" s="77" t="s">
        <v>74</v>
      </c>
      <c r="H4458" s="77" t="s">
        <v>128</v>
      </c>
      <c r="I4458" s="77" t="s">
        <v>84</v>
      </c>
      <c r="J4458" s="76">
        <f>'SUT_EU27 total'!$N$79</f>
        <v>4.3195382907628159E-4</v>
      </c>
    </row>
    <row r="4459" spans="1:10" x14ac:dyDescent="0.35">
      <c r="A4459" t="s">
        <v>15</v>
      </c>
      <c r="B4459" t="s">
        <v>35</v>
      </c>
      <c r="C4459" s="77" t="s">
        <v>91</v>
      </c>
      <c r="D4459" t="s">
        <v>81</v>
      </c>
      <c r="E4459" s="77" t="s">
        <v>86</v>
      </c>
      <c r="F4459" s="77" t="s">
        <v>73</v>
      </c>
      <c r="G4459" s="77" t="s">
        <v>74</v>
      </c>
      <c r="H4459" s="77" t="s">
        <v>128</v>
      </c>
      <c r="I4459" s="77" t="s">
        <v>84</v>
      </c>
      <c r="J4459" s="76">
        <f>'SUT_EU27 total'!$N$86</f>
        <v>1.1339568587203704E-2</v>
      </c>
    </row>
    <row r="4460" spans="1:10" x14ac:dyDescent="0.35">
      <c r="A4460" t="s">
        <v>15</v>
      </c>
      <c r="B4460" t="s">
        <v>35</v>
      </c>
      <c r="C4460" s="77" t="s">
        <v>92</v>
      </c>
      <c r="D4460" t="s">
        <v>81</v>
      </c>
      <c r="E4460" s="77" t="s">
        <v>82</v>
      </c>
      <c r="F4460" s="77" t="s">
        <v>73</v>
      </c>
      <c r="G4460" s="77" t="s">
        <v>74</v>
      </c>
      <c r="H4460" s="77" t="s">
        <v>128</v>
      </c>
      <c r="I4460" s="77" t="s">
        <v>84</v>
      </c>
      <c r="J4460" s="76">
        <f>'SUT_EU27 total'!$N$96</f>
        <v>5.9963902402539811E-4</v>
      </c>
    </row>
    <row r="4461" spans="1:10" x14ac:dyDescent="0.35">
      <c r="A4461" t="s">
        <v>15</v>
      </c>
      <c r="B4461" t="s">
        <v>35</v>
      </c>
      <c r="C4461" s="77" t="s">
        <v>92</v>
      </c>
      <c r="D4461" t="s">
        <v>81</v>
      </c>
      <c r="E4461" s="77" t="s">
        <v>86</v>
      </c>
      <c r="F4461" s="77" t="s">
        <v>73</v>
      </c>
      <c r="G4461" s="77" t="s">
        <v>74</v>
      </c>
      <c r="H4461" s="77" t="s">
        <v>128</v>
      </c>
      <c r="I4461" s="77" t="s">
        <v>84</v>
      </c>
      <c r="J4461" s="76">
        <f>'SUT_EU27 total'!$N$103</f>
        <v>7.0614092017150581E-3</v>
      </c>
    </row>
    <row r="4462" spans="1:10" x14ac:dyDescent="0.35">
      <c r="A4462" t="s">
        <v>15</v>
      </c>
      <c r="B4462" t="s">
        <v>35</v>
      </c>
      <c r="C4462" s="77" t="s">
        <v>93</v>
      </c>
      <c r="D4462" t="s">
        <v>81</v>
      </c>
      <c r="E4462" s="77" t="s">
        <v>82</v>
      </c>
      <c r="F4462" s="77" t="s">
        <v>73</v>
      </c>
      <c r="G4462" s="77" t="s">
        <v>74</v>
      </c>
      <c r="H4462" s="77" t="s">
        <v>128</v>
      </c>
      <c r="I4462" s="77" t="s">
        <v>84</v>
      </c>
      <c r="J4462" s="76">
        <f>'SUT_EU27 total'!$N$113</f>
        <v>2.4854239602480213E-3</v>
      </c>
    </row>
    <row r="4463" spans="1:10" x14ac:dyDescent="0.35">
      <c r="A4463" t="s">
        <v>15</v>
      </c>
      <c r="B4463" t="s">
        <v>35</v>
      </c>
      <c r="C4463" s="77" t="s">
        <v>93</v>
      </c>
      <c r="D4463" t="s">
        <v>81</v>
      </c>
      <c r="E4463" s="77" t="s">
        <v>86</v>
      </c>
      <c r="F4463" s="77" t="s">
        <v>73</v>
      </c>
      <c r="G4463" s="77" t="s">
        <v>74</v>
      </c>
      <c r="H4463" s="77" t="s">
        <v>128</v>
      </c>
      <c r="I4463" s="77" t="s">
        <v>84</v>
      </c>
      <c r="J4463" s="76">
        <f>'SUT_EU27 total'!$N$120</f>
        <v>3.1580644155014347E-2</v>
      </c>
    </row>
    <row r="4464" spans="1:10" x14ac:dyDescent="0.35">
      <c r="A4464" t="s">
        <v>15</v>
      </c>
      <c r="B4464" t="s">
        <v>35</v>
      </c>
      <c r="C4464" s="77" t="s">
        <v>73</v>
      </c>
      <c r="D4464" t="s">
        <v>81</v>
      </c>
      <c r="E4464" s="77" t="s">
        <v>82</v>
      </c>
      <c r="F4464" s="77" t="s">
        <v>73</v>
      </c>
      <c r="G4464" s="77" t="s">
        <v>74</v>
      </c>
      <c r="H4464" s="77" t="s">
        <v>129</v>
      </c>
      <c r="I4464" s="77" t="s">
        <v>84</v>
      </c>
      <c r="J4464" s="76">
        <f>'SUT_EU27 total'!$O$28</f>
        <v>1.4658301341380521E-2</v>
      </c>
    </row>
    <row r="4465" spans="1:10" x14ac:dyDescent="0.35">
      <c r="A4465" t="s">
        <v>15</v>
      </c>
      <c r="B4465" t="s">
        <v>35</v>
      </c>
      <c r="C4465" s="77" t="s">
        <v>73</v>
      </c>
      <c r="D4465" t="s">
        <v>81</v>
      </c>
      <c r="E4465" s="77" t="s">
        <v>86</v>
      </c>
      <c r="F4465" s="77" t="s">
        <v>73</v>
      </c>
      <c r="G4465" s="77" t="s">
        <v>74</v>
      </c>
      <c r="H4465" s="77" t="s">
        <v>129</v>
      </c>
      <c r="I4465" s="77" t="s">
        <v>84</v>
      </c>
      <c r="J4465" s="76">
        <f>'SUT_EU27 total'!$O$35</f>
        <v>3.0740776778828832E-3</v>
      </c>
    </row>
    <row r="4466" spans="1:10" x14ac:dyDescent="0.35">
      <c r="A4466" t="s">
        <v>15</v>
      </c>
      <c r="B4466" t="s">
        <v>35</v>
      </c>
      <c r="C4466" s="77" t="s">
        <v>88</v>
      </c>
      <c r="D4466" t="s">
        <v>81</v>
      </c>
      <c r="E4466" s="77" t="s">
        <v>82</v>
      </c>
      <c r="F4466" s="77" t="s">
        <v>73</v>
      </c>
      <c r="G4466" s="77" t="s">
        <v>74</v>
      </c>
      <c r="H4466" s="77" t="s">
        <v>129</v>
      </c>
      <c r="I4466" s="77" t="s">
        <v>84</v>
      </c>
      <c r="J4466" s="76">
        <f>'SUT_EU27 total'!$O$45</f>
        <v>9.2276548594747033E-3</v>
      </c>
    </row>
    <row r="4467" spans="1:10" x14ac:dyDescent="0.35">
      <c r="A4467" t="s">
        <v>15</v>
      </c>
      <c r="B4467" t="s">
        <v>35</v>
      </c>
      <c r="C4467" s="77" t="s">
        <v>88</v>
      </c>
      <c r="D4467" t="s">
        <v>81</v>
      </c>
      <c r="E4467" s="77" t="s">
        <v>86</v>
      </c>
      <c r="F4467" s="77" t="s">
        <v>73</v>
      </c>
      <c r="G4467" s="77" t="s">
        <v>74</v>
      </c>
      <c r="H4467" s="77" t="s">
        <v>129</v>
      </c>
      <c r="I4467" s="77" t="s">
        <v>84</v>
      </c>
      <c r="J4467" s="76">
        <f>'SUT_EU27 total'!$O$52</f>
        <v>6.9627451701437512E-2</v>
      </c>
    </row>
    <row r="4468" spans="1:10" x14ac:dyDescent="0.35">
      <c r="A4468" t="s">
        <v>15</v>
      </c>
      <c r="B4468" t="s">
        <v>35</v>
      </c>
      <c r="C4468" s="77" t="s">
        <v>90</v>
      </c>
      <c r="D4468" t="s">
        <v>81</v>
      </c>
      <c r="E4468" s="77" t="s">
        <v>82</v>
      </c>
      <c r="F4468" s="77" t="s">
        <v>73</v>
      </c>
      <c r="G4468" s="77" t="s">
        <v>74</v>
      </c>
      <c r="H4468" s="77" t="s">
        <v>129</v>
      </c>
      <c r="I4468" s="77" t="s">
        <v>84</v>
      </c>
      <c r="J4468" s="76">
        <f>'SUT_EU27 total'!$O$62</f>
        <v>2.2200107734217647E-6</v>
      </c>
    </row>
    <row r="4469" spans="1:10" x14ac:dyDescent="0.35">
      <c r="A4469" t="s">
        <v>15</v>
      </c>
      <c r="B4469" t="s">
        <v>35</v>
      </c>
      <c r="C4469" s="77" t="s">
        <v>90</v>
      </c>
      <c r="D4469" t="s">
        <v>81</v>
      </c>
      <c r="E4469" s="77" t="s">
        <v>86</v>
      </c>
      <c r="F4469" s="77" t="s">
        <v>73</v>
      </c>
      <c r="G4469" s="77" t="s">
        <v>74</v>
      </c>
      <c r="H4469" s="77" t="s">
        <v>129</v>
      </c>
      <c r="I4469" s="77" t="s">
        <v>84</v>
      </c>
      <c r="J4469" s="76">
        <f>'SUT_EU27 total'!$O$69</f>
        <v>9.1135123377023061E-3</v>
      </c>
    </row>
    <row r="4470" spans="1:10" x14ac:dyDescent="0.35">
      <c r="A4470" t="s">
        <v>15</v>
      </c>
      <c r="B4470" t="s">
        <v>35</v>
      </c>
      <c r="C4470" s="77" t="s">
        <v>91</v>
      </c>
      <c r="D4470" t="s">
        <v>81</v>
      </c>
      <c r="E4470" s="77" t="s">
        <v>82</v>
      </c>
      <c r="F4470" s="77" t="s">
        <v>73</v>
      </c>
      <c r="G4470" s="77" t="s">
        <v>74</v>
      </c>
      <c r="H4470" s="77" t="s">
        <v>129</v>
      </c>
      <c r="I4470" s="77" t="s">
        <v>84</v>
      </c>
      <c r="J4470" s="76">
        <f>'SUT_EU27 total'!$O$79</f>
        <v>4.3195382907628159E-4</v>
      </c>
    </row>
    <row r="4471" spans="1:10" x14ac:dyDescent="0.35">
      <c r="A4471" t="s">
        <v>15</v>
      </c>
      <c r="B4471" t="s">
        <v>35</v>
      </c>
      <c r="C4471" s="77" t="s">
        <v>91</v>
      </c>
      <c r="D4471" t="s">
        <v>81</v>
      </c>
      <c r="E4471" s="77" t="s">
        <v>86</v>
      </c>
      <c r="F4471" s="77" t="s">
        <v>73</v>
      </c>
      <c r="G4471" s="77" t="s">
        <v>74</v>
      </c>
      <c r="H4471" s="77" t="s">
        <v>129</v>
      </c>
      <c r="I4471" s="77" t="s">
        <v>84</v>
      </c>
      <c r="J4471" s="76">
        <f>'SUT_EU27 total'!$O$86</f>
        <v>1.1339568587203704E-2</v>
      </c>
    </row>
    <row r="4472" spans="1:10" x14ac:dyDescent="0.35">
      <c r="A4472" t="s">
        <v>15</v>
      </c>
      <c r="B4472" t="s">
        <v>35</v>
      </c>
      <c r="C4472" s="77" t="s">
        <v>92</v>
      </c>
      <c r="D4472" t="s">
        <v>81</v>
      </c>
      <c r="E4472" s="77" t="s">
        <v>82</v>
      </c>
      <c r="F4472" s="77" t="s">
        <v>73</v>
      </c>
      <c r="G4472" s="77" t="s">
        <v>74</v>
      </c>
      <c r="H4472" s="77" t="s">
        <v>129</v>
      </c>
      <c r="I4472" s="77" t="s">
        <v>84</v>
      </c>
      <c r="J4472" s="76">
        <f>'SUT_EU27 total'!$O$96</f>
        <v>5.9963902402539811E-4</v>
      </c>
    </row>
    <row r="4473" spans="1:10" x14ac:dyDescent="0.35">
      <c r="A4473" t="s">
        <v>15</v>
      </c>
      <c r="B4473" t="s">
        <v>35</v>
      </c>
      <c r="C4473" s="77" t="s">
        <v>92</v>
      </c>
      <c r="D4473" t="s">
        <v>81</v>
      </c>
      <c r="E4473" s="77" t="s">
        <v>86</v>
      </c>
      <c r="F4473" s="77" t="s">
        <v>73</v>
      </c>
      <c r="G4473" s="77" t="s">
        <v>74</v>
      </c>
      <c r="H4473" s="77" t="s">
        <v>129</v>
      </c>
      <c r="I4473" s="77" t="s">
        <v>84</v>
      </c>
      <c r="J4473" s="76">
        <f>'SUT_EU27 total'!$O$103</f>
        <v>7.0614092017150581E-3</v>
      </c>
    </row>
    <row r="4474" spans="1:10" x14ac:dyDescent="0.35">
      <c r="A4474" t="s">
        <v>15</v>
      </c>
      <c r="B4474" t="s">
        <v>35</v>
      </c>
      <c r="C4474" s="77" t="s">
        <v>93</v>
      </c>
      <c r="D4474" t="s">
        <v>81</v>
      </c>
      <c r="E4474" s="77" t="s">
        <v>82</v>
      </c>
      <c r="F4474" s="77" t="s">
        <v>73</v>
      </c>
      <c r="G4474" s="77" t="s">
        <v>74</v>
      </c>
      <c r="H4474" s="77" t="s">
        <v>129</v>
      </c>
      <c r="I4474" s="77" t="s">
        <v>84</v>
      </c>
      <c r="J4474" s="76">
        <f>'SUT_EU27 total'!$O$113</f>
        <v>2.4854239602480213E-3</v>
      </c>
    </row>
    <row r="4475" spans="1:10" x14ac:dyDescent="0.35">
      <c r="A4475" t="s">
        <v>15</v>
      </c>
      <c r="B4475" t="s">
        <v>35</v>
      </c>
      <c r="C4475" s="77" t="s">
        <v>93</v>
      </c>
      <c r="D4475" t="s">
        <v>81</v>
      </c>
      <c r="E4475" s="77" t="s">
        <v>86</v>
      </c>
      <c r="F4475" s="77" t="s">
        <v>73</v>
      </c>
      <c r="G4475" s="77" t="s">
        <v>74</v>
      </c>
      <c r="H4475" s="77" t="s">
        <v>129</v>
      </c>
      <c r="I4475" s="77" t="s">
        <v>84</v>
      </c>
      <c r="J4475" s="76">
        <f>'SUT_EU27 total'!$O$120</f>
        <v>3.1580644155014347E-2</v>
      </c>
    </row>
    <row r="4476" spans="1:10" x14ac:dyDescent="0.35">
      <c r="A4476" t="s">
        <v>15</v>
      </c>
      <c r="B4476" t="s">
        <v>35</v>
      </c>
      <c r="C4476" s="77" t="s">
        <v>73</v>
      </c>
      <c r="D4476" t="s">
        <v>81</v>
      </c>
      <c r="E4476" s="77" t="s">
        <v>82</v>
      </c>
      <c r="F4476" s="77" t="s">
        <v>73</v>
      </c>
      <c r="G4476" s="77" t="s">
        <v>74</v>
      </c>
      <c r="H4476" s="77" t="s">
        <v>130</v>
      </c>
      <c r="I4476" s="77" t="s">
        <v>84</v>
      </c>
      <c r="J4476" s="55" cm="1">
        <f t="array" ref="J4476:J4481">Sensitivity!J76:J81</f>
        <v>8.2729226706694789E-2</v>
      </c>
    </row>
    <row r="4477" spans="1:10" x14ac:dyDescent="0.35">
      <c r="A4477" t="s">
        <v>15</v>
      </c>
      <c r="B4477" t="s">
        <v>35</v>
      </c>
      <c r="C4477" s="77" t="s">
        <v>88</v>
      </c>
      <c r="D4477" t="s">
        <v>81</v>
      </c>
      <c r="E4477" s="77" t="s">
        <v>82</v>
      </c>
      <c r="F4477" s="77" t="s">
        <v>73</v>
      </c>
      <c r="G4477" s="77" t="s">
        <v>74</v>
      </c>
      <c r="H4477" s="77" t="s">
        <v>130</v>
      </c>
      <c r="I4477" s="77" t="s">
        <v>84</v>
      </c>
      <c r="J4477" s="55">
        <v>5.2079482680952971E-2</v>
      </c>
    </row>
    <row r="4478" spans="1:10" x14ac:dyDescent="0.35">
      <c r="A4478" t="s">
        <v>15</v>
      </c>
      <c r="B4478" t="s">
        <v>35</v>
      </c>
      <c r="C4478" s="77" t="s">
        <v>90</v>
      </c>
      <c r="D4478" t="s">
        <v>81</v>
      </c>
      <c r="E4478" s="77" t="s">
        <v>82</v>
      </c>
      <c r="F4478" s="77" t="s">
        <v>73</v>
      </c>
      <c r="G4478" s="77" t="s">
        <v>74</v>
      </c>
      <c r="H4478" s="77" t="s">
        <v>130</v>
      </c>
      <c r="I4478" s="77" t="s">
        <v>84</v>
      </c>
      <c r="J4478" s="55">
        <v>1.2529403666115169E-5</v>
      </c>
    </row>
    <row r="4479" spans="1:10" x14ac:dyDescent="0.35">
      <c r="A4479" t="s">
        <v>15</v>
      </c>
      <c r="B4479" t="s">
        <v>35</v>
      </c>
      <c r="C4479" s="77" t="s">
        <v>91</v>
      </c>
      <c r="D4479" t="s">
        <v>81</v>
      </c>
      <c r="E4479" s="77" t="s">
        <v>82</v>
      </c>
      <c r="F4479" s="77" t="s">
        <v>73</v>
      </c>
      <c r="G4479" s="77" t="s">
        <v>74</v>
      </c>
      <c r="H4479" s="77" t="s">
        <v>130</v>
      </c>
      <c r="I4479" s="77" t="s">
        <v>84</v>
      </c>
      <c r="J4479" s="55">
        <v>2.4378818131945324E-3</v>
      </c>
    </row>
    <row r="4480" spans="1:10" x14ac:dyDescent="0.35">
      <c r="A4480" t="s">
        <v>15</v>
      </c>
      <c r="B4480" t="s">
        <v>35</v>
      </c>
      <c r="C4480" s="77" t="s">
        <v>92</v>
      </c>
      <c r="D4480" t="s">
        <v>81</v>
      </c>
      <c r="E4480" s="77" t="s">
        <v>82</v>
      </c>
      <c r="F4480" s="77" t="s">
        <v>73</v>
      </c>
      <c r="G4480" s="77" t="s">
        <v>74</v>
      </c>
      <c r="H4480" s="77" t="s">
        <v>130</v>
      </c>
      <c r="I4480" s="77" t="s">
        <v>84</v>
      </c>
      <c r="J4480" s="55">
        <v>3.3842715881911524E-3</v>
      </c>
    </row>
    <row r="4481" spans="1:10" x14ac:dyDescent="0.35">
      <c r="A4481" t="s">
        <v>15</v>
      </c>
      <c r="B4481" t="s">
        <v>35</v>
      </c>
      <c r="C4481" s="77" t="s">
        <v>93</v>
      </c>
      <c r="D4481" t="s">
        <v>81</v>
      </c>
      <c r="E4481" s="77" t="s">
        <v>82</v>
      </c>
      <c r="F4481" s="77" t="s">
        <v>73</v>
      </c>
      <c r="G4481" s="77" t="s">
        <v>74</v>
      </c>
      <c r="H4481" s="77" t="s">
        <v>130</v>
      </c>
      <c r="I4481" s="77" t="s">
        <v>84</v>
      </c>
      <c r="J4481" s="55">
        <v>1.4027355385930732E-2</v>
      </c>
    </row>
    <row r="4482" spans="1:10" x14ac:dyDescent="0.35">
      <c r="A4482" t="s">
        <v>15</v>
      </c>
      <c r="B4482" t="s">
        <v>35</v>
      </c>
      <c r="C4482" s="77" t="s">
        <v>73</v>
      </c>
      <c r="D4482" s="77" t="s">
        <v>81</v>
      </c>
      <c r="E4482" s="77" t="s">
        <v>96</v>
      </c>
      <c r="F4482" s="77" t="s">
        <v>73</v>
      </c>
      <c r="G4482" s="77" t="s">
        <v>74</v>
      </c>
      <c r="H4482" s="77" t="s">
        <v>130</v>
      </c>
      <c r="I4482" s="77" t="s">
        <v>84</v>
      </c>
      <c r="J4482" s="55" cm="1">
        <f t="array" ref="J4482:J4483">Sensitivity!J74:J75</f>
        <v>0.30207394048692521</v>
      </c>
    </row>
    <row r="4483" spans="1:10" x14ac:dyDescent="0.35">
      <c r="A4483" t="s">
        <v>15</v>
      </c>
      <c r="B4483" t="s">
        <v>35</v>
      </c>
      <c r="C4483" s="77" t="s">
        <v>73</v>
      </c>
      <c r="D4483" s="77" t="s">
        <v>81</v>
      </c>
      <c r="E4483" s="77" t="s">
        <v>99</v>
      </c>
      <c r="F4483" s="77" t="s">
        <v>73</v>
      </c>
      <c r="G4483" s="77" t="s">
        <v>74</v>
      </c>
      <c r="H4483" s="77" t="s">
        <v>130</v>
      </c>
      <c r="I4483" s="77" t="s">
        <v>84</v>
      </c>
      <c r="J4483" s="55">
        <v>1.2082957619477008</v>
      </c>
    </row>
    <row r="4484" spans="1:10" x14ac:dyDescent="0.35">
      <c r="A4484" t="s">
        <v>15</v>
      </c>
      <c r="B4484" t="s">
        <v>35</v>
      </c>
      <c r="C4484" s="77" t="s">
        <v>73</v>
      </c>
      <c r="D4484" t="s">
        <v>81</v>
      </c>
      <c r="E4484" s="77" t="s">
        <v>131</v>
      </c>
      <c r="F4484" s="77" t="s">
        <v>73</v>
      </c>
      <c r="G4484" s="77" t="s">
        <v>74</v>
      </c>
      <c r="H4484" s="77" t="s">
        <v>112</v>
      </c>
      <c r="I4484" s="77" t="s">
        <v>84</v>
      </c>
      <c r="J4484" s="76">
        <f>'SUT_EU27 total'!$R$24</f>
        <v>4.0146105919003111E-8</v>
      </c>
    </row>
    <row r="4485" spans="1:10" x14ac:dyDescent="0.35">
      <c r="A4485" t="s">
        <v>15</v>
      </c>
      <c r="B4485" t="s">
        <v>35</v>
      </c>
      <c r="C4485" s="77" t="s">
        <v>73</v>
      </c>
      <c r="D4485" t="s">
        <v>81</v>
      </c>
      <c r="E4485" s="77" t="s">
        <v>122</v>
      </c>
      <c r="F4485" s="77" t="s">
        <v>73</v>
      </c>
      <c r="G4485" s="77" t="s">
        <v>74</v>
      </c>
      <c r="H4485" s="77" t="s">
        <v>112</v>
      </c>
      <c r="I4485" s="77" t="s">
        <v>84</v>
      </c>
      <c r="J4485" s="76">
        <f>'SUT_EU27 total'!$R$30</f>
        <v>3.9708116569218732E-4</v>
      </c>
    </row>
    <row r="4486" spans="1:10" x14ac:dyDescent="0.35">
      <c r="A4486" t="s">
        <v>15</v>
      </c>
      <c r="B4486" t="s">
        <v>35</v>
      </c>
      <c r="C4486" s="77" t="s">
        <v>73</v>
      </c>
      <c r="D4486" t="s">
        <v>81</v>
      </c>
      <c r="E4486" s="77" t="s">
        <v>101</v>
      </c>
      <c r="F4486" s="77" t="s">
        <v>73</v>
      </c>
      <c r="G4486" s="77" t="s">
        <v>74</v>
      </c>
      <c r="H4486" s="77" t="s">
        <v>112</v>
      </c>
      <c r="I4486" s="77" t="s">
        <v>84</v>
      </c>
      <c r="J4486" s="76" cm="1">
        <f t="array" ref="J4486:J4488">'SUT_EU27 total'!$R$32:$R$34</f>
        <v>1.2183459827918709E-7</v>
      </c>
    </row>
    <row r="4487" spans="1:10" x14ac:dyDescent="0.35">
      <c r="A4487" t="s">
        <v>15</v>
      </c>
      <c r="B4487" t="s">
        <v>35</v>
      </c>
      <c r="C4487" s="77" t="s">
        <v>73</v>
      </c>
      <c r="D4487" t="s">
        <v>81</v>
      </c>
      <c r="E4487" s="77" t="s">
        <v>104</v>
      </c>
      <c r="F4487" s="77" t="s">
        <v>73</v>
      </c>
      <c r="G4487" s="77" t="s">
        <v>74</v>
      </c>
      <c r="H4487" s="77" t="s">
        <v>112</v>
      </c>
      <c r="I4487" s="77" t="s">
        <v>84</v>
      </c>
      <c r="J4487" s="76">
        <v>2.3068290654205609E-7</v>
      </c>
    </row>
    <row r="4488" spans="1:10" x14ac:dyDescent="0.35">
      <c r="A4488" t="s">
        <v>15</v>
      </c>
      <c r="B4488" t="s">
        <v>35</v>
      </c>
      <c r="C4488" s="77" t="s">
        <v>73</v>
      </c>
      <c r="D4488" t="s">
        <v>81</v>
      </c>
      <c r="E4488" s="77" t="s">
        <v>106</v>
      </c>
      <c r="F4488" s="77" t="s">
        <v>73</v>
      </c>
      <c r="G4488" s="77" t="s">
        <v>74</v>
      </c>
      <c r="H4488" s="77" t="s">
        <v>112</v>
      </c>
      <c r="I4488" s="77" t="s">
        <v>84</v>
      </c>
      <c r="J4488" s="76">
        <v>7.8463573653760568E-7</v>
      </c>
    </row>
    <row r="4489" spans="1:10" x14ac:dyDescent="0.35">
      <c r="A4489" t="s">
        <v>15</v>
      </c>
      <c r="B4489" t="s">
        <v>35</v>
      </c>
      <c r="C4489" s="77" t="s">
        <v>88</v>
      </c>
      <c r="D4489" t="s">
        <v>81</v>
      </c>
      <c r="E4489" s="77" t="s">
        <v>131</v>
      </c>
      <c r="F4489" s="77" t="s">
        <v>73</v>
      </c>
      <c r="G4489" s="77" t="s">
        <v>74</v>
      </c>
      <c r="H4489" s="77" t="s">
        <v>112</v>
      </c>
      <c r="I4489" s="77" t="s">
        <v>84</v>
      </c>
      <c r="J4489" s="76">
        <f>'SUT_EU27 total'!$R$41</f>
        <v>0</v>
      </c>
    </row>
    <row r="4490" spans="1:10" x14ac:dyDescent="0.35">
      <c r="A4490" t="s">
        <v>15</v>
      </c>
      <c r="B4490" t="s">
        <v>35</v>
      </c>
      <c r="C4490" s="77" t="s">
        <v>88</v>
      </c>
      <c r="D4490" t="s">
        <v>81</v>
      </c>
      <c r="E4490" s="77" t="s">
        <v>122</v>
      </c>
      <c r="F4490" s="77" t="s">
        <v>73</v>
      </c>
      <c r="G4490" s="77" t="s">
        <v>74</v>
      </c>
      <c r="H4490" s="77" t="s">
        <v>112</v>
      </c>
      <c r="I4490" s="77" t="s">
        <v>84</v>
      </c>
      <c r="J4490" s="76">
        <f>'SUT_EU27 total'!$R$47</f>
        <v>0</v>
      </c>
    </row>
    <row r="4491" spans="1:10" x14ac:dyDescent="0.35">
      <c r="A4491" t="s">
        <v>15</v>
      </c>
      <c r="B4491" t="s">
        <v>35</v>
      </c>
      <c r="C4491" s="77" t="s">
        <v>88</v>
      </c>
      <c r="D4491" t="s">
        <v>81</v>
      </c>
      <c r="E4491" s="77" t="s">
        <v>101</v>
      </c>
      <c r="F4491" s="77" t="s">
        <v>73</v>
      </c>
      <c r="G4491" s="77" t="s">
        <v>74</v>
      </c>
      <c r="H4491" s="77" t="s">
        <v>112</v>
      </c>
      <c r="I4491" s="77" t="s">
        <v>84</v>
      </c>
      <c r="J4491" s="76" cm="1">
        <f t="array" ref="J4491:J4493">'SUT_EU27 total'!$R$49:$R$51</f>
        <v>0</v>
      </c>
    </row>
    <row r="4492" spans="1:10" x14ac:dyDescent="0.35">
      <c r="A4492" t="s">
        <v>15</v>
      </c>
      <c r="B4492" t="s">
        <v>35</v>
      </c>
      <c r="C4492" s="77" t="s">
        <v>88</v>
      </c>
      <c r="D4492" t="s">
        <v>81</v>
      </c>
      <c r="E4492" s="77" t="s">
        <v>104</v>
      </c>
      <c r="F4492" s="77" t="s">
        <v>73</v>
      </c>
      <c r="G4492" s="77" t="s">
        <v>74</v>
      </c>
      <c r="H4492" s="77" t="s">
        <v>112</v>
      </c>
      <c r="I4492" s="77" t="s">
        <v>84</v>
      </c>
      <c r="J4492" s="76">
        <v>0</v>
      </c>
    </row>
    <row r="4493" spans="1:10" x14ac:dyDescent="0.35">
      <c r="A4493" t="s">
        <v>15</v>
      </c>
      <c r="B4493" t="s">
        <v>35</v>
      </c>
      <c r="C4493" s="77" t="s">
        <v>88</v>
      </c>
      <c r="D4493" t="s">
        <v>81</v>
      </c>
      <c r="E4493" s="77" t="s">
        <v>106</v>
      </c>
      <c r="F4493" s="77" t="s">
        <v>73</v>
      </c>
      <c r="G4493" s="77" t="s">
        <v>74</v>
      </c>
      <c r="H4493" s="77" t="s">
        <v>112</v>
      </c>
      <c r="I4493" s="77" t="s">
        <v>84</v>
      </c>
      <c r="J4493" s="76">
        <v>0</v>
      </c>
    </row>
    <row r="4494" spans="1:10" x14ac:dyDescent="0.35">
      <c r="A4494" t="s">
        <v>15</v>
      </c>
      <c r="B4494" t="s">
        <v>35</v>
      </c>
      <c r="C4494" s="77" t="s">
        <v>90</v>
      </c>
      <c r="D4494" t="s">
        <v>81</v>
      </c>
      <c r="E4494" s="77" t="s">
        <v>131</v>
      </c>
      <c r="F4494" s="77" t="s">
        <v>73</v>
      </c>
      <c r="G4494" s="77" t="s">
        <v>74</v>
      </c>
      <c r="H4494" s="77" t="s">
        <v>112</v>
      </c>
      <c r="I4494" s="77" t="s">
        <v>84</v>
      </c>
      <c r="J4494" s="76">
        <f>'SUT_EU27 total'!$R$58</f>
        <v>0</v>
      </c>
    </row>
    <row r="4495" spans="1:10" x14ac:dyDescent="0.35">
      <c r="A4495" t="s">
        <v>15</v>
      </c>
      <c r="B4495" t="s">
        <v>35</v>
      </c>
      <c r="C4495" s="77" t="s">
        <v>90</v>
      </c>
      <c r="D4495" t="s">
        <v>81</v>
      </c>
      <c r="E4495" s="77" t="s">
        <v>122</v>
      </c>
      <c r="F4495" s="77" t="s">
        <v>73</v>
      </c>
      <c r="G4495" s="77" t="s">
        <v>74</v>
      </c>
      <c r="H4495" s="77" t="s">
        <v>112</v>
      </c>
      <c r="I4495" s="77" t="s">
        <v>84</v>
      </c>
      <c r="J4495" s="76">
        <f>'SUT_EU27 total'!$R$64</f>
        <v>6.4108466461028498E-4</v>
      </c>
    </row>
    <row r="4496" spans="1:10" x14ac:dyDescent="0.35">
      <c r="A4496" t="s">
        <v>15</v>
      </c>
      <c r="B4496" t="s">
        <v>35</v>
      </c>
      <c r="C4496" s="77" t="s">
        <v>90</v>
      </c>
      <c r="D4496" t="s">
        <v>81</v>
      </c>
      <c r="E4496" s="77" t="s">
        <v>101</v>
      </c>
      <c r="F4496" s="77" t="s">
        <v>73</v>
      </c>
      <c r="G4496" s="77" t="s">
        <v>74</v>
      </c>
      <c r="H4496" s="77" t="s">
        <v>112</v>
      </c>
      <c r="I4496" s="77" t="s">
        <v>84</v>
      </c>
      <c r="J4496" s="76" cm="1">
        <f t="array" ref="J4496:J4498">'SUT_EU27 total'!$R$66:$R$68</f>
        <v>0</v>
      </c>
    </row>
    <row r="4497" spans="1:10" x14ac:dyDescent="0.35">
      <c r="A4497" t="s">
        <v>15</v>
      </c>
      <c r="B4497" t="s">
        <v>35</v>
      </c>
      <c r="C4497" s="77" t="s">
        <v>90</v>
      </c>
      <c r="D4497" t="s">
        <v>81</v>
      </c>
      <c r="E4497" s="77" t="s">
        <v>104</v>
      </c>
      <c r="F4497" s="77" t="s">
        <v>73</v>
      </c>
      <c r="G4497" s="77" t="s">
        <v>74</v>
      </c>
      <c r="H4497" s="77" t="s">
        <v>112</v>
      </c>
      <c r="I4497" s="77" t="s">
        <v>84</v>
      </c>
      <c r="J4497" s="76">
        <v>0</v>
      </c>
    </row>
    <row r="4498" spans="1:10" x14ac:dyDescent="0.35">
      <c r="A4498" t="s">
        <v>15</v>
      </c>
      <c r="B4498" t="s">
        <v>35</v>
      </c>
      <c r="C4498" s="77" t="s">
        <v>90</v>
      </c>
      <c r="D4498" t="s">
        <v>81</v>
      </c>
      <c r="E4498" s="77" t="s">
        <v>106</v>
      </c>
      <c r="F4498" s="77" t="s">
        <v>73</v>
      </c>
      <c r="G4498" s="77" t="s">
        <v>74</v>
      </c>
      <c r="H4498" s="77" t="s">
        <v>112</v>
      </c>
      <c r="I4498" s="77" t="s">
        <v>84</v>
      </c>
      <c r="J4498" s="76">
        <v>0</v>
      </c>
    </row>
    <row r="4499" spans="1:10" x14ac:dyDescent="0.35">
      <c r="A4499" t="s">
        <v>15</v>
      </c>
      <c r="B4499" t="s">
        <v>35</v>
      </c>
      <c r="C4499" s="77" t="s">
        <v>91</v>
      </c>
      <c r="D4499" t="s">
        <v>81</v>
      </c>
      <c r="E4499" s="77" t="s">
        <v>131</v>
      </c>
      <c r="F4499" s="77" t="s">
        <v>73</v>
      </c>
      <c r="G4499" s="77" t="s">
        <v>74</v>
      </c>
      <c r="H4499" s="77" t="s">
        <v>112</v>
      </c>
      <c r="I4499" s="77" t="s">
        <v>84</v>
      </c>
      <c r="J4499" s="76">
        <f>'SUT_EU27 total'!$R$75</f>
        <v>0</v>
      </c>
    </row>
    <row r="4500" spans="1:10" x14ac:dyDescent="0.35">
      <c r="A4500" t="s">
        <v>15</v>
      </c>
      <c r="B4500" t="s">
        <v>35</v>
      </c>
      <c r="C4500" s="77" t="s">
        <v>91</v>
      </c>
      <c r="D4500" t="s">
        <v>81</v>
      </c>
      <c r="E4500" s="77" t="s">
        <v>122</v>
      </c>
      <c r="F4500" s="77" t="s">
        <v>73</v>
      </c>
      <c r="G4500" s="77" t="s">
        <v>74</v>
      </c>
      <c r="H4500" s="77" t="s">
        <v>112</v>
      </c>
      <c r="I4500" s="77" t="s">
        <v>84</v>
      </c>
      <c r="J4500" s="76">
        <f>'SUT_EU27 total'!$R$81</f>
        <v>0</v>
      </c>
    </row>
    <row r="4501" spans="1:10" x14ac:dyDescent="0.35">
      <c r="A4501" t="s">
        <v>15</v>
      </c>
      <c r="B4501" t="s">
        <v>35</v>
      </c>
      <c r="C4501" s="77" t="s">
        <v>91</v>
      </c>
      <c r="D4501" t="s">
        <v>81</v>
      </c>
      <c r="E4501" s="77" t="s">
        <v>101</v>
      </c>
      <c r="F4501" s="77" t="s">
        <v>73</v>
      </c>
      <c r="G4501" s="77" t="s">
        <v>74</v>
      </c>
      <c r="H4501" s="77" t="s">
        <v>112</v>
      </c>
      <c r="I4501" s="77" t="s">
        <v>84</v>
      </c>
      <c r="J4501" s="76" cm="1">
        <f t="array" ref="J4501:J4503">'SUT_EU27 total'!$R$83:$R$85</f>
        <v>0</v>
      </c>
    </row>
    <row r="4502" spans="1:10" x14ac:dyDescent="0.35">
      <c r="A4502" t="s">
        <v>15</v>
      </c>
      <c r="B4502" t="s">
        <v>35</v>
      </c>
      <c r="C4502" s="77" t="s">
        <v>91</v>
      </c>
      <c r="D4502" t="s">
        <v>81</v>
      </c>
      <c r="E4502" s="77" t="s">
        <v>104</v>
      </c>
      <c r="F4502" s="77" t="s">
        <v>73</v>
      </c>
      <c r="G4502" s="77" t="s">
        <v>74</v>
      </c>
      <c r="H4502" s="77" t="s">
        <v>112</v>
      </c>
      <c r="I4502" s="77" t="s">
        <v>84</v>
      </c>
      <c r="J4502" s="76">
        <v>0</v>
      </c>
    </row>
    <row r="4503" spans="1:10" x14ac:dyDescent="0.35">
      <c r="A4503" t="s">
        <v>15</v>
      </c>
      <c r="B4503" t="s">
        <v>35</v>
      </c>
      <c r="C4503" s="77" t="s">
        <v>91</v>
      </c>
      <c r="D4503" t="s">
        <v>81</v>
      </c>
      <c r="E4503" s="77" t="s">
        <v>106</v>
      </c>
      <c r="F4503" s="77" t="s">
        <v>73</v>
      </c>
      <c r="G4503" s="77" t="s">
        <v>74</v>
      </c>
      <c r="H4503" s="77" t="s">
        <v>112</v>
      </c>
      <c r="I4503" s="77" t="s">
        <v>84</v>
      </c>
      <c r="J4503" s="76">
        <v>0</v>
      </c>
    </row>
    <row r="4504" spans="1:10" x14ac:dyDescent="0.35">
      <c r="A4504" t="s">
        <v>15</v>
      </c>
      <c r="B4504" t="s">
        <v>35</v>
      </c>
      <c r="C4504" s="77" t="s">
        <v>92</v>
      </c>
      <c r="D4504" t="s">
        <v>81</v>
      </c>
      <c r="E4504" s="77" t="s">
        <v>131</v>
      </c>
      <c r="F4504" s="77" t="s">
        <v>73</v>
      </c>
      <c r="G4504" s="77" t="s">
        <v>74</v>
      </c>
      <c r="H4504" s="77" t="s">
        <v>112</v>
      </c>
      <c r="I4504" s="77" t="s">
        <v>84</v>
      </c>
      <c r="J4504" s="76">
        <f>'SUT_EU27 total'!$R$92</f>
        <v>0</v>
      </c>
    </row>
    <row r="4505" spans="1:10" x14ac:dyDescent="0.35">
      <c r="A4505" t="s">
        <v>15</v>
      </c>
      <c r="B4505" t="s">
        <v>35</v>
      </c>
      <c r="C4505" s="77" t="s">
        <v>92</v>
      </c>
      <c r="D4505" t="s">
        <v>81</v>
      </c>
      <c r="E4505" s="77" t="s">
        <v>122</v>
      </c>
      <c r="F4505" s="77" t="s">
        <v>73</v>
      </c>
      <c r="G4505" s="77" t="s">
        <v>74</v>
      </c>
      <c r="H4505" s="77" t="s">
        <v>112</v>
      </c>
      <c r="I4505" s="77" t="s">
        <v>84</v>
      </c>
      <c r="J4505" s="76">
        <f>'SUT_EU27 total'!$R$98</f>
        <v>0</v>
      </c>
    </row>
    <row r="4506" spans="1:10" x14ac:dyDescent="0.35">
      <c r="A4506" t="s">
        <v>15</v>
      </c>
      <c r="B4506" t="s">
        <v>35</v>
      </c>
      <c r="C4506" s="77" t="s">
        <v>92</v>
      </c>
      <c r="D4506" t="s">
        <v>81</v>
      </c>
      <c r="E4506" s="77" t="s">
        <v>101</v>
      </c>
      <c r="F4506" s="77" t="s">
        <v>73</v>
      </c>
      <c r="G4506" s="77" t="s">
        <v>74</v>
      </c>
      <c r="H4506" s="77" t="s">
        <v>112</v>
      </c>
      <c r="I4506" s="77" t="s">
        <v>84</v>
      </c>
      <c r="J4506" s="76" cm="1">
        <f t="array" ref="J4506:J4508">'SUT_EU27 total'!$R$100:$R$102</f>
        <v>0</v>
      </c>
    </row>
    <row r="4507" spans="1:10" x14ac:dyDescent="0.35">
      <c r="A4507" t="s">
        <v>15</v>
      </c>
      <c r="B4507" t="s">
        <v>35</v>
      </c>
      <c r="C4507" s="77" t="s">
        <v>92</v>
      </c>
      <c r="D4507" t="s">
        <v>81</v>
      </c>
      <c r="E4507" s="77" t="s">
        <v>104</v>
      </c>
      <c r="F4507" s="77" t="s">
        <v>73</v>
      </c>
      <c r="G4507" s="77" t="s">
        <v>74</v>
      </c>
      <c r="H4507" s="77" t="s">
        <v>112</v>
      </c>
      <c r="I4507" s="77" t="s">
        <v>84</v>
      </c>
      <c r="J4507" s="76">
        <v>0</v>
      </c>
    </row>
    <row r="4508" spans="1:10" x14ac:dyDescent="0.35">
      <c r="A4508" t="s">
        <v>15</v>
      </c>
      <c r="B4508" t="s">
        <v>35</v>
      </c>
      <c r="C4508" s="77" t="s">
        <v>92</v>
      </c>
      <c r="D4508" t="s">
        <v>81</v>
      </c>
      <c r="E4508" s="77" t="s">
        <v>106</v>
      </c>
      <c r="F4508" s="77" t="s">
        <v>73</v>
      </c>
      <c r="G4508" s="77" t="s">
        <v>74</v>
      </c>
      <c r="H4508" s="77" t="s">
        <v>112</v>
      </c>
      <c r="I4508" s="77" t="s">
        <v>84</v>
      </c>
      <c r="J4508" s="76">
        <v>0</v>
      </c>
    </row>
    <row r="4509" spans="1:10" x14ac:dyDescent="0.35">
      <c r="A4509" t="s">
        <v>15</v>
      </c>
      <c r="B4509" t="s">
        <v>35</v>
      </c>
      <c r="C4509" s="77" t="s">
        <v>93</v>
      </c>
      <c r="D4509" t="s">
        <v>81</v>
      </c>
      <c r="E4509" s="77" t="s">
        <v>131</v>
      </c>
      <c r="F4509" s="77" t="s">
        <v>73</v>
      </c>
      <c r="G4509" s="77" t="s">
        <v>74</v>
      </c>
      <c r="H4509" s="77" t="s">
        <v>112</v>
      </c>
      <c r="I4509" s="77" t="s">
        <v>84</v>
      </c>
      <c r="J4509" s="76">
        <f>'SUT_EU27 total'!$R$109</f>
        <v>0</v>
      </c>
    </row>
    <row r="4510" spans="1:10" x14ac:dyDescent="0.35">
      <c r="A4510" t="s">
        <v>15</v>
      </c>
      <c r="B4510" t="s">
        <v>35</v>
      </c>
      <c r="C4510" s="77" t="s">
        <v>93</v>
      </c>
      <c r="D4510" t="s">
        <v>81</v>
      </c>
      <c r="E4510" s="77" t="s">
        <v>122</v>
      </c>
      <c r="F4510" s="77" t="s">
        <v>73</v>
      </c>
      <c r="G4510" s="77" t="s">
        <v>74</v>
      </c>
      <c r="H4510" s="77" t="s">
        <v>112</v>
      </c>
      <c r="I4510" s="77" t="s">
        <v>84</v>
      </c>
      <c r="J4510" s="76">
        <f>'SUT_EU27 total'!$R$115</f>
        <v>2.188358424259166E-3</v>
      </c>
    </row>
    <row r="4511" spans="1:10" x14ac:dyDescent="0.35">
      <c r="A4511" t="s">
        <v>15</v>
      </c>
      <c r="B4511" t="s">
        <v>35</v>
      </c>
      <c r="C4511" s="77" t="s">
        <v>93</v>
      </c>
      <c r="D4511" t="s">
        <v>81</v>
      </c>
      <c r="E4511" s="77" t="s">
        <v>101</v>
      </c>
      <c r="F4511" s="77" t="s">
        <v>73</v>
      </c>
      <c r="G4511" s="77" t="s">
        <v>74</v>
      </c>
      <c r="H4511" s="77" t="s">
        <v>112</v>
      </c>
      <c r="I4511" s="77" t="s">
        <v>84</v>
      </c>
      <c r="J4511" s="76" cm="1">
        <f t="array" ref="J4511:J4513">'SUT_EU27 total'!$R$117:$R$119</f>
        <v>0</v>
      </c>
    </row>
    <row r="4512" spans="1:10" x14ac:dyDescent="0.35">
      <c r="A4512" t="s">
        <v>15</v>
      </c>
      <c r="B4512" t="s">
        <v>35</v>
      </c>
      <c r="C4512" s="77" t="s">
        <v>93</v>
      </c>
      <c r="D4512" t="s">
        <v>81</v>
      </c>
      <c r="E4512" s="77" t="s">
        <v>104</v>
      </c>
      <c r="F4512" s="77" t="s">
        <v>73</v>
      </c>
      <c r="G4512" s="77" t="s">
        <v>74</v>
      </c>
      <c r="H4512" s="77" t="s">
        <v>112</v>
      </c>
      <c r="I4512" s="77" t="s">
        <v>84</v>
      </c>
      <c r="J4512" s="76">
        <v>0</v>
      </c>
    </row>
    <row r="4513" spans="1:10" x14ac:dyDescent="0.35">
      <c r="A4513" t="s">
        <v>15</v>
      </c>
      <c r="B4513" t="s">
        <v>35</v>
      </c>
      <c r="C4513" s="77" t="s">
        <v>93</v>
      </c>
      <c r="D4513" t="s">
        <v>81</v>
      </c>
      <c r="E4513" s="77" t="s">
        <v>106</v>
      </c>
      <c r="F4513" s="77" t="s">
        <v>73</v>
      </c>
      <c r="G4513" s="77" t="s">
        <v>74</v>
      </c>
      <c r="H4513" s="77" t="s">
        <v>112</v>
      </c>
      <c r="I4513" s="77" t="s">
        <v>84</v>
      </c>
      <c r="J4513" s="76">
        <v>0</v>
      </c>
    </row>
    <row r="4514" spans="1:10" x14ac:dyDescent="0.35">
      <c r="A4514" t="s">
        <v>15</v>
      </c>
      <c r="B4514" t="s">
        <v>35</v>
      </c>
      <c r="C4514" s="77" t="s">
        <v>73</v>
      </c>
      <c r="D4514" t="s">
        <v>81</v>
      </c>
      <c r="E4514" s="77" t="s">
        <v>131</v>
      </c>
      <c r="F4514" s="77" t="s">
        <v>73</v>
      </c>
      <c r="G4514" s="77" t="s">
        <v>74</v>
      </c>
      <c r="H4514" s="77" t="s">
        <v>113</v>
      </c>
      <c r="I4514" s="77" t="s">
        <v>84</v>
      </c>
      <c r="J4514" s="76">
        <f>'SUT_EU27 total'!$S$24</f>
        <v>5.0294789999999994E-8</v>
      </c>
    </row>
    <row r="4515" spans="1:10" x14ac:dyDescent="0.35">
      <c r="A4515" t="s">
        <v>15</v>
      </c>
      <c r="B4515" t="s">
        <v>35</v>
      </c>
      <c r="C4515" s="77" t="s">
        <v>73</v>
      </c>
      <c r="D4515" t="s">
        <v>81</v>
      </c>
      <c r="E4515" s="77" t="s">
        <v>101</v>
      </c>
      <c r="F4515" s="77" t="s">
        <v>73</v>
      </c>
      <c r="G4515" s="77" t="s">
        <v>74</v>
      </c>
      <c r="H4515" s="77" t="s">
        <v>113</v>
      </c>
      <c r="I4515" s="77" t="s">
        <v>84</v>
      </c>
      <c r="J4515" s="76" cm="1">
        <f t="array" ref="J4515:J4517">'SUT_EU27 total'!$S$32:$S$34</f>
        <v>1.7883556705882356E-5</v>
      </c>
    </row>
    <row r="4516" spans="1:10" x14ac:dyDescent="0.35">
      <c r="A4516" t="s">
        <v>15</v>
      </c>
      <c r="B4516" t="s">
        <v>35</v>
      </c>
      <c r="C4516" s="77" t="s">
        <v>73</v>
      </c>
      <c r="D4516" t="s">
        <v>81</v>
      </c>
      <c r="E4516" s="77" t="s">
        <v>104</v>
      </c>
      <c r="F4516" s="77" t="s">
        <v>73</v>
      </c>
      <c r="G4516" s="77" t="s">
        <v>74</v>
      </c>
      <c r="H4516" s="77" t="s">
        <v>113</v>
      </c>
      <c r="I4516" s="77" t="s">
        <v>84</v>
      </c>
      <c r="J4516" s="76">
        <v>3.3860913882352942E-5</v>
      </c>
    </row>
    <row r="4517" spans="1:10" x14ac:dyDescent="0.35">
      <c r="A4517" t="s">
        <v>15</v>
      </c>
      <c r="B4517" t="s">
        <v>35</v>
      </c>
      <c r="C4517" s="77" t="s">
        <v>73</v>
      </c>
      <c r="D4517" t="s">
        <v>81</v>
      </c>
      <c r="E4517" s="77" t="s">
        <v>106</v>
      </c>
      <c r="F4517" s="77" t="s">
        <v>73</v>
      </c>
      <c r="G4517" s="77" t="s">
        <v>74</v>
      </c>
      <c r="H4517" s="77" t="s">
        <v>113</v>
      </c>
      <c r="I4517" s="77" t="s">
        <v>84</v>
      </c>
      <c r="J4517" s="76">
        <v>1.1517317647058823E-4</v>
      </c>
    </row>
    <row r="4518" spans="1:10" x14ac:dyDescent="0.35">
      <c r="A4518" t="s">
        <v>15</v>
      </c>
      <c r="B4518" t="s">
        <v>35</v>
      </c>
      <c r="C4518" s="77" t="s">
        <v>88</v>
      </c>
      <c r="D4518" t="s">
        <v>81</v>
      </c>
      <c r="E4518" s="77" t="s">
        <v>131</v>
      </c>
      <c r="F4518" s="77" t="s">
        <v>73</v>
      </c>
      <c r="G4518" s="77" t="s">
        <v>74</v>
      </c>
      <c r="H4518" s="77" t="s">
        <v>113</v>
      </c>
      <c r="I4518" s="77" t="s">
        <v>84</v>
      </c>
      <c r="J4518" s="76">
        <f>'SUT_EU27 total'!$S$41</f>
        <v>0</v>
      </c>
    </row>
    <row r="4519" spans="1:10" x14ac:dyDescent="0.35">
      <c r="A4519" t="s">
        <v>15</v>
      </c>
      <c r="B4519" t="s">
        <v>35</v>
      </c>
      <c r="C4519" s="77" t="s">
        <v>88</v>
      </c>
      <c r="D4519" t="s">
        <v>81</v>
      </c>
      <c r="E4519" s="77" t="s">
        <v>101</v>
      </c>
      <c r="F4519" s="77" t="s">
        <v>73</v>
      </c>
      <c r="G4519" s="77" t="s">
        <v>74</v>
      </c>
      <c r="H4519" s="77" t="s">
        <v>113</v>
      </c>
      <c r="I4519" s="77" t="s">
        <v>84</v>
      </c>
      <c r="J4519" s="76" cm="1">
        <f t="array" ref="J4519:J4521">'SUT_EU27 total'!$S$49:$S$51</f>
        <v>0</v>
      </c>
    </row>
    <row r="4520" spans="1:10" x14ac:dyDescent="0.35">
      <c r="A4520" t="s">
        <v>15</v>
      </c>
      <c r="B4520" t="s">
        <v>35</v>
      </c>
      <c r="C4520" s="77" t="s">
        <v>88</v>
      </c>
      <c r="D4520" t="s">
        <v>81</v>
      </c>
      <c r="E4520" s="77" t="s">
        <v>104</v>
      </c>
      <c r="F4520" s="77" t="s">
        <v>73</v>
      </c>
      <c r="G4520" s="77" t="s">
        <v>74</v>
      </c>
      <c r="H4520" s="77" t="s">
        <v>113</v>
      </c>
      <c r="I4520" s="77" t="s">
        <v>84</v>
      </c>
      <c r="J4520" s="76">
        <v>0</v>
      </c>
    </row>
    <row r="4521" spans="1:10" x14ac:dyDescent="0.35">
      <c r="A4521" t="s">
        <v>15</v>
      </c>
      <c r="B4521" t="s">
        <v>35</v>
      </c>
      <c r="C4521" s="77" t="s">
        <v>88</v>
      </c>
      <c r="D4521" t="s">
        <v>81</v>
      </c>
      <c r="E4521" s="77" t="s">
        <v>106</v>
      </c>
      <c r="F4521" s="77" t="s">
        <v>73</v>
      </c>
      <c r="G4521" s="77" t="s">
        <v>74</v>
      </c>
      <c r="H4521" s="77" t="s">
        <v>113</v>
      </c>
      <c r="I4521" s="77" t="s">
        <v>84</v>
      </c>
      <c r="J4521" s="76">
        <v>0</v>
      </c>
    </row>
    <row r="4522" spans="1:10" x14ac:dyDescent="0.35">
      <c r="A4522" t="s">
        <v>15</v>
      </c>
      <c r="B4522" t="s">
        <v>35</v>
      </c>
      <c r="C4522" s="77" t="s">
        <v>90</v>
      </c>
      <c r="D4522" t="s">
        <v>81</v>
      </c>
      <c r="E4522" s="77" t="s">
        <v>131</v>
      </c>
      <c r="F4522" s="77" t="s">
        <v>73</v>
      </c>
      <c r="G4522" s="77" t="s">
        <v>74</v>
      </c>
      <c r="H4522" s="77" t="s">
        <v>113</v>
      </c>
      <c r="I4522" s="77" t="s">
        <v>84</v>
      </c>
      <c r="J4522" s="76">
        <f>'SUT_EU27 total'!$S$58</f>
        <v>0</v>
      </c>
    </row>
    <row r="4523" spans="1:10" x14ac:dyDescent="0.35">
      <c r="A4523" t="s">
        <v>15</v>
      </c>
      <c r="B4523" t="s">
        <v>35</v>
      </c>
      <c r="C4523" s="77" t="s">
        <v>90</v>
      </c>
      <c r="D4523" t="s">
        <v>81</v>
      </c>
      <c r="E4523" s="77" t="s">
        <v>101</v>
      </c>
      <c r="F4523" s="77" t="s">
        <v>73</v>
      </c>
      <c r="G4523" s="77" t="s">
        <v>74</v>
      </c>
      <c r="H4523" s="77" t="s">
        <v>113</v>
      </c>
      <c r="I4523" s="77" t="s">
        <v>84</v>
      </c>
      <c r="J4523" s="76" cm="1">
        <f t="array" ref="J4523:J4525">'SUT_EU27 total'!$S$66:$S$68</f>
        <v>0</v>
      </c>
    </row>
    <row r="4524" spans="1:10" x14ac:dyDescent="0.35">
      <c r="A4524" t="s">
        <v>15</v>
      </c>
      <c r="B4524" t="s">
        <v>35</v>
      </c>
      <c r="C4524" s="77" t="s">
        <v>90</v>
      </c>
      <c r="D4524" t="s">
        <v>81</v>
      </c>
      <c r="E4524" s="77" t="s">
        <v>104</v>
      </c>
      <c r="F4524" s="77" t="s">
        <v>73</v>
      </c>
      <c r="G4524" s="77" t="s">
        <v>74</v>
      </c>
      <c r="H4524" s="77" t="s">
        <v>113</v>
      </c>
      <c r="I4524" s="77" t="s">
        <v>84</v>
      </c>
      <c r="J4524" s="76">
        <v>0</v>
      </c>
    </row>
    <row r="4525" spans="1:10" x14ac:dyDescent="0.35">
      <c r="A4525" t="s">
        <v>15</v>
      </c>
      <c r="B4525" t="s">
        <v>35</v>
      </c>
      <c r="C4525" s="77" t="s">
        <v>90</v>
      </c>
      <c r="D4525" t="s">
        <v>81</v>
      </c>
      <c r="E4525" s="77" t="s">
        <v>106</v>
      </c>
      <c r="F4525" s="77" t="s">
        <v>73</v>
      </c>
      <c r="G4525" s="77" t="s">
        <v>74</v>
      </c>
      <c r="H4525" s="77" t="s">
        <v>113</v>
      </c>
      <c r="I4525" s="77" t="s">
        <v>84</v>
      </c>
      <c r="J4525" s="76">
        <v>0</v>
      </c>
    </row>
    <row r="4526" spans="1:10" x14ac:dyDescent="0.35">
      <c r="A4526" t="s">
        <v>15</v>
      </c>
      <c r="B4526" t="s">
        <v>35</v>
      </c>
      <c r="C4526" s="77" t="s">
        <v>91</v>
      </c>
      <c r="D4526" t="s">
        <v>81</v>
      </c>
      <c r="E4526" s="77" t="s">
        <v>131</v>
      </c>
      <c r="F4526" s="77" t="s">
        <v>73</v>
      </c>
      <c r="G4526" s="77" t="s">
        <v>74</v>
      </c>
      <c r="H4526" s="77" t="s">
        <v>113</v>
      </c>
      <c r="I4526" s="77" t="s">
        <v>84</v>
      </c>
      <c r="J4526" s="76">
        <f>'SUT_EU27 total'!$S$75</f>
        <v>0</v>
      </c>
    </row>
    <row r="4527" spans="1:10" x14ac:dyDescent="0.35">
      <c r="A4527" t="s">
        <v>15</v>
      </c>
      <c r="B4527" t="s">
        <v>35</v>
      </c>
      <c r="C4527" s="77" t="s">
        <v>91</v>
      </c>
      <c r="D4527" t="s">
        <v>81</v>
      </c>
      <c r="E4527" s="77" t="s">
        <v>101</v>
      </c>
      <c r="F4527" s="77" t="s">
        <v>73</v>
      </c>
      <c r="G4527" s="77" t="s">
        <v>74</v>
      </c>
      <c r="H4527" s="77" t="s">
        <v>113</v>
      </c>
      <c r="I4527" s="77" t="s">
        <v>84</v>
      </c>
      <c r="J4527" s="76" cm="1">
        <f t="array" ref="J4527:J4529">'SUT_EU27 total'!$S$83:$S$85</f>
        <v>0</v>
      </c>
    </row>
    <row r="4528" spans="1:10" x14ac:dyDescent="0.35">
      <c r="A4528" t="s">
        <v>15</v>
      </c>
      <c r="B4528" t="s">
        <v>35</v>
      </c>
      <c r="C4528" s="77" t="s">
        <v>91</v>
      </c>
      <c r="D4528" t="s">
        <v>81</v>
      </c>
      <c r="E4528" s="77" t="s">
        <v>104</v>
      </c>
      <c r="F4528" s="77" t="s">
        <v>73</v>
      </c>
      <c r="G4528" s="77" t="s">
        <v>74</v>
      </c>
      <c r="H4528" s="77" t="s">
        <v>113</v>
      </c>
      <c r="I4528" s="77" t="s">
        <v>84</v>
      </c>
      <c r="J4528" s="76">
        <v>0</v>
      </c>
    </row>
    <row r="4529" spans="1:10" x14ac:dyDescent="0.35">
      <c r="A4529" t="s">
        <v>15</v>
      </c>
      <c r="B4529" t="s">
        <v>35</v>
      </c>
      <c r="C4529" s="77" t="s">
        <v>91</v>
      </c>
      <c r="D4529" t="s">
        <v>81</v>
      </c>
      <c r="E4529" s="77" t="s">
        <v>106</v>
      </c>
      <c r="F4529" s="77" t="s">
        <v>73</v>
      </c>
      <c r="G4529" s="77" t="s">
        <v>74</v>
      </c>
      <c r="H4529" s="77" t="s">
        <v>113</v>
      </c>
      <c r="I4529" s="77" t="s">
        <v>84</v>
      </c>
      <c r="J4529" s="76">
        <v>0</v>
      </c>
    </row>
    <row r="4530" spans="1:10" x14ac:dyDescent="0.35">
      <c r="A4530" t="s">
        <v>15</v>
      </c>
      <c r="B4530" t="s">
        <v>35</v>
      </c>
      <c r="C4530" s="77" t="s">
        <v>92</v>
      </c>
      <c r="D4530" t="s">
        <v>81</v>
      </c>
      <c r="E4530" s="77" t="s">
        <v>131</v>
      </c>
      <c r="F4530" s="77" t="s">
        <v>73</v>
      </c>
      <c r="G4530" s="77" t="s">
        <v>74</v>
      </c>
      <c r="H4530" s="77" t="s">
        <v>113</v>
      </c>
      <c r="I4530" s="77" t="s">
        <v>84</v>
      </c>
      <c r="J4530" s="76">
        <f>'SUT_EU27 total'!$S$92</f>
        <v>0</v>
      </c>
    </row>
    <row r="4531" spans="1:10" x14ac:dyDescent="0.35">
      <c r="A4531" t="s">
        <v>15</v>
      </c>
      <c r="B4531" t="s">
        <v>35</v>
      </c>
      <c r="C4531" s="77" t="s">
        <v>92</v>
      </c>
      <c r="D4531" t="s">
        <v>81</v>
      </c>
      <c r="E4531" s="77" t="s">
        <v>101</v>
      </c>
      <c r="F4531" s="77" t="s">
        <v>73</v>
      </c>
      <c r="G4531" s="77" t="s">
        <v>74</v>
      </c>
      <c r="H4531" s="77" t="s">
        <v>113</v>
      </c>
      <c r="I4531" s="77" t="s">
        <v>84</v>
      </c>
      <c r="J4531" s="76" cm="1">
        <f t="array" ref="J4531:J4533">'SUT_EU27 total'!$S$100:$S$102</f>
        <v>0</v>
      </c>
    </row>
    <row r="4532" spans="1:10" x14ac:dyDescent="0.35">
      <c r="A4532" t="s">
        <v>15</v>
      </c>
      <c r="B4532" t="s">
        <v>35</v>
      </c>
      <c r="C4532" s="77" t="s">
        <v>92</v>
      </c>
      <c r="D4532" t="s">
        <v>81</v>
      </c>
      <c r="E4532" s="77" t="s">
        <v>104</v>
      </c>
      <c r="F4532" s="77" t="s">
        <v>73</v>
      </c>
      <c r="G4532" s="77" t="s">
        <v>74</v>
      </c>
      <c r="H4532" s="77" t="s">
        <v>113</v>
      </c>
      <c r="I4532" s="77" t="s">
        <v>84</v>
      </c>
      <c r="J4532" s="76">
        <v>0</v>
      </c>
    </row>
    <row r="4533" spans="1:10" x14ac:dyDescent="0.35">
      <c r="A4533" t="s">
        <v>15</v>
      </c>
      <c r="B4533" t="s">
        <v>35</v>
      </c>
      <c r="C4533" s="77" t="s">
        <v>92</v>
      </c>
      <c r="D4533" t="s">
        <v>81</v>
      </c>
      <c r="E4533" s="77" t="s">
        <v>106</v>
      </c>
      <c r="F4533" s="77" t="s">
        <v>73</v>
      </c>
      <c r="G4533" s="77" t="s">
        <v>74</v>
      </c>
      <c r="H4533" s="77" t="s">
        <v>113</v>
      </c>
      <c r="I4533" s="77" t="s">
        <v>84</v>
      </c>
      <c r="J4533" s="76">
        <v>0</v>
      </c>
    </row>
    <row r="4534" spans="1:10" x14ac:dyDescent="0.35">
      <c r="A4534" t="s">
        <v>15</v>
      </c>
      <c r="B4534" t="s">
        <v>35</v>
      </c>
      <c r="C4534" s="77" t="s">
        <v>93</v>
      </c>
      <c r="D4534" t="s">
        <v>81</v>
      </c>
      <c r="E4534" s="77" t="s">
        <v>131</v>
      </c>
      <c r="F4534" s="77" t="s">
        <v>73</v>
      </c>
      <c r="G4534" s="77" t="s">
        <v>74</v>
      </c>
      <c r="H4534" s="77" t="s">
        <v>113</v>
      </c>
      <c r="I4534" s="77" t="s">
        <v>84</v>
      </c>
      <c r="J4534" s="76">
        <f>'SUT_EU27 total'!$S$109</f>
        <v>0</v>
      </c>
    </row>
    <row r="4535" spans="1:10" x14ac:dyDescent="0.35">
      <c r="A4535" t="s">
        <v>15</v>
      </c>
      <c r="B4535" t="s">
        <v>35</v>
      </c>
      <c r="C4535" s="77" t="s">
        <v>93</v>
      </c>
      <c r="D4535" t="s">
        <v>81</v>
      </c>
      <c r="E4535" s="77" t="s">
        <v>101</v>
      </c>
      <c r="F4535" s="77" t="s">
        <v>73</v>
      </c>
      <c r="G4535" s="77" t="s">
        <v>74</v>
      </c>
      <c r="H4535" s="77" t="s">
        <v>113</v>
      </c>
      <c r="I4535" s="77" t="s">
        <v>84</v>
      </c>
      <c r="J4535" s="76" cm="1">
        <f t="array" ref="J4535:J4537">'SUT_EU27 total'!$S$117:$S$119</f>
        <v>0</v>
      </c>
    </row>
    <row r="4536" spans="1:10" x14ac:dyDescent="0.35">
      <c r="A4536" t="s">
        <v>15</v>
      </c>
      <c r="B4536" t="s">
        <v>35</v>
      </c>
      <c r="C4536" s="77" t="s">
        <v>93</v>
      </c>
      <c r="D4536" t="s">
        <v>81</v>
      </c>
      <c r="E4536" s="77" t="s">
        <v>104</v>
      </c>
      <c r="F4536" s="77" t="s">
        <v>73</v>
      </c>
      <c r="G4536" s="77" t="s">
        <v>74</v>
      </c>
      <c r="H4536" s="77" t="s">
        <v>113</v>
      </c>
      <c r="I4536" s="77" t="s">
        <v>84</v>
      </c>
      <c r="J4536" s="76">
        <v>0</v>
      </c>
    </row>
    <row r="4537" spans="1:10" x14ac:dyDescent="0.35">
      <c r="A4537" t="s">
        <v>15</v>
      </c>
      <c r="B4537" t="s">
        <v>35</v>
      </c>
      <c r="C4537" s="77" t="s">
        <v>93</v>
      </c>
      <c r="D4537" t="s">
        <v>81</v>
      </c>
      <c r="E4537" s="77" t="s">
        <v>106</v>
      </c>
      <c r="F4537" s="77" t="s">
        <v>73</v>
      </c>
      <c r="G4537" s="77" t="s">
        <v>74</v>
      </c>
      <c r="H4537" s="77" t="s">
        <v>113</v>
      </c>
      <c r="I4537" s="77" t="s">
        <v>84</v>
      </c>
      <c r="J4537" s="76">
        <v>0</v>
      </c>
    </row>
    <row r="4538" spans="1:10" x14ac:dyDescent="0.35">
      <c r="A4538" t="s">
        <v>15</v>
      </c>
      <c r="B4538" t="s">
        <v>35</v>
      </c>
      <c r="C4538" s="77" t="s">
        <v>73</v>
      </c>
      <c r="D4538" t="s">
        <v>74</v>
      </c>
      <c r="E4538" s="77" t="s">
        <v>123</v>
      </c>
      <c r="F4538" s="77" t="s">
        <v>73</v>
      </c>
      <c r="G4538" s="77" t="s">
        <v>81</v>
      </c>
      <c r="H4538" s="77" t="s">
        <v>115</v>
      </c>
      <c r="I4538" s="77" t="s">
        <v>84</v>
      </c>
      <c r="J4538" s="76" cm="1">
        <f t="array" ref="J4538:J4544">TRANSPOSE('2030 pathways'!$C$10:$I$10)</f>
        <v>0.1003</v>
      </c>
    </row>
    <row r="4539" spans="1:10" x14ac:dyDescent="0.35">
      <c r="A4539" t="s">
        <v>15</v>
      </c>
      <c r="B4539" t="s">
        <v>35</v>
      </c>
      <c r="C4539" s="77" t="s">
        <v>73</v>
      </c>
      <c r="D4539" t="s">
        <v>74</v>
      </c>
      <c r="E4539" s="77" t="s">
        <v>127</v>
      </c>
      <c r="F4539" s="77" t="s">
        <v>73</v>
      </c>
      <c r="G4539" s="77" t="s">
        <v>81</v>
      </c>
      <c r="H4539" s="77" t="s">
        <v>115</v>
      </c>
      <c r="I4539" s="77" t="s">
        <v>84</v>
      </c>
      <c r="J4539" s="76">
        <v>2.9499999999999998E-2</v>
      </c>
    </row>
    <row r="4540" spans="1:10" x14ac:dyDescent="0.35">
      <c r="A4540" t="s">
        <v>15</v>
      </c>
      <c r="B4540" t="s">
        <v>35</v>
      </c>
      <c r="C4540" s="77" t="s">
        <v>73</v>
      </c>
      <c r="D4540" t="s">
        <v>74</v>
      </c>
      <c r="E4540" s="77" t="s">
        <v>128</v>
      </c>
      <c r="F4540" s="77" t="s">
        <v>73</v>
      </c>
      <c r="G4540" s="77" t="s">
        <v>81</v>
      </c>
      <c r="H4540" s="77" t="s">
        <v>115</v>
      </c>
      <c r="I4540" s="77" t="s">
        <v>84</v>
      </c>
      <c r="J4540" s="76">
        <v>8.8499999999999995E-2</v>
      </c>
    </row>
    <row r="4541" spans="1:10" x14ac:dyDescent="0.35">
      <c r="A4541" t="s">
        <v>15</v>
      </c>
      <c r="B4541" t="s">
        <v>35</v>
      </c>
      <c r="C4541" s="77" t="s">
        <v>73</v>
      </c>
      <c r="D4541" t="s">
        <v>74</v>
      </c>
      <c r="E4541" s="77" t="s">
        <v>129</v>
      </c>
      <c r="F4541" s="77" t="s">
        <v>73</v>
      </c>
      <c r="G4541" s="77" t="s">
        <v>81</v>
      </c>
      <c r="H4541" s="77" t="s">
        <v>115</v>
      </c>
      <c r="I4541" s="77" t="s">
        <v>84</v>
      </c>
      <c r="J4541" s="76">
        <v>5.8999999999999999E-3</v>
      </c>
    </row>
    <row r="4542" spans="1:10" x14ac:dyDescent="0.35">
      <c r="A4542" t="s">
        <v>15</v>
      </c>
      <c r="B4542" t="s">
        <v>35</v>
      </c>
      <c r="C4542" s="77" t="s">
        <v>73</v>
      </c>
      <c r="D4542" t="s">
        <v>74</v>
      </c>
      <c r="E4542" s="77" t="s">
        <v>77</v>
      </c>
      <c r="F4542" s="77" t="s">
        <v>73</v>
      </c>
      <c r="G4542" s="77" t="s">
        <v>81</v>
      </c>
      <c r="H4542" s="77" t="s">
        <v>115</v>
      </c>
      <c r="I4542" s="77" t="s">
        <v>84</v>
      </c>
      <c r="J4542" s="76">
        <v>5.8999999999999999E-3</v>
      </c>
    </row>
    <row r="4543" spans="1:10" x14ac:dyDescent="0.35">
      <c r="A4543" t="s">
        <v>15</v>
      </c>
      <c r="B4543" t="s">
        <v>35</v>
      </c>
      <c r="C4543" s="77" t="s">
        <v>73</v>
      </c>
      <c r="D4543" t="s">
        <v>74</v>
      </c>
      <c r="E4543" s="77" t="s">
        <v>130</v>
      </c>
      <c r="F4543" s="77" t="s">
        <v>73</v>
      </c>
      <c r="G4543" s="77" t="s">
        <v>81</v>
      </c>
      <c r="H4543" s="77" t="s">
        <v>115</v>
      </c>
      <c r="I4543" s="77" t="s">
        <v>84</v>
      </c>
      <c r="J4543" s="76">
        <v>0.3599</v>
      </c>
    </row>
    <row r="4544" spans="1:10" x14ac:dyDescent="0.35">
      <c r="A4544" t="s">
        <v>15</v>
      </c>
      <c r="B4544" t="s">
        <v>35</v>
      </c>
      <c r="C4544" s="77" t="s">
        <v>73</v>
      </c>
      <c r="D4544" t="s">
        <v>74</v>
      </c>
      <c r="E4544" s="77" t="s">
        <v>132</v>
      </c>
      <c r="F4544" s="77" t="s">
        <v>73</v>
      </c>
      <c r="G4544" s="77" t="s">
        <v>81</v>
      </c>
      <c r="H4544" s="77" t="s">
        <v>115</v>
      </c>
      <c r="I4544" s="77" t="s">
        <v>84</v>
      </c>
      <c r="J4544" s="76">
        <v>0.41</v>
      </c>
    </row>
    <row r="4545" spans="1:10" x14ac:dyDescent="0.35">
      <c r="A4545" t="s">
        <v>15</v>
      </c>
      <c r="B4545" t="s">
        <v>35</v>
      </c>
      <c r="C4545" s="77" t="s">
        <v>73</v>
      </c>
      <c r="D4545" t="s">
        <v>74</v>
      </c>
      <c r="E4545" s="77" t="s">
        <v>133</v>
      </c>
      <c r="F4545" s="77" t="s">
        <v>73</v>
      </c>
      <c r="G4545" s="77" t="s">
        <v>81</v>
      </c>
      <c r="H4545" s="77" t="s">
        <v>115</v>
      </c>
      <c r="I4545" s="77" t="s">
        <v>84</v>
      </c>
      <c r="J4545" s="76">
        <v>0</v>
      </c>
    </row>
    <row r="4546" spans="1:10" x14ac:dyDescent="0.35">
      <c r="A4546" s="469" t="s">
        <v>15</v>
      </c>
      <c r="B4546" s="469" t="s">
        <v>37</v>
      </c>
      <c r="C4546" s="480" t="s">
        <v>73</v>
      </c>
      <c r="D4546" s="469" t="s">
        <v>81</v>
      </c>
      <c r="E4546" s="480" t="s">
        <v>115</v>
      </c>
      <c r="F4546" s="480" t="s">
        <v>73</v>
      </c>
      <c r="G4546" s="480" t="s">
        <v>74</v>
      </c>
      <c r="H4546" s="480" t="s">
        <v>102</v>
      </c>
      <c r="I4546" s="480" t="s">
        <v>84</v>
      </c>
      <c r="J4546" s="481" cm="1">
        <f t="array" ref="J4546:J4547">'SUT_EU27 total'!$J$19:$J$20</f>
        <v>11.828571428571427</v>
      </c>
    </row>
    <row r="4547" spans="1:10" x14ac:dyDescent="0.35">
      <c r="A4547" t="s">
        <v>15</v>
      </c>
      <c r="B4547" t="s">
        <v>37</v>
      </c>
      <c r="C4547" s="77" t="s">
        <v>73</v>
      </c>
      <c r="D4547" t="s">
        <v>81</v>
      </c>
      <c r="E4547" s="77" t="s">
        <v>116</v>
      </c>
      <c r="F4547" s="77" t="s">
        <v>73</v>
      </c>
      <c r="G4547" s="77" t="s">
        <v>74</v>
      </c>
      <c r="H4547" s="77" t="s">
        <v>102</v>
      </c>
      <c r="I4547" s="77" t="s">
        <v>84</v>
      </c>
      <c r="J4547" s="76">
        <v>3.3421988920214002E-2</v>
      </c>
    </row>
    <row r="4548" spans="1:10" x14ac:dyDescent="0.35">
      <c r="A4548" t="s">
        <v>15</v>
      </c>
      <c r="B4548" t="s">
        <v>37</v>
      </c>
      <c r="C4548" s="77" t="s">
        <v>73</v>
      </c>
      <c r="D4548" t="s">
        <v>81</v>
      </c>
      <c r="E4548" s="77" t="s">
        <v>117</v>
      </c>
      <c r="F4548" s="77" t="s">
        <v>73</v>
      </c>
      <c r="G4548" s="77" t="s">
        <v>74</v>
      </c>
      <c r="H4548" s="77" t="s">
        <v>102</v>
      </c>
      <c r="I4548" s="77" t="s">
        <v>84</v>
      </c>
      <c r="J4548" s="76">
        <f>'SUT_EU27 total'!$J$27</f>
        <v>20.996100000000002</v>
      </c>
    </row>
    <row r="4549" spans="1:10" x14ac:dyDescent="0.35">
      <c r="A4549" t="s">
        <v>15</v>
      </c>
      <c r="B4549" t="s">
        <v>37</v>
      </c>
      <c r="C4549" s="77" t="s">
        <v>73</v>
      </c>
      <c r="D4549" t="s">
        <v>81</v>
      </c>
      <c r="E4549" s="77" t="s">
        <v>101</v>
      </c>
      <c r="F4549" s="77" t="s">
        <v>73</v>
      </c>
      <c r="G4549" s="77" t="s">
        <v>74</v>
      </c>
      <c r="H4549" s="77" t="s">
        <v>102</v>
      </c>
      <c r="I4549" s="77" t="s">
        <v>84</v>
      </c>
      <c r="J4549" s="76" cm="1">
        <f t="array" ref="J4549:J4551">'SUT_EU27 total'!$J$32:$J$34</f>
        <v>0.13437998483817604</v>
      </c>
    </row>
    <row r="4550" spans="1:10" x14ac:dyDescent="0.35">
      <c r="A4550" t="s">
        <v>15</v>
      </c>
      <c r="B4550" t="s">
        <v>37</v>
      </c>
      <c r="C4550" s="77" t="s">
        <v>73</v>
      </c>
      <c r="D4550" t="s">
        <v>81</v>
      </c>
      <c r="E4550" s="77" t="s">
        <v>104</v>
      </c>
      <c r="F4550" s="77" t="s">
        <v>73</v>
      </c>
      <c r="G4550" s="77" t="s">
        <v>74</v>
      </c>
      <c r="H4550" s="77" t="s">
        <v>102</v>
      </c>
      <c r="I4550" s="77" t="s">
        <v>84</v>
      </c>
      <c r="J4550" s="76">
        <v>0.25443647306582401</v>
      </c>
    </row>
    <row r="4551" spans="1:10" x14ac:dyDescent="0.35">
      <c r="A4551" t="s">
        <v>15</v>
      </c>
      <c r="B4551" t="s">
        <v>37</v>
      </c>
      <c r="C4551" s="77" t="s">
        <v>73</v>
      </c>
      <c r="D4551" t="s">
        <v>81</v>
      </c>
      <c r="E4551" s="77" t="s">
        <v>106</v>
      </c>
      <c r="F4551" s="77" t="s">
        <v>73</v>
      </c>
      <c r="G4551" s="77" t="s">
        <v>74</v>
      </c>
      <c r="H4551" s="77" t="s">
        <v>102</v>
      </c>
      <c r="I4551" s="77" t="s">
        <v>84</v>
      </c>
      <c r="J4551" s="76">
        <v>0.86543018049599985</v>
      </c>
    </row>
    <row r="4552" spans="1:10" x14ac:dyDescent="0.35">
      <c r="A4552" t="s">
        <v>15</v>
      </c>
      <c r="B4552" t="s">
        <v>37</v>
      </c>
      <c r="C4552" s="77" t="s">
        <v>88</v>
      </c>
      <c r="D4552" t="s">
        <v>81</v>
      </c>
      <c r="E4552" s="77" t="s">
        <v>115</v>
      </c>
      <c r="F4552" s="77" t="s">
        <v>73</v>
      </c>
      <c r="G4552" s="77" t="s">
        <v>74</v>
      </c>
      <c r="H4552" s="77" t="s">
        <v>102</v>
      </c>
      <c r="I4552" s="77" t="s">
        <v>84</v>
      </c>
      <c r="J4552" s="76" cm="1">
        <f t="array" ref="J4552:J4553">'SUT_EU27 total'!$J$36:$J$37</f>
        <v>78.857142857142847</v>
      </c>
    </row>
    <row r="4553" spans="1:10" x14ac:dyDescent="0.35">
      <c r="A4553" t="s">
        <v>15</v>
      </c>
      <c r="B4553" t="s">
        <v>37</v>
      </c>
      <c r="C4553" s="77" t="s">
        <v>88</v>
      </c>
      <c r="D4553" t="s">
        <v>81</v>
      </c>
      <c r="E4553" s="77" t="s">
        <v>116</v>
      </c>
      <c r="F4553" s="77" t="s">
        <v>73</v>
      </c>
      <c r="G4553" s="77" t="s">
        <v>74</v>
      </c>
      <c r="H4553" s="77" t="s">
        <v>102</v>
      </c>
      <c r="I4553" s="77" t="s">
        <v>84</v>
      </c>
      <c r="J4553" s="76">
        <v>0.7862213561563367</v>
      </c>
    </row>
    <row r="4554" spans="1:10" x14ac:dyDescent="0.35">
      <c r="A4554" t="s">
        <v>15</v>
      </c>
      <c r="B4554" t="s">
        <v>37</v>
      </c>
      <c r="C4554" s="77" t="s">
        <v>88</v>
      </c>
      <c r="D4554" t="s">
        <v>81</v>
      </c>
      <c r="E4554" s="77" t="s">
        <v>117</v>
      </c>
      <c r="F4554" s="77" t="s">
        <v>73</v>
      </c>
      <c r="G4554" s="77" t="s">
        <v>74</v>
      </c>
      <c r="H4554" s="77" t="s">
        <v>102</v>
      </c>
      <c r="I4554" s="77" t="s">
        <v>84</v>
      </c>
      <c r="J4554" s="76">
        <f>'SUT_EU27 total'!$J$44</f>
        <v>286.26390000000004</v>
      </c>
    </row>
    <row r="4555" spans="1:10" x14ac:dyDescent="0.35">
      <c r="A4555" t="s">
        <v>15</v>
      </c>
      <c r="B4555" t="s">
        <v>37</v>
      </c>
      <c r="C4555" s="77" t="s">
        <v>88</v>
      </c>
      <c r="D4555" t="s">
        <v>81</v>
      </c>
      <c r="E4555" s="77" t="s">
        <v>101</v>
      </c>
      <c r="F4555" s="77" t="s">
        <v>73</v>
      </c>
      <c r="G4555" s="77" t="s">
        <v>74</v>
      </c>
      <c r="H4555" s="77" t="s">
        <v>102</v>
      </c>
      <c r="I4555" s="77" t="s">
        <v>84</v>
      </c>
      <c r="J4555" s="76" cm="1">
        <f t="array" ref="J4555:J4557">'SUT_EU27 total'!$J$49:$J$51</f>
        <v>0</v>
      </c>
    </row>
    <row r="4556" spans="1:10" x14ac:dyDescent="0.35">
      <c r="A4556" t="s">
        <v>15</v>
      </c>
      <c r="B4556" t="s">
        <v>37</v>
      </c>
      <c r="C4556" s="77" t="s">
        <v>88</v>
      </c>
      <c r="D4556" t="s">
        <v>81</v>
      </c>
      <c r="E4556" s="77" t="s">
        <v>104</v>
      </c>
      <c r="F4556" s="77" t="s">
        <v>73</v>
      </c>
      <c r="G4556" s="77" t="s">
        <v>74</v>
      </c>
      <c r="H4556" s="77" t="s">
        <v>102</v>
      </c>
      <c r="I4556" s="77" t="s">
        <v>84</v>
      </c>
      <c r="J4556" s="76">
        <v>0</v>
      </c>
    </row>
    <row r="4557" spans="1:10" x14ac:dyDescent="0.35">
      <c r="A4557" t="s">
        <v>15</v>
      </c>
      <c r="B4557" t="s">
        <v>37</v>
      </c>
      <c r="C4557" s="77" t="s">
        <v>88</v>
      </c>
      <c r="D4557" t="s">
        <v>81</v>
      </c>
      <c r="E4557" s="77" t="s">
        <v>106</v>
      </c>
      <c r="F4557" s="77" t="s">
        <v>73</v>
      </c>
      <c r="G4557" s="77" t="s">
        <v>74</v>
      </c>
      <c r="H4557" s="77" t="s">
        <v>102</v>
      </c>
      <c r="I4557" s="77" t="s">
        <v>84</v>
      </c>
      <c r="J4557" s="76">
        <v>0</v>
      </c>
    </row>
    <row r="4558" spans="1:10" x14ac:dyDescent="0.35">
      <c r="A4558" t="s">
        <v>15</v>
      </c>
      <c r="B4558" t="s">
        <v>37</v>
      </c>
      <c r="C4558" s="77" t="s">
        <v>90</v>
      </c>
      <c r="D4558" t="s">
        <v>81</v>
      </c>
      <c r="E4558" s="77" t="s">
        <v>115</v>
      </c>
      <c r="F4558" s="77" t="s">
        <v>73</v>
      </c>
      <c r="G4558" s="77" t="s">
        <v>74</v>
      </c>
      <c r="H4558" s="77" t="s">
        <v>102</v>
      </c>
      <c r="I4558" s="77" t="s">
        <v>84</v>
      </c>
      <c r="J4558" s="76" cm="1">
        <f t="array" ref="J4558:J4559">'SUT_EU27 total'!$J$53:$J$54</f>
        <v>7.7904761904761894</v>
      </c>
    </row>
    <row r="4559" spans="1:10" x14ac:dyDescent="0.35">
      <c r="A4559" t="s">
        <v>15</v>
      </c>
      <c r="B4559" t="s">
        <v>37</v>
      </c>
      <c r="C4559" s="77" t="s">
        <v>90</v>
      </c>
      <c r="D4559" t="s">
        <v>81</v>
      </c>
      <c r="E4559" s="77" t="s">
        <v>116</v>
      </c>
      <c r="F4559" s="77" t="s">
        <v>73</v>
      </c>
      <c r="G4559" s="77" t="s">
        <v>74</v>
      </c>
      <c r="H4559" s="77" t="s">
        <v>102</v>
      </c>
      <c r="I4559" s="77" t="s">
        <v>84</v>
      </c>
      <c r="J4559" s="76">
        <v>1.5473889063756709E-2</v>
      </c>
    </row>
    <row r="4560" spans="1:10" x14ac:dyDescent="0.35">
      <c r="A4560" t="s">
        <v>15</v>
      </c>
      <c r="B4560" t="s">
        <v>37</v>
      </c>
      <c r="C4560" s="77" t="s">
        <v>90</v>
      </c>
      <c r="D4560" t="s">
        <v>81</v>
      </c>
      <c r="E4560" s="77" t="s">
        <v>117</v>
      </c>
      <c r="F4560" s="77" t="s">
        <v>73</v>
      </c>
      <c r="G4560" s="77" t="s">
        <v>74</v>
      </c>
      <c r="H4560" s="77" t="s">
        <v>102</v>
      </c>
      <c r="I4560" s="77" t="s">
        <v>84</v>
      </c>
      <c r="J4560" s="76">
        <f>'SUT_EU27 total'!$J$61</f>
        <v>11.2662</v>
      </c>
    </row>
    <row r="4561" spans="1:10" x14ac:dyDescent="0.35">
      <c r="A4561" t="s">
        <v>15</v>
      </c>
      <c r="B4561" t="s">
        <v>37</v>
      </c>
      <c r="C4561" s="77" t="s">
        <v>90</v>
      </c>
      <c r="D4561" t="s">
        <v>81</v>
      </c>
      <c r="E4561" s="77" t="s">
        <v>101</v>
      </c>
      <c r="F4561" s="77" t="s">
        <v>73</v>
      </c>
      <c r="G4561" s="77" t="s">
        <v>74</v>
      </c>
      <c r="H4561" s="77" t="s">
        <v>102</v>
      </c>
      <c r="I4561" s="77" t="s">
        <v>84</v>
      </c>
      <c r="J4561" s="76" cm="1">
        <f t="array" ref="J4561:J4563">'SUT_EU27 total'!$J$66:$J$68</f>
        <v>0</v>
      </c>
    </row>
    <row r="4562" spans="1:10" x14ac:dyDescent="0.35">
      <c r="A4562" t="s">
        <v>15</v>
      </c>
      <c r="B4562" t="s">
        <v>37</v>
      </c>
      <c r="C4562" s="77" t="s">
        <v>90</v>
      </c>
      <c r="D4562" t="s">
        <v>81</v>
      </c>
      <c r="E4562" s="77" t="s">
        <v>104</v>
      </c>
      <c r="F4562" s="77" t="s">
        <v>73</v>
      </c>
      <c r="G4562" s="77" t="s">
        <v>74</v>
      </c>
      <c r="H4562" s="77" t="s">
        <v>102</v>
      </c>
      <c r="I4562" s="77" t="s">
        <v>84</v>
      </c>
      <c r="J4562" s="76">
        <v>0</v>
      </c>
    </row>
    <row r="4563" spans="1:10" x14ac:dyDescent="0.35">
      <c r="A4563" t="s">
        <v>15</v>
      </c>
      <c r="B4563" t="s">
        <v>37</v>
      </c>
      <c r="C4563" s="77" t="s">
        <v>90</v>
      </c>
      <c r="D4563" t="s">
        <v>81</v>
      </c>
      <c r="E4563" s="77" t="s">
        <v>106</v>
      </c>
      <c r="F4563" s="77" t="s">
        <v>73</v>
      </c>
      <c r="G4563" s="77" t="s">
        <v>74</v>
      </c>
      <c r="H4563" s="77" t="s">
        <v>102</v>
      </c>
      <c r="I4563" s="77" t="s">
        <v>84</v>
      </c>
      <c r="J4563" s="76">
        <v>0</v>
      </c>
    </row>
    <row r="4564" spans="1:10" x14ac:dyDescent="0.35">
      <c r="A4564" t="s">
        <v>15</v>
      </c>
      <c r="B4564" t="s">
        <v>37</v>
      </c>
      <c r="C4564" s="77" t="s">
        <v>91</v>
      </c>
      <c r="D4564" t="s">
        <v>81</v>
      </c>
      <c r="E4564" s="77" t="s">
        <v>115</v>
      </c>
      <c r="F4564" s="77" t="s">
        <v>73</v>
      </c>
      <c r="G4564" s="77" t="s">
        <v>74</v>
      </c>
      <c r="H4564" s="77" t="s">
        <v>102</v>
      </c>
      <c r="I4564" s="77" t="s">
        <v>84</v>
      </c>
      <c r="J4564" s="76" cm="1">
        <f t="array" ref="J4564:J4565">'SUT_EU27 total'!$J$70:$J$71</f>
        <v>15.771428571428569</v>
      </c>
    </row>
    <row r="4565" spans="1:10" x14ac:dyDescent="0.35">
      <c r="A4565" t="s">
        <v>15</v>
      </c>
      <c r="B4565" t="s">
        <v>37</v>
      </c>
      <c r="C4565" s="77" t="s">
        <v>91</v>
      </c>
      <c r="D4565" t="s">
        <v>81</v>
      </c>
      <c r="E4565" s="77" t="s">
        <v>116</v>
      </c>
      <c r="F4565" s="77" t="s">
        <v>73</v>
      </c>
      <c r="G4565" s="77" t="s">
        <v>74</v>
      </c>
      <c r="H4565" s="77" t="s">
        <v>102</v>
      </c>
      <c r="I4565" s="77" t="s">
        <v>84</v>
      </c>
      <c r="J4565" s="76">
        <v>8.7507175559917313E-2</v>
      </c>
    </row>
    <row r="4566" spans="1:10" x14ac:dyDescent="0.35">
      <c r="A4566" t="s">
        <v>15</v>
      </c>
      <c r="B4566" t="s">
        <v>37</v>
      </c>
      <c r="C4566" s="77" t="s">
        <v>91</v>
      </c>
      <c r="D4566" t="s">
        <v>81</v>
      </c>
      <c r="E4566" s="77" t="s">
        <v>117</v>
      </c>
      <c r="F4566" s="77" t="s">
        <v>73</v>
      </c>
      <c r="G4566" s="77" t="s">
        <v>74</v>
      </c>
      <c r="H4566" s="77" t="s">
        <v>102</v>
      </c>
      <c r="I4566" s="77" t="s">
        <v>84</v>
      </c>
      <c r="J4566" s="76">
        <f>'SUT_EU27 total'!$J$78</f>
        <v>41.4801</v>
      </c>
    </row>
    <row r="4567" spans="1:10" x14ac:dyDescent="0.35">
      <c r="A4567" t="s">
        <v>15</v>
      </c>
      <c r="B4567" t="s">
        <v>37</v>
      </c>
      <c r="C4567" s="77" t="s">
        <v>91</v>
      </c>
      <c r="D4567" t="s">
        <v>81</v>
      </c>
      <c r="E4567" s="77" t="s">
        <v>101</v>
      </c>
      <c r="F4567" s="77" t="s">
        <v>73</v>
      </c>
      <c r="G4567" s="77" t="s">
        <v>74</v>
      </c>
      <c r="H4567" s="77" t="s">
        <v>102</v>
      </c>
      <c r="I4567" s="77" t="s">
        <v>84</v>
      </c>
      <c r="J4567" s="76" cm="1">
        <f t="array" ref="J4567:J4569">'SUT_EU27 total'!$J$83:$J$85</f>
        <v>0</v>
      </c>
    </row>
    <row r="4568" spans="1:10" x14ac:dyDescent="0.35">
      <c r="A4568" t="s">
        <v>15</v>
      </c>
      <c r="B4568" t="s">
        <v>37</v>
      </c>
      <c r="C4568" s="77" t="s">
        <v>91</v>
      </c>
      <c r="D4568" t="s">
        <v>81</v>
      </c>
      <c r="E4568" s="77" t="s">
        <v>104</v>
      </c>
      <c r="F4568" s="77" t="s">
        <v>73</v>
      </c>
      <c r="G4568" s="77" t="s">
        <v>74</v>
      </c>
      <c r="H4568" s="77" t="s">
        <v>102</v>
      </c>
      <c r="I4568" s="77" t="s">
        <v>84</v>
      </c>
      <c r="J4568" s="76">
        <v>0</v>
      </c>
    </row>
    <row r="4569" spans="1:10" x14ac:dyDescent="0.35">
      <c r="A4569" t="s">
        <v>15</v>
      </c>
      <c r="B4569" t="s">
        <v>37</v>
      </c>
      <c r="C4569" s="77" t="s">
        <v>91</v>
      </c>
      <c r="D4569" t="s">
        <v>81</v>
      </c>
      <c r="E4569" s="77" t="s">
        <v>106</v>
      </c>
      <c r="F4569" s="77" t="s">
        <v>73</v>
      </c>
      <c r="G4569" s="77" t="s">
        <v>74</v>
      </c>
      <c r="H4569" s="77" t="s">
        <v>102</v>
      </c>
      <c r="I4569" s="77" t="s">
        <v>84</v>
      </c>
      <c r="J4569" s="76">
        <v>0</v>
      </c>
    </row>
    <row r="4570" spans="1:10" x14ac:dyDescent="0.35">
      <c r="A4570" t="s">
        <v>15</v>
      </c>
      <c r="B4570" t="s">
        <v>37</v>
      </c>
      <c r="C4570" s="77" t="s">
        <v>92</v>
      </c>
      <c r="D4570" t="s">
        <v>81</v>
      </c>
      <c r="E4570" s="77" t="s">
        <v>115</v>
      </c>
      <c r="F4570" s="77" t="s">
        <v>73</v>
      </c>
      <c r="G4570" s="77" t="s">
        <v>74</v>
      </c>
      <c r="H4570" s="77" t="s">
        <v>102</v>
      </c>
      <c r="I4570" s="77" t="s">
        <v>84</v>
      </c>
      <c r="J4570" s="76" cm="1">
        <f t="array" ref="J4570:J4571">'SUT_EU27 total'!$J$87:$J$88</f>
        <v>6.6239999999999997</v>
      </c>
    </row>
    <row r="4571" spans="1:10" x14ac:dyDescent="0.35">
      <c r="A4571" t="s">
        <v>15</v>
      </c>
      <c r="B4571" t="s">
        <v>37</v>
      </c>
      <c r="C4571" s="77" t="s">
        <v>92</v>
      </c>
      <c r="D4571" t="s">
        <v>81</v>
      </c>
      <c r="E4571" s="77" t="s">
        <v>116</v>
      </c>
      <c r="F4571" s="77" t="s">
        <v>73</v>
      </c>
      <c r="G4571" s="77" t="s">
        <v>74</v>
      </c>
      <c r="H4571" s="77" t="s">
        <v>102</v>
      </c>
      <c r="I4571" s="77" t="s">
        <v>84</v>
      </c>
      <c r="J4571" s="76">
        <v>6.0040746268656714E-2</v>
      </c>
    </row>
    <row r="4572" spans="1:10" x14ac:dyDescent="0.35">
      <c r="A4572" t="s">
        <v>15</v>
      </c>
      <c r="B4572" t="s">
        <v>37</v>
      </c>
      <c r="C4572" s="77" t="s">
        <v>92</v>
      </c>
      <c r="D4572" t="s">
        <v>81</v>
      </c>
      <c r="E4572" s="77" t="s">
        <v>117</v>
      </c>
      <c r="F4572" s="77" t="s">
        <v>73</v>
      </c>
      <c r="G4572" s="77" t="s">
        <v>74</v>
      </c>
      <c r="H4572" s="77" t="s">
        <v>102</v>
      </c>
      <c r="I4572" s="77" t="s">
        <v>84</v>
      </c>
      <c r="J4572" s="76">
        <f>'SUT_EU27 total'!$J$95</f>
        <v>13.3146</v>
      </c>
    </row>
    <row r="4573" spans="1:10" x14ac:dyDescent="0.35">
      <c r="A4573" t="s">
        <v>15</v>
      </c>
      <c r="B4573" t="s">
        <v>37</v>
      </c>
      <c r="C4573" s="77" t="s">
        <v>92</v>
      </c>
      <c r="D4573" t="s">
        <v>81</v>
      </c>
      <c r="E4573" s="77" t="s">
        <v>101</v>
      </c>
      <c r="F4573" s="77" t="s">
        <v>73</v>
      </c>
      <c r="G4573" s="77" t="s">
        <v>74</v>
      </c>
      <c r="H4573" s="77" t="s">
        <v>102</v>
      </c>
      <c r="I4573" s="77" t="s">
        <v>84</v>
      </c>
      <c r="J4573" s="76" cm="1">
        <f t="array" ref="J4573:J4575">'SUT_EU27 total'!$J$100:$J$102</f>
        <v>0</v>
      </c>
    </row>
    <row r="4574" spans="1:10" x14ac:dyDescent="0.35">
      <c r="A4574" t="s">
        <v>15</v>
      </c>
      <c r="B4574" t="s">
        <v>37</v>
      </c>
      <c r="C4574" s="77" t="s">
        <v>92</v>
      </c>
      <c r="D4574" t="s">
        <v>81</v>
      </c>
      <c r="E4574" s="77" t="s">
        <v>104</v>
      </c>
      <c r="F4574" s="77" t="s">
        <v>73</v>
      </c>
      <c r="G4574" s="77" t="s">
        <v>74</v>
      </c>
      <c r="H4574" s="77" t="s">
        <v>102</v>
      </c>
      <c r="I4574" s="77" t="s">
        <v>84</v>
      </c>
      <c r="J4574" s="76">
        <v>0</v>
      </c>
    </row>
    <row r="4575" spans="1:10" x14ac:dyDescent="0.35">
      <c r="A4575" t="s">
        <v>15</v>
      </c>
      <c r="B4575" t="s">
        <v>37</v>
      </c>
      <c r="C4575" s="77" t="s">
        <v>92</v>
      </c>
      <c r="D4575" t="s">
        <v>81</v>
      </c>
      <c r="E4575" s="77" t="s">
        <v>106</v>
      </c>
      <c r="F4575" s="77" t="s">
        <v>73</v>
      </c>
      <c r="G4575" s="77" t="s">
        <v>74</v>
      </c>
      <c r="H4575" s="77" t="s">
        <v>102</v>
      </c>
      <c r="I4575" s="77" t="s">
        <v>84</v>
      </c>
      <c r="J4575" s="76">
        <v>0</v>
      </c>
    </row>
    <row r="4576" spans="1:10" x14ac:dyDescent="0.35">
      <c r="A4576" t="s">
        <v>15</v>
      </c>
      <c r="B4576" t="s">
        <v>37</v>
      </c>
      <c r="C4576" s="77" t="s">
        <v>93</v>
      </c>
      <c r="D4576" t="s">
        <v>81</v>
      </c>
      <c r="E4576" s="77" t="s">
        <v>115</v>
      </c>
      <c r="F4576" s="77" t="s">
        <v>73</v>
      </c>
      <c r="G4576" s="77" t="s">
        <v>74</v>
      </c>
      <c r="H4576" s="77" t="s">
        <v>102</v>
      </c>
      <c r="I4576" s="77" t="s">
        <v>84</v>
      </c>
      <c r="J4576" s="76" cm="1">
        <f t="array" ref="J4576:J4577">'SUT_EU27 total'!$J$104:$J$105</f>
        <v>44.633142857142865</v>
      </c>
    </row>
    <row r="4577" spans="1:10" x14ac:dyDescent="0.35">
      <c r="A4577" t="s">
        <v>15</v>
      </c>
      <c r="B4577" t="s">
        <v>37</v>
      </c>
      <c r="C4577" s="77" t="s">
        <v>93</v>
      </c>
      <c r="D4577" t="s">
        <v>81</v>
      </c>
      <c r="E4577" s="77" t="s">
        <v>116</v>
      </c>
      <c r="F4577" s="77" t="s">
        <v>73</v>
      </c>
      <c r="G4577" s="77" t="s">
        <v>74</v>
      </c>
      <c r="H4577" s="77" t="s">
        <v>102</v>
      </c>
      <c r="I4577" s="77" t="s">
        <v>84</v>
      </c>
      <c r="J4577" s="76">
        <v>0.3673348440311186</v>
      </c>
    </row>
    <row r="4578" spans="1:10" x14ac:dyDescent="0.35">
      <c r="A4578" t="s">
        <v>15</v>
      </c>
      <c r="B4578" t="s">
        <v>37</v>
      </c>
      <c r="C4578" s="77" t="s">
        <v>93</v>
      </c>
      <c r="D4578" t="s">
        <v>81</v>
      </c>
      <c r="E4578" s="77" t="s">
        <v>117</v>
      </c>
      <c r="F4578" s="77" t="s">
        <v>73</v>
      </c>
      <c r="G4578" s="77" t="s">
        <v>74</v>
      </c>
      <c r="H4578" s="77" t="s">
        <v>102</v>
      </c>
      <c r="I4578" s="77" t="s">
        <v>84</v>
      </c>
      <c r="J4578" s="76">
        <f>'SUT_EU27 total'!$J$112</f>
        <v>138.77909999999997</v>
      </c>
    </row>
    <row r="4579" spans="1:10" x14ac:dyDescent="0.35">
      <c r="A4579" t="s">
        <v>15</v>
      </c>
      <c r="B4579" t="s">
        <v>37</v>
      </c>
      <c r="C4579" s="77" t="s">
        <v>93</v>
      </c>
      <c r="D4579" t="s">
        <v>81</v>
      </c>
      <c r="E4579" s="77" t="s">
        <v>101</v>
      </c>
      <c r="F4579" s="77" t="s">
        <v>73</v>
      </c>
      <c r="G4579" s="77" t="s">
        <v>74</v>
      </c>
      <c r="H4579" s="77" t="s">
        <v>102</v>
      </c>
      <c r="I4579" s="77" t="s">
        <v>84</v>
      </c>
      <c r="J4579" s="76" cm="1">
        <f t="array" ref="J4579:J4581">'SUT_EU27 total'!$J$117:$J$119</f>
        <v>0</v>
      </c>
    </row>
    <row r="4580" spans="1:10" x14ac:dyDescent="0.35">
      <c r="A4580" t="s">
        <v>15</v>
      </c>
      <c r="B4580" t="s">
        <v>37</v>
      </c>
      <c r="C4580" s="77" t="s">
        <v>93</v>
      </c>
      <c r="D4580" t="s">
        <v>81</v>
      </c>
      <c r="E4580" s="77" t="s">
        <v>104</v>
      </c>
      <c r="F4580" s="77" t="s">
        <v>73</v>
      </c>
      <c r="G4580" s="77" t="s">
        <v>74</v>
      </c>
      <c r="H4580" s="77" t="s">
        <v>102</v>
      </c>
      <c r="I4580" s="77" t="s">
        <v>84</v>
      </c>
      <c r="J4580" s="76">
        <v>0</v>
      </c>
    </row>
    <row r="4581" spans="1:10" x14ac:dyDescent="0.35">
      <c r="A4581" t="s">
        <v>15</v>
      </c>
      <c r="B4581" t="s">
        <v>37</v>
      </c>
      <c r="C4581" s="77" t="s">
        <v>93</v>
      </c>
      <c r="D4581" t="s">
        <v>81</v>
      </c>
      <c r="E4581" s="77" t="s">
        <v>106</v>
      </c>
      <c r="F4581" s="77" t="s">
        <v>73</v>
      </c>
      <c r="G4581" s="77" t="s">
        <v>74</v>
      </c>
      <c r="H4581" s="77" t="s">
        <v>102</v>
      </c>
      <c r="I4581" s="77" t="s">
        <v>84</v>
      </c>
      <c r="J4581" s="76">
        <v>0</v>
      </c>
    </row>
    <row r="4582" spans="1:10" x14ac:dyDescent="0.35">
      <c r="A4582" t="s">
        <v>15</v>
      </c>
      <c r="B4582" t="s">
        <v>37</v>
      </c>
      <c r="C4582" s="77" t="s">
        <v>73</v>
      </c>
      <c r="D4582" t="s">
        <v>81</v>
      </c>
      <c r="E4582" s="77" t="s">
        <v>118</v>
      </c>
      <c r="F4582" s="77" t="s">
        <v>73</v>
      </c>
      <c r="G4582" s="77" t="s">
        <v>74</v>
      </c>
      <c r="H4582" s="77" t="s">
        <v>108</v>
      </c>
      <c r="I4582" s="77" t="s">
        <v>84</v>
      </c>
      <c r="J4582" s="76" cm="1">
        <f t="array" ref="J4582:J4584">'SUT_EU27 total'!$K$21:$K$23</f>
        <v>1.4582562144772118E-3</v>
      </c>
    </row>
    <row r="4583" spans="1:10" x14ac:dyDescent="0.35">
      <c r="A4583" t="s">
        <v>15</v>
      </c>
      <c r="B4583" t="s">
        <v>37</v>
      </c>
      <c r="C4583" s="77" t="s">
        <v>73</v>
      </c>
      <c r="D4583" t="s">
        <v>81</v>
      </c>
      <c r="E4583" s="77" t="s">
        <v>119</v>
      </c>
      <c r="F4583" s="77" t="s">
        <v>73</v>
      </c>
      <c r="G4583" s="77" t="s">
        <v>74</v>
      </c>
      <c r="H4583" s="77" t="s">
        <v>108</v>
      </c>
      <c r="I4583" s="77" t="s">
        <v>84</v>
      </c>
      <c r="J4583" s="76">
        <v>8.4634636521458274E-4</v>
      </c>
    </row>
    <row r="4584" spans="1:10" x14ac:dyDescent="0.35">
      <c r="A4584" t="s">
        <v>15</v>
      </c>
      <c r="B4584" t="s">
        <v>37</v>
      </c>
      <c r="C4584" s="77" t="s">
        <v>73</v>
      </c>
      <c r="D4584" t="s">
        <v>81</v>
      </c>
      <c r="E4584" s="77" t="s">
        <v>120</v>
      </c>
      <c r="F4584" s="77" t="s">
        <v>73</v>
      </c>
      <c r="G4584" s="77" t="s">
        <v>74</v>
      </c>
      <c r="H4584" s="77" t="s">
        <v>108</v>
      </c>
      <c r="I4584" s="77" t="s">
        <v>84</v>
      </c>
      <c r="J4584" s="76">
        <v>1.2517329093179335E-4</v>
      </c>
    </row>
    <row r="4585" spans="1:10" x14ac:dyDescent="0.35">
      <c r="A4585" t="s">
        <v>15</v>
      </c>
      <c r="B4585" t="s">
        <v>37</v>
      </c>
      <c r="C4585" s="77" t="s">
        <v>73</v>
      </c>
      <c r="D4585" t="s">
        <v>81</v>
      </c>
      <c r="E4585" s="77" t="s">
        <v>121</v>
      </c>
      <c r="F4585" s="77" t="s">
        <v>73</v>
      </c>
      <c r="G4585" s="77" t="s">
        <v>74</v>
      </c>
      <c r="H4585" s="77" t="s">
        <v>108</v>
      </c>
      <c r="I4585" s="77" t="s">
        <v>84</v>
      </c>
      <c r="J4585" s="76">
        <f>'SUT_EU27 total'!$K$25</f>
        <v>6.9749679999999994E-2</v>
      </c>
    </row>
    <row r="4586" spans="1:10" x14ac:dyDescent="0.35">
      <c r="A4586" t="s">
        <v>15</v>
      </c>
      <c r="B4586" t="s">
        <v>37</v>
      </c>
      <c r="C4586" s="77" t="s">
        <v>73</v>
      </c>
      <c r="D4586" t="s">
        <v>81</v>
      </c>
      <c r="E4586" s="77" t="s">
        <v>117</v>
      </c>
      <c r="F4586" s="77" t="s">
        <v>73</v>
      </c>
      <c r="G4586" s="77" t="s">
        <v>74</v>
      </c>
      <c r="H4586" s="77" t="s">
        <v>108</v>
      </c>
      <c r="I4586" s="77" t="s">
        <v>84</v>
      </c>
      <c r="J4586" s="76">
        <f>'SUT_EU27 total'!$K$27</f>
        <v>1.1932942595726979E-3</v>
      </c>
    </row>
    <row r="4587" spans="1:10" x14ac:dyDescent="0.35">
      <c r="A4587" t="s">
        <v>15</v>
      </c>
      <c r="B4587" t="s">
        <v>37</v>
      </c>
      <c r="C4587" s="77" t="s">
        <v>73</v>
      </c>
      <c r="D4587" t="s">
        <v>81</v>
      </c>
      <c r="E4587" s="77" t="s">
        <v>122</v>
      </c>
      <c r="F4587" s="77" t="s">
        <v>73</v>
      </c>
      <c r="G4587" s="77" t="s">
        <v>74</v>
      </c>
      <c r="H4587" s="77" t="s">
        <v>108</v>
      </c>
      <c r="I4587" s="77" t="s">
        <v>84</v>
      </c>
      <c r="J4587" s="76">
        <f>'SUT_EU27 total'!$K$30</f>
        <v>1.5965533412604042E-3</v>
      </c>
    </row>
    <row r="4588" spans="1:10" x14ac:dyDescent="0.35">
      <c r="A4588" t="s">
        <v>15</v>
      </c>
      <c r="B4588" t="s">
        <v>37</v>
      </c>
      <c r="C4588" s="77" t="s">
        <v>73</v>
      </c>
      <c r="D4588" t="s">
        <v>81</v>
      </c>
      <c r="E4588" s="77" t="s">
        <v>101</v>
      </c>
      <c r="F4588" s="77" t="s">
        <v>73</v>
      </c>
      <c r="G4588" s="77" t="s">
        <v>74</v>
      </c>
      <c r="H4588" s="77" t="s">
        <v>108</v>
      </c>
      <c r="I4588" s="77" t="s">
        <v>84</v>
      </c>
      <c r="J4588" s="76" cm="1">
        <f t="array" ref="J4588:J4590">'SUT_EU27 total'!$K$32:$K$34</f>
        <v>2.4335351040000001E-4</v>
      </c>
    </row>
    <row r="4589" spans="1:10" x14ac:dyDescent="0.35">
      <c r="A4589" t="s">
        <v>15</v>
      </c>
      <c r="B4589" t="s">
        <v>37</v>
      </c>
      <c r="C4589" s="77" t="s">
        <v>73</v>
      </c>
      <c r="D4589" t="s">
        <v>81</v>
      </c>
      <c r="E4589" s="77" t="s">
        <v>104</v>
      </c>
      <c r="F4589" s="77" t="s">
        <v>73</v>
      </c>
      <c r="G4589" s="77" t="s">
        <v>74</v>
      </c>
      <c r="H4589" s="77" t="s">
        <v>108</v>
      </c>
      <c r="I4589" s="77" t="s">
        <v>84</v>
      </c>
      <c r="J4589" s="76">
        <v>4.6076808959999996E-4</v>
      </c>
    </row>
    <row r="4590" spans="1:10" x14ac:dyDescent="0.35">
      <c r="A4590" t="s">
        <v>15</v>
      </c>
      <c r="B4590" t="s">
        <v>37</v>
      </c>
      <c r="C4590" s="77" t="s">
        <v>73</v>
      </c>
      <c r="D4590" t="s">
        <v>81</v>
      </c>
      <c r="E4590" s="77" t="s">
        <v>106</v>
      </c>
      <c r="F4590" s="77" t="s">
        <v>73</v>
      </c>
      <c r="G4590" s="77" t="s">
        <v>74</v>
      </c>
      <c r="H4590" s="77" t="s">
        <v>108</v>
      </c>
      <c r="I4590" s="77" t="s">
        <v>84</v>
      </c>
      <c r="J4590" s="76">
        <v>1.5672383999999996E-3</v>
      </c>
    </row>
    <row r="4591" spans="1:10" x14ac:dyDescent="0.35">
      <c r="A4591" t="s">
        <v>15</v>
      </c>
      <c r="B4591" t="s">
        <v>37</v>
      </c>
      <c r="C4591" s="77" t="s">
        <v>88</v>
      </c>
      <c r="D4591" t="s">
        <v>81</v>
      </c>
      <c r="E4591" s="77" t="s">
        <v>118</v>
      </c>
      <c r="F4591" s="77" t="s">
        <v>73</v>
      </c>
      <c r="G4591" s="77" t="s">
        <v>74</v>
      </c>
      <c r="H4591" s="77" t="s">
        <v>108</v>
      </c>
      <c r="I4591" s="77" t="s">
        <v>84</v>
      </c>
      <c r="J4591" s="76" cm="1">
        <f t="array" ref="J4591:J4593">'SUT_EU27 total'!$K$38:$K$40</f>
        <v>3.3029309855227888E-2</v>
      </c>
    </row>
    <row r="4592" spans="1:10" x14ac:dyDescent="0.35">
      <c r="A4592" t="s">
        <v>15</v>
      </c>
      <c r="B4592" t="s">
        <v>37</v>
      </c>
      <c r="C4592" s="77" t="s">
        <v>88</v>
      </c>
      <c r="D4592" t="s">
        <v>81</v>
      </c>
      <c r="E4592" s="77" t="s">
        <v>119</v>
      </c>
      <c r="F4592" s="77" t="s">
        <v>73</v>
      </c>
      <c r="G4592" s="77" t="s">
        <v>74</v>
      </c>
      <c r="H4592" s="77" t="s">
        <v>108</v>
      </c>
      <c r="I4592" s="77" t="s">
        <v>84</v>
      </c>
      <c r="J4592" s="76">
        <v>6.9915569300335089E-3</v>
      </c>
    </row>
    <row r="4593" spans="1:10" x14ac:dyDescent="0.35">
      <c r="A4593" t="s">
        <v>15</v>
      </c>
      <c r="B4593" t="s">
        <v>37</v>
      </c>
      <c r="C4593" s="77" t="s">
        <v>88</v>
      </c>
      <c r="D4593" t="s">
        <v>81</v>
      </c>
      <c r="E4593" s="77" t="s">
        <v>120</v>
      </c>
      <c r="F4593" s="77" t="s">
        <v>73</v>
      </c>
      <c r="G4593" s="77" t="s">
        <v>74</v>
      </c>
      <c r="H4593" s="77" t="s">
        <v>108</v>
      </c>
      <c r="I4593" s="77" t="s">
        <v>84</v>
      </c>
      <c r="J4593" s="76">
        <v>1.5283979779928203E-3</v>
      </c>
    </row>
    <row r="4594" spans="1:10" x14ac:dyDescent="0.35">
      <c r="A4594" t="s">
        <v>15</v>
      </c>
      <c r="B4594" t="s">
        <v>37</v>
      </c>
      <c r="C4594" s="77" t="s">
        <v>88</v>
      </c>
      <c r="D4594" t="s">
        <v>81</v>
      </c>
      <c r="E4594" s="77" t="s">
        <v>121</v>
      </c>
      <c r="F4594" s="77" t="s">
        <v>73</v>
      </c>
      <c r="G4594" s="77" t="s">
        <v>74</v>
      </c>
      <c r="H4594" s="77" t="s">
        <v>108</v>
      </c>
      <c r="I4594" s="77" t="s">
        <v>84</v>
      </c>
      <c r="J4594" s="76">
        <f>'SUT_EU27 total'!$K$42</f>
        <v>0</v>
      </c>
    </row>
    <row r="4595" spans="1:10" x14ac:dyDescent="0.35">
      <c r="A4595" t="s">
        <v>15</v>
      </c>
      <c r="B4595" t="s">
        <v>37</v>
      </c>
      <c r="C4595" s="77" t="s">
        <v>88</v>
      </c>
      <c r="D4595" t="s">
        <v>81</v>
      </c>
      <c r="E4595" s="77" t="s">
        <v>117</v>
      </c>
      <c r="F4595" s="77" t="s">
        <v>73</v>
      </c>
      <c r="G4595" s="77" t="s">
        <v>74</v>
      </c>
      <c r="H4595" s="77" t="s">
        <v>108</v>
      </c>
      <c r="I4595" s="77" t="s">
        <v>84</v>
      </c>
      <c r="J4595" s="76">
        <f>'SUT_EU27 total'!$K$44</f>
        <v>9.9090099874062521E-4</v>
      </c>
    </row>
    <row r="4596" spans="1:10" x14ac:dyDescent="0.35">
      <c r="A4596" t="s">
        <v>15</v>
      </c>
      <c r="B4596" t="s">
        <v>37</v>
      </c>
      <c r="C4596" s="77" t="s">
        <v>88</v>
      </c>
      <c r="D4596" t="s">
        <v>81</v>
      </c>
      <c r="E4596" s="77" t="s">
        <v>122</v>
      </c>
      <c r="F4596" s="77" t="s">
        <v>73</v>
      </c>
      <c r="G4596" s="77" t="s">
        <v>74</v>
      </c>
      <c r="H4596" s="77" t="s">
        <v>108</v>
      </c>
      <c r="I4596" s="77" t="s">
        <v>84</v>
      </c>
      <c r="J4596" s="76">
        <f>'SUT_EU27 total'!$K$47</f>
        <v>0</v>
      </c>
    </row>
    <row r="4597" spans="1:10" x14ac:dyDescent="0.35">
      <c r="A4597" t="s">
        <v>15</v>
      </c>
      <c r="B4597" t="s">
        <v>37</v>
      </c>
      <c r="C4597" s="77" t="s">
        <v>88</v>
      </c>
      <c r="D4597" t="s">
        <v>81</v>
      </c>
      <c r="E4597" s="77" t="s">
        <v>101</v>
      </c>
      <c r="F4597" s="77" t="s">
        <v>73</v>
      </c>
      <c r="G4597" s="77" t="s">
        <v>74</v>
      </c>
      <c r="H4597" s="77" t="s">
        <v>108</v>
      </c>
      <c r="I4597" s="77" t="s">
        <v>84</v>
      </c>
      <c r="J4597" s="76" cm="1">
        <f t="array" ref="J4597:J4599">'SUT_EU27 total'!$K$49:$K$51</f>
        <v>0</v>
      </c>
    </row>
    <row r="4598" spans="1:10" x14ac:dyDescent="0.35">
      <c r="A4598" t="s">
        <v>15</v>
      </c>
      <c r="B4598" t="s">
        <v>37</v>
      </c>
      <c r="C4598" s="77" t="s">
        <v>88</v>
      </c>
      <c r="D4598" t="s">
        <v>81</v>
      </c>
      <c r="E4598" s="77" t="s">
        <v>104</v>
      </c>
      <c r="F4598" s="77" t="s">
        <v>73</v>
      </c>
      <c r="G4598" s="77" t="s">
        <v>74</v>
      </c>
      <c r="H4598" s="77" t="s">
        <v>108</v>
      </c>
      <c r="I4598" s="77" t="s">
        <v>84</v>
      </c>
      <c r="J4598" s="76">
        <v>0</v>
      </c>
    </row>
    <row r="4599" spans="1:10" x14ac:dyDescent="0.35">
      <c r="A4599" t="s">
        <v>15</v>
      </c>
      <c r="B4599" t="s">
        <v>37</v>
      </c>
      <c r="C4599" s="77" t="s">
        <v>88</v>
      </c>
      <c r="D4599" t="s">
        <v>81</v>
      </c>
      <c r="E4599" s="77" t="s">
        <v>106</v>
      </c>
      <c r="F4599" s="77" t="s">
        <v>73</v>
      </c>
      <c r="G4599" s="77" t="s">
        <v>74</v>
      </c>
      <c r="H4599" s="77" t="s">
        <v>108</v>
      </c>
      <c r="I4599" s="77" t="s">
        <v>84</v>
      </c>
      <c r="J4599" s="76">
        <v>0</v>
      </c>
    </row>
    <row r="4600" spans="1:10" x14ac:dyDescent="0.35">
      <c r="A4600" t="s">
        <v>15</v>
      </c>
      <c r="B4600" t="s">
        <v>37</v>
      </c>
      <c r="C4600" s="77" t="s">
        <v>90</v>
      </c>
      <c r="D4600" t="s">
        <v>81</v>
      </c>
      <c r="E4600" s="77" t="s">
        <v>118</v>
      </c>
      <c r="F4600" s="77" t="s">
        <v>73</v>
      </c>
      <c r="G4600" s="77" t="s">
        <v>74</v>
      </c>
      <c r="H4600" s="77" t="s">
        <v>108</v>
      </c>
      <c r="I4600" s="77" t="s">
        <v>84</v>
      </c>
      <c r="J4600" s="76" cm="1">
        <f t="array" ref="J4600:J4602">'SUT_EU27 total'!$K$55:$K$57</f>
        <v>4.323194595174263E-3</v>
      </c>
    </row>
    <row r="4601" spans="1:10" x14ac:dyDescent="0.35">
      <c r="A4601" t="s">
        <v>15</v>
      </c>
      <c r="B4601" t="s">
        <v>37</v>
      </c>
      <c r="C4601" s="77" t="s">
        <v>90</v>
      </c>
      <c r="D4601" t="s">
        <v>81</v>
      </c>
      <c r="E4601" s="77" t="s">
        <v>119</v>
      </c>
      <c r="F4601" s="77" t="s">
        <v>73</v>
      </c>
      <c r="G4601" s="77" t="s">
        <v>74</v>
      </c>
      <c r="H4601" s="77" t="s">
        <v>108</v>
      </c>
      <c r="I4601" s="77" t="s">
        <v>84</v>
      </c>
      <c r="J4601" s="76">
        <v>1.2800331672655335E-3</v>
      </c>
    </row>
    <row r="4602" spans="1:10" x14ac:dyDescent="0.35">
      <c r="A4602" t="s">
        <v>15</v>
      </c>
      <c r="B4602" t="s">
        <v>37</v>
      </c>
      <c r="C4602" s="77" t="s">
        <v>90</v>
      </c>
      <c r="D4602" t="s">
        <v>81</v>
      </c>
      <c r="E4602" s="77" t="s">
        <v>120</v>
      </c>
      <c r="F4602" s="77" t="s">
        <v>73</v>
      </c>
      <c r="G4602" s="77" t="s">
        <v>74</v>
      </c>
      <c r="H4602" s="77" t="s">
        <v>108</v>
      </c>
      <c r="I4602" s="77" t="s">
        <v>84</v>
      </c>
      <c r="J4602" s="76">
        <v>5.6700291220540041E-3</v>
      </c>
    </row>
    <row r="4603" spans="1:10" x14ac:dyDescent="0.35">
      <c r="A4603" t="s">
        <v>15</v>
      </c>
      <c r="B4603" t="s">
        <v>37</v>
      </c>
      <c r="C4603" s="77" t="s">
        <v>90</v>
      </c>
      <c r="D4603" t="s">
        <v>81</v>
      </c>
      <c r="E4603" s="77" t="s">
        <v>121</v>
      </c>
      <c r="F4603" s="77" t="s">
        <v>73</v>
      </c>
      <c r="G4603" s="77" t="s">
        <v>74</v>
      </c>
      <c r="H4603" s="77" t="s">
        <v>108</v>
      </c>
      <c r="I4603" s="77" t="s">
        <v>84</v>
      </c>
      <c r="J4603" s="76">
        <f>'SUT_EU27 total'!$K$59</f>
        <v>0</v>
      </c>
    </row>
    <row r="4604" spans="1:10" x14ac:dyDescent="0.35">
      <c r="A4604" t="s">
        <v>15</v>
      </c>
      <c r="B4604" t="s">
        <v>37</v>
      </c>
      <c r="C4604" s="77" t="s">
        <v>90</v>
      </c>
      <c r="D4604" t="s">
        <v>81</v>
      </c>
      <c r="E4604" s="77" t="s">
        <v>117</v>
      </c>
      <c r="F4604" s="77" t="s">
        <v>73</v>
      </c>
      <c r="G4604" s="77" t="s">
        <v>74</v>
      </c>
      <c r="H4604" s="77" t="s">
        <v>108</v>
      </c>
      <c r="I4604" s="77" t="s">
        <v>84</v>
      </c>
      <c r="J4604" s="76">
        <f>'SUT_EU27 total'!$K$61</f>
        <v>1.1930979242119881E-3</v>
      </c>
    </row>
    <row r="4605" spans="1:10" x14ac:dyDescent="0.35">
      <c r="A4605" t="s">
        <v>15</v>
      </c>
      <c r="B4605" t="s">
        <v>37</v>
      </c>
      <c r="C4605" s="77" t="s">
        <v>90</v>
      </c>
      <c r="D4605" t="s">
        <v>81</v>
      </c>
      <c r="E4605" s="77" t="s">
        <v>122</v>
      </c>
      <c r="F4605" s="77" t="s">
        <v>73</v>
      </c>
      <c r="G4605" s="77" t="s">
        <v>74</v>
      </c>
      <c r="H4605" s="77" t="s">
        <v>108</v>
      </c>
      <c r="I4605" s="77" t="s">
        <v>84</v>
      </c>
      <c r="J4605" s="76">
        <f>'SUT_EU27 total'!$K$64</f>
        <v>2.5776238002378116E-3</v>
      </c>
    </row>
    <row r="4606" spans="1:10" x14ac:dyDescent="0.35">
      <c r="A4606" t="s">
        <v>15</v>
      </c>
      <c r="B4606" t="s">
        <v>37</v>
      </c>
      <c r="C4606" s="77" t="s">
        <v>90</v>
      </c>
      <c r="D4606" t="s">
        <v>81</v>
      </c>
      <c r="E4606" s="77" t="s">
        <v>101</v>
      </c>
      <c r="F4606" s="77" t="s">
        <v>73</v>
      </c>
      <c r="G4606" s="77" t="s">
        <v>74</v>
      </c>
      <c r="H4606" s="77" t="s">
        <v>108</v>
      </c>
      <c r="I4606" s="77" t="s">
        <v>84</v>
      </c>
      <c r="J4606" s="76" cm="1">
        <f t="array" ref="J4606:J4608">'SUT_EU27 total'!$K$66:$K$68</f>
        <v>0</v>
      </c>
    </row>
    <row r="4607" spans="1:10" x14ac:dyDescent="0.35">
      <c r="A4607" t="s">
        <v>15</v>
      </c>
      <c r="B4607" t="s">
        <v>37</v>
      </c>
      <c r="C4607" s="77" t="s">
        <v>90</v>
      </c>
      <c r="D4607" t="s">
        <v>81</v>
      </c>
      <c r="E4607" s="77" t="s">
        <v>104</v>
      </c>
      <c r="F4607" s="77" t="s">
        <v>73</v>
      </c>
      <c r="G4607" s="77" t="s">
        <v>74</v>
      </c>
      <c r="H4607" s="77" t="s">
        <v>108</v>
      </c>
      <c r="I4607" s="77" t="s">
        <v>84</v>
      </c>
      <c r="J4607" s="76">
        <v>0</v>
      </c>
    </row>
    <row r="4608" spans="1:10" x14ac:dyDescent="0.35">
      <c r="A4608" t="s">
        <v>15</v>
      </c>
      <c r="B4608" t="s">
        <v>37</v>
      </c>
      <c r="C4608" s="77" t="s">
        <v>90</v>
      </c>
      <c r="D4608" t="s">
        <v>81</v>
      </c>
      <c r="E4608" s="77" t="s">
        <v>106</v>
      </c>
      <c r="F4608" s="77" t="s">
        <v>73</v>
      </c>
      <c r="G4608" s="77" t="s">
        <v>74</v>
      </c>
      <c r="H4608" s="77" t="s">
        <v>108</v>
      </c>
      <c r="I4608" s="77" t="s">
        <v>84</v>
      </c>
      <c r="J4608" s="76">
        <v>0</v>
      </c>
    </row>
    <row r="4609" spans="1:10" x14ac:dyDescent="0.35">
      <c r="A4609" t="s">
        <v>15</v>
      </c>
      <c r="B4609" t="s">
        <v>37</v>
      </c>
      <c r="C4609" s="77" t="s">
        <v>91</v>
      </c>
      <c r="D4609" t="s">
        <v>81</v>
      </c>
      <c r="E4609" s="77" t="s">
        <v>118</v>
      </c>
      <c r="F4609" s="77" t="s">
        <v>73</v>
      </c>
      <c r="G4609" s="77" t="s">
        <v>74</v>
      </c>
      <c r="H4609" s="77" t="s">
        <v>108</v>
      </c>
      <c r="I4609" s="77" t="s">
        <v>84</v>
      </c>
      <c r="J4609" s="76" cm="1">
        <f t="array" ref="J4609:J4611">'SUT_EU27 total'!$K$72:$K$74</f>
        <v>5.3791732332439677E-3</v>
      </c>
    </row>
    <row r="4610" spans="1:10" x14ac:dyDescent="0.35">
      <c r="A4610" t="s">
        <v>15</v>
      </c>
      <c r="B4610" t="s">
        <v>37</v>
      </c>
      <c r="C4610" s="77" t="s">
        <v>91</v>
      </c>
      <c r="D4610" t="s">
        <v>81</v>
      </c>
      <c r="E4610" s="77" t="s">
        <v>119</v>
      </c>
      <c r="F4610" s="77" t="s">
        <v>73</v>
      </c>
      <c r="G4610" s="77" t="s">
        <v>74</v>
      </c>
      <c r="H4610" s="77" t="s">
        <v>108</v>
      </c>
      <c r="I4610" s="77" t="s">
        <v>84</v>
      </c>
      <c r="J4610" s="76">
        <v>6.5526133182607291E-3</v>
      </c>
    </row>
    <row r="4611" spans="1:10" x14ac:dyDescent="0.35">
      <c r="A4611" t="s">
        <v>15</v>
      </c>
      <c r="B4611" t="s">
        <v>37</v>
      </c>
      <c r="C4611" s="77" t="s">
        <v>91</v>
      </c>
      <c r="D4611" t="s">
        <v>81</v>
      </c>
      <c r="E4611" s="77" t="s">
        <v>120</v>
      </c>
      <c r="F4611" s="77" t="s">
        <v>73</v>
      </c>
      <c r="G4611" s="77" t="s">
        <v>74</v>
      </c>
      <c r="H4611" s="77" t="s">
        <v>108</v>
      </c>
      <c r="I4611" s="77" t="s">
        <v>84</v>
      </c>
      <c r="J4611" s="76">
        <v>2.464950959887623E-4</v>
      </c>
    </row>
    <row r="4612" spans="1:10" x14ac:dyDescent="0.35">
      <c r="A4612" t="s">
        <v>15</v>
      </c>
      <c r="B4612" t="s">
        <v>37</v>
      </c>
      <c r="C4612" s="77" t="s">
        <v>91</v>
      </c>
      <c r="D4612" t="s">
        <v>81</v>
      </c>
      <c r="E4612" s="77" t="s">
        <v>121</v>
      </c>
      <c r="F4612" s="77" t="s">
        <v>73</v>
      </c>
      <c r="G4612" s="77" t="s">
        <v>74</v>
      </c>
      <c r="H4612" s="77" t="s">
        <v>108</v>
      </c>
      <c r="I4612" s="77" t="s">
        <v>84</v>
      </c>
      <c r="J4612" s="76">
        <f>'SUT_EU27 total'!$K$76</f>
        <v>0</v>
      </c>
    </row>
    <row r="4613" spans="1:10" x14ac:dyDescent="0.35">
      <c r="A4613" t="s">
        <v>15</v>
      </c>
      <c r="B4613" t="s">
        <v>37</v>
      </c>
      <c r="C4613" s="77" t="s">
        <v>91</v>
      </c>
      <c r="D4613" t="s">
        <v>81</v>
      </c>
      <c r="E4613" s="77" t="s">
        <v>117</v>
      </c>
      <c r="F4613" s="77" t="s">
        <v>73</v>
      </c>
      <c r="G4613" s="77" t="s">
        <v>74</v>
      </c>
      <c r="H4613" s="77" t="s">
        <v>108</v>
      </c>
      <c r="I4613" s="77" t="s">
        <v>84</v>
      </c>
      <c r="J4613" s="76">
        <f>'SUT_EU27 total'!$K$78</f>
        <v>1.1485683451306521E-3</v>
      </c>
    </row>
    <row r="4614" spans="1:10" x14ac:dyDescent="0.35">
      <c r="A4614" t="s">
        <v>15</v>
      </c>
      <c r="B4614" t="s">
        <v>37</v>
      </c>
      <c r="C4614" s="77" t="s">
        <v>91</v>
      </c>
      <c r="D4614" t="s">
        <v>81</v>
      </c>
      <c r="E4614" s="77" t="s">
        <v>122</v>
      </c>
      <c r="F4614" s="77" t="s">
        <v>73</v>
      </c>
      <c r="G4614" s="77" t="s">
        <v>74</v>
      </c>
      <c r="H4614" s="77" t="s">
        <v>108</v>
      </c>
      <c r="I4614" s="77" t="s">
        <v>84</v>
      </c>
      <c r="J4614" s="76">
        <f>'SUT_EU27 total'!$K$81</f>
        <v>0</v>
      </c>
    </row>
    <row r="4615" spans="1:10" x14ac:dyDescent="0.35">
      <c r="A4615" t="s">
        <v>15</v>
      </c>
      <c r="B4615" t="s">
        <v>37</v>
      </c>
      <c r="C4615" s="77" t="s">
        <v>91</v>
      </c>
      <c r="D4615" t="s">
        <v>81</v>
      </c>
      <c r="E4615" s="77" t="s">
        <v>101</v>
      </c>
      <c r="F4615" s="77" t="s">
        <v>73</v>
      </c>
      <c r="G4615" s="77" t="s">
        <v>74</v>
      </c>
      <c r="H4615" s="77" t="s">
        <v>108</v>
      </c>
      <c r="I4615" s="77" t="s">
        <v>84</v>
      </c>
      <c r="J4615" s="76" cm="1">
        <f t="array" ref="J4615:J4617">'SUT_EU27 total'!$K$83:$K$85</f>
        <v>0</v>
      </c>
    </row>
    <row r="4616" spans="1:10" x14ac:dyDescent="0.35">
      <c r="A4616" t="s">
        <v>15</v>
      </c>
      <c r="B4616" t="s">
        <v>37</v>
      </c>
      <c r="C4616" s="77" t="s">
        <v>91</v>
      </c>
      <c r="D4616" t="s">
        <v>81</v>
      </c>
      <c r="E4616" s="77" t="s">
        <v>104</v>
      </c>
      <c r="F4616" s="77" t="s">
        <v>73</v>
      </c>
      <c r="G4616" s="77" t="s">
        <v>74</v>
      </c>
      <c r="H4616" s="77" t="s">
        <v>108</v>
      </c>
      <c r="I4616" s="77" t="s">
        <v>84</v>
      </c>
      <c r="J4616" s="76">
        <v>0</v>
      </c>
    </row>
    <row r="4617" spans="1:10" x14ac:dyDescent="0.35">
      <c r="A4617" t="s">
        <v>15</v>
      </c>
      <c r="B4617" t="s">
        <v>37</v>
      </c>
      <c r="C4617" s="77" t="s">
        <v>91</v>
      </c>
      <c r="D4617" t="s">
        <v>81</v>
      </c>
      <c r="E4617" s="77" t="s">
        <v>106</v>
      </c>
      <c r="F4617" s="77" t="s">
        <v>73</v>
      </c>
      <c r="G4617" s="77" t="s">
        <v>74</v>
      </c>
      <c r="H4617" s="77" t="s">
        <v>108</v>
      </c>
      <c r="I4617" s="77" t="s">
        <v>84</v>
      </c>
      <c r="J4617" s="76">
        <v>0</v>
      </c>
    </row>
    <row r="4618" spans="1:10" x14ac:dyDescent="0.35">
      <c r="A4618" t="s">
        <v>15</v>
      </c>
      <c r="B4618" t="s">
        <v>37</v>
      </c>
      <c r="C4618" s="77" t="s">
        <v>92</v>
      </c>
      <c r="D4618" t="s">
        <v>81</v>
      </c>
      <c r="E4618" s="77" t="s">
        <v>118</v>
      </c>
      <c r="F4618" s="77" t="s">
        <v>73</v>
      </c>
      <c r="G4618" s="77" t="s">
        <v>74</v>
      </c>
      <c r="H4618" s="77" t="s">
        <v>108</v>
      </c>
      <c r="I4618" s="77" t="s">
        <v>84</v>
      </c>
      <c r="J4618" s="76" cm="1">
        <f t="array" ref="J4618:J4620">'SUT_EU27 total'!$K$89:$K$91</f>
        <v>3.3497344343163542E-3</v>
      </c>
    </row>
    <row r="4619" spans="1:10" x14ac:dyDescent="0.35">
      <c r="A4619" t="s">
        <v>15</v>
      </c>
      <c r="B4619" t="s">
        <v>37</v>
      </c>
      <c r="C4619" s="77" t="s">
        <v>92</v>
      </c>
      <c r="D4619" t="s">
        <v>81</v>
      </c>
      <c r="E4619" s="77" t="s">
        <v>119</v>
      </c>
      <c r="F4619" s="77" t="s">
        <v>73</v>
      </c>
      <c r="G4619" s="77" t="s">
        <v>74</v>
      </c>
      <c r="H4619" s="77" t="s">
        <v>108</v>
      </c>
      <c r="I4619" s="77" t="s">
        <v>84</v>
      </c>
      <c r="J4619" s="76">
        <v>6.0269323460777589E-3</v>
      </c>
    </row>
    <row r="4620" spans="1:10" x14ac:dyDescent="0.35">
      <c r="A4620" t="s">
        <v>15</v>
      </c>
      <c r="B4620" t="s">
        <v>37</v>
      </c>
      <c r="C4620" s="77" t="s">
        <v>92</v>
      </c>
      <c r="D4620" t="s">
        <v>81</v>
      </c>
      <c r="E4620" s="77" t="s">
        <v>120</v>
      </c>
      <c r="F4620" s="77" t="s">
        <v>73</v>
      </c>
      <c r="G4620" s="77" t="s">
        <v>74</v>
      </c>
      <c r="H4620" s="77" t="s">
        <v>108</v>
      </c>
      <c r="I4620" s="77" t="s">
        <v>84</v>
      </c>
      <c r="J4620" s="76">
        <v>4.0947713992508196E-3</v>
      </c>
    </row>
    <row r="4621" spans="1:10" x14ac:dyDescent="0.35">
      <c r="A4621" t="s">
        <v>15</v>
      </c>
      <c r="B4621" t="s">
        <v>37</v>
      </c>
      <c r="C4621" s="77" t="s">
        <v>92</v>
      </c>
      <c r="D4621" t="s">
        <v>81</v>
      </c>
      <c r="E4621" s="77" t="s">
        <v>121</v>
      </c>
      <c r="F4621" s="77" t="s">
        <v>73</v>
      </c>
      <c r="G4621" s="77" t="s">
        <v>74</v>
      </c>
      <c r="H4621" s="77" t="s">
        <v>108</v>
      </c>
      <c r="I4621" s="77" t="s">
        <v>84</v>
      </c>
      <c r="J4621" s="76">
        <f>'SUT_EU27 total'!$K$93</f>
        <v>0</v>
      </c>
    </row>
    <row r="4622" spans="1:10" x14ac:dyDescent="0.35">
      <c r="A4622" t="s">
        <v>15</v>
      </c>
      <c r="B4622" t="s">
        <v>37</v>
      </c>
      <c r="C4622" s="77" t="s">
        <v>92</v>
      </c>
      <c r="D4622" t="s">
        <v>81</v>
      </c>
      <c r="E4622" s="77" t="s">
        <v>117</v>
      </c>
      <c r="F4622" s="77" t="s">
        <v>73</v>
      </c>
      <c r="G4622" s="77" t="s">
        <v>74</v>
      </c>
      <c r="H4622" s="77" t="s">
        <v>108</v>
      </c>
      <c r="I4622" s="77" t="s">
        <v>84</v>
      </c>
      <c r="J4622" s="76">
        <f>'SUT_EU27 total'!$K$95</f>
        <v>0</v>
      </c>
    </row>
    <row r="4623" spans="1:10" x14ac:dyDescent="0.35">
      <c r="A4623" t="s">
        <v>15</v>
      </c>
      <c r="B4623" t="s">
        <v>37</v>
      </c>
      <c r="C4623" s="77" t="s">
        <v>92</v>
      </c>
      <c r="D4623" t="s">
        <v>81</v>
      </c>
      <c r="E4623" s="77" t="s">
        <v>122</v>
      </c>
      <c r="F4623" s="77" t="s">
        <v>73</v>
      </c>
      <c r="G4623" s="77" t="s">
        <v>74</v>
      </c>
      <c r="H4623" s="77" t="s">
        <v>108</v>
      </c>
      <c r="I4623" s="77" t="s">
        <v>84</v>
      </c>
      <c r="J4623" s="76">
        <f>'SUT_EU27 total'!$K$98</f>
        <v>0</v>
      </c>
    </row>
    <row r="4624" spans="1:10" x14ac:dyDescent="0.35">
      <c r="A4624" t="s">
        <v>15</v>
      </c>
      <c r="B4624" t="s">
        <v>37</v>
      </c>
      <c r="C4624" s="77" t="s">
        <v>92</v>
      </c>
      <c r="D4624" t="s">
        <v>81</v>
      </c>
      <c r="E4624" s="77" t="s">
        <v>101</v>
      </c>
      <c r="F4624" s="77" t="s">
        <v>73</v>
      </c>
      <c r="G4624" s="77" t="s">
        <v>74</v>
      </c>
      <c r="H4624" s="77" t="s">
        <v>108</v>
      </c>
      <c r="I4624" s="77" t="s">
        <v>84</v>
      </c>
      <c r="J4624" s="76" cm="1">
        <f t="array" ref="J4624:J4626">'SUT_EU27 total'!$K$100:$K$102</f>
        <v>0</v>
      </c>
    </row>
    <row r="4625" spans="1:10" x14ac:dyDescent="0.35">
      <c r="A4625" t="s">
        <v>15</v>
      </c>
      <c r="B4625" t="s">
        <v>37</v>
      </c>
      <c r="C4625" s="77" t="s">
        <v>92</v>
      </c>
      <c r="D4625" t="s">
        <v>81</v>
      </c>
      <c r="E4625" s="77" t="s">
        <v>104</v>
      </c>
      <c r="F4625" s="77" t="s">
        <v>73</v>
      </c>
      <c r="G4625" s="77" t="s">
        <v>74</v>
      </c>
      <c r="H4625" s="77" t="s">
        <v>108</v>
      </c>
      <c r="I4625" s="77" t="s">
        <v>84</v>
      </c>
      <c r="J4625" s="76">
        <v>0</v>
      </c>
    </row>
    <row r="4626" spans="1:10" x14ac:dyDescent="0.35">
      <c r="A4626" t="s">
        <v>15</v>
      </c>
      <c r="B4626" t="s">
        <v>37</v>
      </c>
      <c r="C4626" s="77" t="s">
        <v>92</v>
      </c>
      <c r="D4626" t="s">
        <v>81</v>
      </c>
      <c r="E4626" s="77" t="s">
        <v>106</v>
      </c>
      <c r="F4626" s="77" t="s">
        <v>73</v>
      </c>
      <c r="G4626" s="77" t="s">
        <v>74</v>
      </c>
      <c r="H4626" s="77" t="s">
        <v>108</v>
      </c>
      <c r="I4626" s="77" t="s">
        <v>84</v>
      </c>
      <c r="J4626" s="76">
        <v>0</v>
      </c>
    </row>
    <row r="4627" spans="1:10" x14ac:dyDescent="0.35">
      <c r="A4627" t="s">
        <v>15</v>
      </c>
      <c r="B4627" t="s">
        <v>37</v>
      </c>
      <c r="C4627" s="77" t="s">
        <v>93</v>
      </c>
      <c r="D4627" t="s">
        <v>81</v>
      </c>
      <c r="E4627" s="77" t="s">
        <v>118</v>
      </c>
      <c r="F4627" s="77" t="s">
        <v>73</v>
      </c>
      <c r="G4627" s="77" t="s">
        <v>74</v>
      </c>
      <c r="H4627" s="77" t="s">
        <v>108</v>
      </c>
      <c r="I4627" s="77" t="s">
        <v>84</v>
      </c>
      <c r="J4627" s="76" cm="1">
        <f t="array" ref="J4627:J4629">'SUT_EU27 total'!$K$106:$K$108</f>
        <v>1.4980971667560324E-2</v>
      </c>
    </row>
    <row r="4628" spans="1:10" x14ac:dyDescent="0.35">
      <c r="A4628" t="s">
        <v>15</v>
      </c>
      <c r="B4628" t="s">
        <v>37</v>
      </c>
      <c r="C4628" s="77" t="s">
        <v>93</v>
      </c>
      <c r="D4628" t="s">
        <v>81</v>
      </c>
      <c r="E4628" s="77" t="s">
        <v>119</v>
      </c>
      <c r="F4628" s="77" t="s">
        <v>73</v>
      </c>
      <c r="G4628" s="77" t="s">
        <v>74</v>
      </c>
      <c r="H4628" s="77" t="s">
        <v>108</v>
      </c>
      <c r="I4628" s="77" t="s">
        <v>84</v>
      </c>
      <c r="J4628" s="76">
        <v>4.3405477873147885E-2</v>
      </c>
    </row>
    <row r="4629" spans="1:10" x14ac:dyDescent="0.35">
      <c r="A4629" t="s">
        <v>15</v>
      </c>
      <c r="B4629" t="s">
        <v>37</v>
      </c>
      <c r="C4629" s="77" t="s">
        <v>93</v>
      </c>
      <c r="D4629" t="s">
        <v>81</v>
      </c>
      <c r="E4629" s="77" t="s">
        <v>120</v>
      </c>
      <c r="F4629" s="77" t="s">
        <v>73</v>
      </c>
      <c r="G4629" s="77" t="s">
        <v>74</v>
      </c>
      <c r="H4629" s="77" t="s">
        <v>108</v>
      </c>
      <c r="I4629" s="77" t="s">
        <v>84</v>
      </c>
      <c r="J4629" s="76">
        <v>2.1237093113781802E-2</v>
      </c>
    </row>
    <row r="4630" spans="1:10" x14ac:dyDescent="0.35">
      <c r="A4630" t="s">
        <v>15</v>
      </c>
      <c r="B4630" t="s">
        <v>37</v>
      </c>
      <c r="C4630" s="77" t="s">
        <v>93</v>
      </c>
      <c r="D4630" t="s">
        <v>81</v>
      </c>
      <c r="E4630" s="77" t="s">
        <v>121</v>
      </c>
      <c r="F4630" s="77" t="s">
        <v>73</v>
      </c>
      <c r="G4630" s="77" t="s">
        <v>74</v>
      </c>
      <c r="H4630" s="77" t="s">
        <v>108</v>
      </c>
      <c r="I4630" s="77" t="s">
        <v>84</v>
      </c>
      <c r="J4630" s="76">
        <f>'SUT_EU27 total'!$K$110</f>
        <v>0</v>
      </c>
    </row>
    <row r="4631" spans="1:10" x14ac:dyDescent="0.35">
      <c r="A4631" t="s">
        <v>15</v>
      </c>
      <c r="B4631" t="s">
        <v>37</v>
      </c>
      <c r="C4631" s="77" t="s">
        <v>93</v>
      </c>
      <c r="D4631" t="s">
        <v>81</v>
      </c>
      <c r="E4631" s="77" t="s">
        <v>117</v>
      </c>
      <c r="F4631" s="77" t="s">
        <v>73</v>
      </c>
      <c r="G4631" s="77" t="s">
        <v>74</v>
      </c>
      <c r="H4631" s="77" t="s">
        <v>108</v>
      </c>
      <c r="I4631" s="77" t="s">
        <v>84</v>
      </c>
      <c r="J4631" s="76">
        <f>'SUT_EU27 total'!$K$112</f>
        <v>1.1930984723440377E-3</v>
      </c>
    </row>
    <row r="4632" spans="1:10" x14ac:dyDescent="0.35">
      <c r="A4632" t="s">
        <v>15</v>
      </c>
      <c r="B4632" t="s">
        <v>37</v>
      </c>
      <c r="C4632" s="77" t="s">
        <v>93</v>
      </c>
      <c r="D4632" t="s">
        <v>81</v>
      </c>
      <c r="E4632" s="77" t="s">
        <v>122</v>
      </c>
      <c r="F4632" s="77" t="s">
        <v>73</v>
      </c>
      <c r="G4632" s="77" t="s">
        <v>74</v>
      </c>
      <c r="H4632" s="77" t="s">
        <v>108</v>
      </c>
      <c r="I4632" s="77" t="s">
        <v>84</v>
      </c>
      <c r="J4632" s="76">
        <f>'SUT_EU27 total'!$K$115</f>
        <v>8.7987828585017833E-3</v>
      </c>
    </row>
    <row r="4633" spans="1:10" x14ac:dyDescent="0.35">
      <c r="A4633" t="s">
        <v>15</v>
      </c>
      <c r="B4633" t="s">
        <v>37</v>
      </c>
      <c r="C4633" s="77" t="s">
        <v>93</v>
      </c>
      <c r="D4633" t="s">
        <v>81</v>
      </c>
      <c r="E4633" s="77" t="s">
        <v>101</v>
      </c>
      <c r="F4633" s="77" t="s">
        <v>73</v>
      </c>
      <c r="G4633" s="77" t="s">
        <v>74</v>
      </c>
      <c r="H4633" s="77" t="s">
        <v>108</v>
      </c>
      <c r="I4633" s="77" t="s">
        <v>84</v>
      </c>
      <c r="J4633" s="76" cm="1">
        <f t="array" ref="J4633:J4635">'SUT_EU27 total'!$K$117:$K$119</f>
        <v>0</v>
      </c>
    </row>
    <row r="4634" spans="1:10" x14ac:dyDescent="0.35">
      <c r="A4634" t="s">
        <v>15</v>
      </c>
      <c r="B4634" t="s">
        <v>37</v>
      </c>
      <c r="C4634" s="77" t="s">
        <v>93</v>
      </c>
      <c r="D4634" t="s">
        <v>81</v>
      </c>
      <c r="E4634" s="77" t="s">
        <v>104</v>
      </c>
      <c r="F4634" s="77" t="s">
        <v>73</v>
      </c>
      <c r="G4634" s="77" t="s">
        <v>74</v>
      </c>
      <c r="H4634" s="77" t="s">
        <v>108</v>
      </c>
      <c r="I4634" s="77" t="s">
        <v>84</v>
      </c>
      <c r="J4634" s="76">
        <v>0</v>
      </c>
    </row>
    <row r="4635" spans="1:10" x14ac:dyDescent="0.35">
      <c r="A4635" t="s">
        <v>15</v>
      </c>
      <c r="B4635" t="s">
        <v>37</v>
      </c>
      <c r="C4635" s="77" t="s">
        <v>93</v>
      </c>
      <c r="D4635" t="s">
        <v>81</v>
      </c>
      <c r="E4635" s="77" t="s">
        <v>106</v>
      </c>
      <c r="F4635" s="77" t="s">
        <v>73</v>
      </c>
      <c r="G4635" s="77" t="s">
        <v>74</v>
      </c>
      <c r="H4635" s="77" t="s">
        <v>108</v>
      </c>
      <c r="I4635" s="77" t="s">
        <v>84</v>
      </c>
      <c r="J4635" s="76">
        <v>0</v>
      </c>
    </row>
    <row r="4636" spans="1:10" x14ac:dyDescent="0.35">
      <c r="A4636" t="s">
        <v>15</v>
      </c>
      <c r="B4636" t="s">
        <v>37</v>
      </c>
      <c r="C4636" s="77" t="s">
        <v>73</v>
      </c>
      <c r="D4636" t="s">
        <v>81</v>
      </c>
      <c r="E4636" s="77" t="s">
        <v>119</v>
      </c>
      <c r="F4636" s="77" t="s">
        <v>73</v>
      </c>
      <c r="G4636" s="77" t="s">
        <v>74</v>
      </c>
      <c r="H4636" s="77" t="s">
        <v>123</v>
      </c>
      <c r="I4636" s="77" t="s">
        <v>84</v>
      </c>
      <c r="J4636" s="76">
        <f>'SUT_EU27 total'!$L$22</f>
        <v>1.9500181678711294E-2</v>
      </c>
    </row>
    <row r="4637" spans="1:10" x14ac:dyDescent="0.35">
      <c r="A4637" t="s">
        <v>15</v>
      </c>
      <c r="B4637" t="s">
        <v>37</v>
      </c>
      <c r="C4637" s="77" t="s">
        <v>73</v>
      </c>
      <c r="D4637" t="s">
        <v>81</v>
      </c>
      <c r="E4637" s="77" t="s">
        <v>124</v>
      </c>
      <c r="F4637" s="77" t="s">
        <v>73</v>
      </c>
      <c r="G4637" s="77" t="s">
        <v>74</v>
      </c>
      <c r="H4637" s="77" t="s">
        <v>123</v>
      </c>
      <c r="I4637" s="77" t="s">
        <v>84</v>
      </c>
      <c r="J4637" s="76" cm="1">
        <f t="array" ref="J4637:J4645">'SUT_EU27 total'!$L$26:$L$34</f>
        <v>1.9404661061278542E-3</v>
      </c>
    </row>
    <row r="4638" spans="1:10" x14ac:dyDescent="0.35">
      <c r="A4638" t="s">
        <v>15</v>
      </c>
      <c r="B4638" t="s">
        <v>37</v>
      </c>
      <c r="C4638" s="77" t="s">
        <v>73</v>
      </c>
      <c r="D4638" t="s">
        <v>81</v>
      </c>
      <c r="E4638" s="77" t="s">
        <v>117</v>
      </c>
      <c r="F4638" s="77" t="s">
        <v>73</v>
      </c>
      <c r="G4638" s="77" t="s">
        <v>74</v>
      </c>
      <c r="H4638" s="77" t="s">
        <v>123</v>
      </c>
      <c r="I4638" s="77" t="s">
        <v>84</v>
      </c>
      <c r="J4638" s="76">
        <v>5.8423628191201782E-3</v>
      </c>
    </row>
    <row r="4639" spans="1:10" x14ac:dyDescent="0.35">
      <c r="A4639" t="s">
        <v>15</v>
      </c>
      <c r="B4639" t="s">
        <v>37</v>
      </c>
      <c r="C4639" s="77" t="s">
        <v>73</v>
      </c>
      <c r="D4639" t="s">
        <v>81</v>
      </c>
      <c r="E4639" s="77" t="s">
        <v>82</v>
      </c>
      <c r="F4639" s="77" t="s">
        <v>73</v>
      </c>
      <c r="G4639" s="77" t="s">
        <v>74</v>
      </c>
      <c r="H4639" s="77" t="s">
        <v>123</v>
      </c>
      <c r="I4639" s="77" t="s">
        <v>84</v>
      </c>
      <c r="J4639" s="76">
        <v>4.8981233243967828E-4</v>
      </c>
    </row>
    <row r="4640" spans="1:10" x14ac:dyDescent="0.35">
      <c r="A4640" t="s">
        <v>15</v>
      </c>
      <c r="B4640" t="s">
        <v>37</v>
      </c>
      <c r="C4640" s="77" t="s">
        <v>73</v>
      </c>
      <c r="D4640" t="s">
        <v>81</v>
      </c>
      <c r="E4640" s="77" t="s">
        <v>125</v>
      </c>
      <c r="F4640" s="77" t="s">
        <v>73</v>
      </c>
      <c r="G4640" s="77" t="s">
        <v>74</v>
      </c>
      <c r="H4640" s="77" t="s">
        <v>123</v>
      </c>
      <c r="I4640" s="77" t="s">
        <v>84</v>
      </c>
      <c r="J4640" s="76">
        <v>2.4658201215687387E-3</v>
      </c>
    </row>
    <row r="4641" spans="1:11" x14ac:dyDescent="0.35">
      <c r="A4641" t="s">
        <v>15</v>
      </c>
      <c r="B4641" t="s">
        <v>37</v>
      </c>
      <c r="C4641" s="77" t="s">
        <v>73</v>
      </c>
      <c r="D4641" t="s">
        <v>81</v>
      </c>
      <c r="E4641" s="77" t="s">
        <v>122</v>
      </c>
      <c r="F4641" s="77" t="s">
        <v>73</v>
      </c>
      <c r="G4641" s="77" t="s">
        <v>74</v>
      </c>
      <c r="H4641" s="77" t="s">
        <v>123</v>
      </c>
      <c r="I4641" s="77" t="s">
        <v>84</v>
      </c>
      <c r="J4641" s="76">
        <v>4.922711058263972E-4</v>
      </c>
    </row>
    <row r="4642" spans="1:11" x14ac:dyDescent="0.35">
      <c r="A4642" t="s">
        <v>15</v>
      </c>
      <c r="B4642" t="s">
        <v>37</v>
      </c>
      <c r="C4642" s="77" t="s">
        <v>73</v>
      </c>
      <c r="D4642" t="s">
        <v>81</v>
      </c>
      <c r="E4642" s="77" t="s">
        <v>126</v>
      </c>
      <c r="F4642" s="77" t="s">
        <v>73</v>
      </c>
      <c r="G4642" s="77" t="s">
        <v>74</v>
      </c>
      <c r="H4642" s="77" t="s">
        <v>123</v>
      </c>
      <c r="I4642" s="77" t="s">
        <v>84</v>
      </c>
      <c r="J4642" s="76">
        <v>0</v>
      </c>
    </row>
    <row r="4643" spans="1:11" x14ac:dyDescent="0.35">
      <c r="A4643" t="s">
        <v>15</v>
      </c>
      <c r="B4643" t="s">
        <v>37</v>
      </c>
      <c r="C4643" s="77" t="s">
        <v>73</v>
      </c>
      <c r="D4643" t="s">
        <v>81</v>
      </c>
      <c r="E4643" s="77" t="s">
        <v>101</v>
      </c>
      <c r="F4643" s="77" t="s">
        <v>73</v>
      </c>
      <c r="G4643" s="77" t="s">
        <v>74</v>
      </c>
      <c r="H4643" s="77" t="s">
        <v>123</v>
      </c>
      <c r="I4643" s="77" t="s">
        <v>84</v>
      </c>
      <c r="J4643" s="76">
        <v>3.7860913795851507E-4</v>
      </c>
    </row>
    <row r="4644" spans="1:11" x14ac:dyDescent="0.35">
      <c r="A4644" t="s">
        <v>15</v>
      </c>
      <c r="B4644" t="s">
        <v>37</v>
      </c>
      <c r="C4644" s="77" t="s">
        <v>73</v>
      </c>
      <c r="D4644" t="s">
        <v>81</v>
      </c>
      <c r="E4644" s="77" t="s">
        <v>104</v>
      </c>
      <c r="F4644" s="77" t="s">
        <v>73</v>
      </c>
      <c r="G4644" s="77" t="s">
        <v>74</v>
      </c>
      <c r="H4644" s="77" t="s">
        <v>123</v>
      </c>
      <c r="I4644" s="77" t="s">
        <v>84</v>
      </c>
      <c r="J4644" s="76">
        <v>7.1686251377883477E-4</v>
      </c>
      <c r="K4644" s="72"/>
    </row>
    <row r="4645" spans="1:11" x14ac:dyDescent="0.35">
      <c r="A4645" t="s">
        <v>15</v>
      </c>
      <c r="B4645" t="s">
        <v>37</v>
      </c>
      <c r="C4645" s="77" t="s">
        <v>73</v>
      </c>
      <c r="D4645" t="s">
        <v>81</v>
      </c>
      <c r="E4645" s="77" t="s">
        <v>106</v>
      </c>
      <c r="F4645" s="77" t="s">
        <v>73</v>
      </c>
      <c r="G4645" s="77" t="s">
        <v>74</v>
      </c>
      <c r="H4645" s="77" t="s">
        <v>123</v>
      </c>
      <c r="I4645" s="77" t="s">
        <v>84</v>
      </c>
      <c r="J4645" s="76">
        <v>2.438307869996036E-3</v>
      </c>
    </row>
    <row r="4646" spans="1:11" x14ac:dyDescent="0.35">
      <c r="A4646" t="s">
        <v>15</v>
      </c>
      <c r="B4646" t="s">
        <v>37</v>
      </c>
      <c r="C4646" s="77" t="s">
        <v>88</v>
      </c>
      <c r="D4646" t="s">
        <v>81</v>
      </c>
      <c r="E4646" s="77" t="s">
        <v>119</v>
      </c>
      <c r="F4646" s="77" t="s">
        <v>73</v>
      </c>
      <c r="G4646" s="77" t="s">
        <v>74</v>
      </c>
      <c r="H4646" s="77" t="s">
        <v>123</v>
      </c>
      <c r="I4646" s="77" t="s">
        <v>84</v>
      </c>
      <c r="J4646" s="76">
        <f>'SUT_EU27 total'!$L$39</f>
        <v>0.16108845734587587</v>
      </c>
    </row>
    <row r="4647" spans="1:11" x14ac:dyDescent="0.35">
      <c r="A4647" t="s">
        <v>15</v>
      </c>
      <c r="B4647" t="s">
        <v>37</v>
      </c>
      <c r="C4647" s="77" t="s">
        <v>88</v>
      </c>
      <c r="D4647" t="s">
        <v>81</v>
      </c>
      <c r="E4647" s="77" t="s">
        <v>124</v>
      </c>
      <c r="F4647" s="77" t="s">
        <v>73</v>
      </c>
      <c r="G4647" s="77" t="s">
        <v>74</v>
      </c>
      <c r="H4647" s="77" t="s">
        <v>123</v>
      </c>
      <c r="I4647" s="77" t="s">
        <v>84</v>
      </c>
      <c r="J4647" s="76" cm="1">
        <f t="array" ref="J4647:J4655">'SUT_EU27 total'!$M$43:$M$51</f>
        <v>5.0558836222750793E-4</v>
      </c>
    </row>
    <row r="4648" spans="1:11" x14ac:dyDescent="0.35">
      <c r="A4648" t="s">
        <v>15</v>
      </c>
      <c r="B4648" t="s">
        <v>37</v>
      </c>
      <c r="C4648" s="77" t="s">
        <v>88</v>
      </c>
      <c r="D4648" t="s">
        <v>81</v>
      </c>
      <c r="E4648" s="77" t="s">
        <v>117</v>
      </c>
      <c r="F4648" s="77" t="s">
        <v>73</v>
      </c>
      <c r="G4648" s="77" t="s">
        <v>74</v>
      </c>
      <c r="H4648" s="77" t="s">
        <v>123</v>
      </c>
      <c r="I4648" s="77" t="s">
        <v>84</v>
      </c>
      <c r="J4648" s="76">
        <v>4.8514464106651379E-3</v>
      </c>
    </row>
    <row r="4649" spans="1:11" x14ac:dyDescent="0.35">
      <c r="A4649" t="s">
        <v>15</v>
      </c>
      <c r="B4649" t="s">
        <v>37</v>
      </c>
      <c r="C4649" s="77" t="s">
        <v>88</v>
      </c>
      <c r="D4649" t="s">
        <v>81</v>
      </c>
      <c r="E4649" s="77" t="s">
        <v>82</v>
      </c>
      <c r="F4649" s="77" t="s">
        <v>73</v>
      </c>
      <c r="G4649" s="77" t="s">
        <v>74</v>
      </c>
      <c r="H4649" s="77" t="s">
        <v>123</v>
      </c>
      <c r="I4649" s="77" t="s">
        <v>84</v>
      </c>
      <c r="J4649" s="76">
        <v>1.109418436791091E-2</v>
      </c>
    </row>
    <row r="4650" spans="1:11" x14ac:dyDescent="0.35">
      <c r="A4650" t="s">
        <v>15</v>
      </c>
      <c r="B4650" t="s">
        <v>37</v>
      </c>
      <c r="C4650" s="77" t="s">
        <v>88</v>
      </c>
      <c r="D4650" t="s">
        <v>81</v>
      </c>
      <c r="E4650" s="77" t="s">
        <v>125</v>
      </c>
      <c r="F4650" s="77" t="s">
        <v>73</v>
      </c>
      <c r="G4650" s="77" t="s">
        <v>74</v>
      </c>
      <c r="H4650" s="77" t="s">
        <v>123</v>
      </c>
      <c r="I4650" s="77" t="s">
        <v>84</v>
      </c>
      <c r="J4650" s="76">
        <v>2.890870278990243E-5</v>
      </c>
    </row>
    <row r="4651" spans="1:11" x14ac:dyDescent="0.35">
      <c r="A4651" t="s">
        <v>15</v>
      </c>
      <c r="B4651" t="s">
        <v>37</v>
      </c>
      <c r="C4651" s="77" t="s">
        <v>88</v>
      </c>
      <c r="D4651" t="s">
        <v>81</v>
      </c>
      <c r="E4651" s="77" t="s">
        <v>122</v>
      </c>
      <c r="F4651" s="77" t="s">
        <v>73</v>
      </c>
      <c r="G4651" s="77" t="s">
        <v>74</v>
      </c>
      <c r="H4651" s="77" t="s">
        <v>123</v>
      </c>
      <c r="I4651" s="77" t="s">
        <v>84</v>
      </c>
      <c r="J4651" s="76">
        <v>0</v>
      </c>
    </row>
    <row r="4652" spans="1:11" x14ac:dyDescent="0.35">
      <c r="A4652" t="s">
        <v>15</v>
      </c>
      <c r="B4652" t="s">
        <v>37</v>
      </c>
      <c r="C4652" s="77" t="s">
        <v>88</v>
      </c>
      <c r="D4652" t="s">
        <v>81</v>
      </c>
      <c r="E4652" s="77" t="s">
        <v>126</v>
      </c>
      <c r="F4652" s="77" t="s">
        <v>73</v>
      </c>
      <c r="G4652" s="77" t="s">
        <v>74</v>
      </c>
      <c r="H4652" s="77" t="s">
        <v>123</v>
      </c>
      <c r="I4652" s="77" t="s">
        <v>84</v>
      </c>
      <c r="J4652" s="76">
        <v>2.8514320987501449E-3</v>
      </c>
    </row>
    <row r="4653" spans="1:11" x14ac:dyDescent="0.35">
      <c r="A4653" t="s">
        <v>15</v>
      </c>
      <c r="B4653" t="s">
        <v>37</v>
      </c>
      <c r="C4653" s="77" t="s">
        <v>88</v>
      </c>
      <c r="D4653" t="s">
        <v>81</v>
      </c>
      <c r="E4653" s="77" t="s">
        <v>101</v>
      </c>
      <c r="F4653" s="77" t="s">
        <v>73</v>
      </c>
      <c r="G4653" s="77" t="s">
        <v>74</v>
      </c>
      <c r="H4653" s="77" t="s">
        <v>123</v>
      </c>
      <c r="I4653" s="77" t="s">
        <v>84</v>
      </c>
      <c r="J4653" s="76">
        <v>0</v>
      </c>
    </row>
    <row r="4654" spans="1:11" x14ac:dyDescent="0.35">
      <c r="A4654" t="s">
        <v>15</v>
      </c>
      <c r="B4654" t="s">
        <v>37</v>
      </c>
      <c r="C4654" s="77" t="s">
        <v>88</v>
      </c>
      <c r="D4654" t="s">
        <v>81</v>
      </c>
      <c r="E4654" s="77" t="s">
        <v>104</v>
      </c>
      <c r="F4654" s="77" t="s">
        <v>73</v>
      </c>
      <c r="G4654" s="77" t="s">
        <v>74</v>
      </c>
      <c r="H4654" s="77" t="s">
        <v>123</v>
      </c>
      <c r="I4654" s="77" t="s">
        <v>84</v>
      </c>
      <c r="J4654" s="76">
        <v>0</v>
      </c>
    </row>
    <row r="4655" spans="1:11" x14ac:dyDescent="0.35">
      <c r="A4655" t="s">
        <v>15</v>
      </c>
      <c r="B4655" t="s">
        <v>37</v>
      </c>
      <c r="C4655" s="77" t="s">
        <v>88</v>
      </c>
      <c r="D4655" t="s">
        <v>81</v>
      </c>
      <c r="E4655" s="77" t="s">
        <v>106</v>
      </c>
      <c r="F4655" s="77" t="s">
        <v>73</v>
      </c>
      <c r="G4655" s="77" t="s">
        <v>74</v>
      </c>
      <c r="H4655" s="77" t="s">
        <v>123</v>
      </c>
      <c r="I4655" s="77" t="s">
        <v>84</v>
      </c>
      <c r="J4655" s="76">
        <v>0</v>
      </c>
    </row>
    <row r="4656" spans="1:11" x14ac:dyDescent="0.35">
      <c r="A4656" t="s">
        <v>15</v>
      </c>
      <c r="B4656" t="s">
        <v>37</v>
      </c>
      <c r="C4656" s="77" t="s">
        <v>90</v>
      </c>
      <c r="D4656" t="s">
        <v>81</v>
      </c>
      <c r="E4656" s="77" t="s">
        <v>119</v>
      </c>
      <c r="F4656" s="77" t="s">
        <v>73</v>
      </c>
      <c r="G4656" s="77" t="s">
        <v>74</v>
      </c>
      <c r="H4656" s="77" t="s">
        <v>123</v>
      </c>
      <c r="I4656" s="77" t="s">
        <v>84</v>
      </c>
      <c r="J4656" s="76">
        <f>'SUT_EU27 total'!$M$56</f>
        <v>2.949251079979006E-2</v>
      </c>
    </row>
    <row r="4657" spans="1:10" x14ac:dyDescent="0.35">
      <c r="A4657" t="s">
        <v>15</v>
      </c>
      <c r="B4657" t="s">
        <v>37</v>
      </c>
      <c r="C4657" s="77" t="s">
        <v>90</v>
      </c>
      <c r="D4657" t="s">
        <v>81</v>
      </c>
      <c r="E4657" s="77" t="s">
        <v>124</v>
      </c>
      <c r="F4657" s="77" t="s">
        <v>73</v>
      </c>
      <c r="G4657" s="77" t="s">
        <v>74</v>
      </c>
      <c r="H4657" s="77" t="s">
        <v>123</v>
      </c>
      <c r="I4657" s="77" t="s">
        <v>84</v>
      </c>
      <c r="J4657" s="76" cm="1">
        <f t="array" ref="J4657:J4665">'SUT_EU27 total'!$L$60:$L$68</f>
        <v>2.1047443073980527E-5</v>
      </c>
    </row>
    <row r="4658" spans="1:10" x14ac:dyDescent="0.35">
      <c r="A4658" t="s">
        <v>15</v>
      </c>
      <c r="B4658" t="s">
        <v>37</v>
      </c>
      <c r="C4658" s="77" t="s">
        <v>90</v>
      </c>
      <c r="D4658" t="s">
        <v>81</v>
      </c>
      <c r="E4658" s="77" t="s">
        <v>117</v>
      </c>
      <c r="F4658" s="77" t="s">
        <v>73</v>
      </c>
      <c r="G4658" s="77" t="s">
        <v>74</v>
      </c>
      <c r="H4658" s="77" t="s">
        <v>123</v>
      </c>
      <c r="I4658" s="77" t="s">
        <v>84</v>
      </c>
      <c r="J4658" s="76">
        <v>5.8414015621608938E-3</v>
      </c>
    </row>
    <row r="4659" spans="1:10" x14ac:dyDescent="0.35">
      <c r="A4659" t="s">
        <v>15</v>
      </c>
      <c r="B4659" t="s">
        <v>37</v>
      </c>
      <c r="C4659" s="77" t="s">
        <v>90</v>
      </c>
      <c r="D4659" t="s">
        <v>81</v>
      </c>
      <c r="E4659" s="77" t="s">
        <v>82</v>
      </c>
      <c r="F4659" s="77" t="s">
        <v>73</v>
      </c>
      <c r="G4659" s="77" t="s">
        <v>74</v>
      </c>
      <c r="H4659" s="77" t="s">
        <v>123</v>
      </c>
      <c r="I4659" s="77" t="s">
        <v>84</v>
      </c>
      <c r="J4659" s="76">
        <v>1.4521138379047227E-3</v>
      </c>
    </row>
    <row r="4660" spans="1:10" x14ac:dyDescent="0.35">
      <c r="A4660" t="s">
        <v>15</v>
      </c>
      <c r="B4660" t="s">
        <v>37</v>
      </c>
      <c r="C4660" s="77" t="s">
        <v>90</v>
      </c>
      <c r="D4660" t="s">
        <v>81</v>
      </c>
      <c r="E4660" s="77" t="s">
        <v>125</v>
      </c>
      <c r="F4660" s="77" t="s">
        <v>73</v>
      </c>
      <c r="G4660" s="77" t="s">
        <v>74</v>
      </c>
      <c r="H4660" s="77" t="s">
        <v>123</v>
      </c>
      <c r="I4660" s="77" t="s">
        <v>84</v>
      </c>
      <c r="J4660" s="76">
        <v>6.5130870114372285E-5</v>
      </c>
    </row>
    <row r="4661" spans="1:10" x14ac:dyDescent="0.35">
      <c r="A4661" t="s">
        <v>15</v>
      </c>
      <c r="B4661" t="s">
        <v>37</v>
      </c>
      <c r="C4661" s="77" t="s">
        <v>90</v>
      </c>
      <c r="D4661" t="s">
        <v>81</v>
      </c>
      <c r="E4661" s="77" t="s">
        <v>122</v>
      </c>
      <c r="F4661" s="77" t="s">
        <v>73</v>
      </c>
      <c r="G4661" s="77" t="s">
        <v>74</v>
      </c>
      <c r="H4661" s="77" t="s">
        <v>123</v>
      </c>
      <c r="I4661" s="77" t="s">
        <v>84</v>
      </c>
      <c r="J4661" s="76">
        <v>7.9476813317479189E-4</v>
      </c>
    </row>
    <row r="4662" spans="1:10" x14ac:dyDescent="0.35">
      <c r="A4662" t="s">
        <v>15</v>
      </c>
      <c r="B4662" t="s">
        <v>37</v>
      </c>
      <c r="C4662" s="77" t="s">
        <v>90</v>
      </c>
      <c r="D4662" t="s">
        <v>81</v>
      </c>
      <c r="E4662" s="77" t="s">
        <v>126</v>
      </c>
      <c r="F4662" s="77" t="s">
        <v>73</v>
      </c>
      <c r="G4662" s="77" t="s">
        <v>74</v>
      </c>
      <c r="H4662" s="77" t="s">
        <v>123</v>
      </c>
      <c r="I4662" s="77" t="s">
        <v>84</v>
      </c>
      <c r="J4662" s="76">
        <v>8.4821183458843076E-3</v>
      </c>
    </row>
    <row r="4663" spans="1:10" x14ac:dyDescent="0.35">
      <c r="A4663" t="s">
        <v>15</v>
      </c>
      <c r="B4663" t="s">
        <v>37</v>
      </c>
      <c r="C4663" s="77" t="s">
        <v>90</v>
      </c>
      <c r="D4663" t="s">
        <v>81</v>
      </c>
      <c r="E4663" s="77" t="s">
        <v>101</v>
      </c>
      <c r="F4663" s="77" t="s">
        <v>73</v>
      </c>
      <c r="G4663" s="77" t="s">
        <v>74</v>
      </c>
      <c r="H4663" s="77" t="s">
        <v>123</v>
      </c>
      <c r="I4663" s="77" t="s">
        <v>84</v>
      </c>
      <c r="J4663" s="76">
        <v>0</v>
      </c>
    </row>
    <row r="4664" spans="1:10" x14ac:dyDescent="0.35">
      <c r="A4664" t="s">
        <v>15</v>
      </c>
      <c r="B4664" t="s">
        <v>37</v>
      </c>
      <c r="C4664" s="77" t="s">
        <v>90</v>
      </c>
      <c r="D4664" t="s">
        <v>81</v>
      </c>
      <c r="E4664" s="77" t="s">
        <v>104</v>
      </c>
      <c r="F4664" s="77" t="s">
        <v>73</v>
      </c>
      <c r="G4664" s="77" t="s">
        <v>74</v>
      </c>
      <c r="H4664" s="77" t="s">
        <v>123</v>
      </c>
      <c r="I4664" s="77" t="s">
        <v>84</v>
      </c>
      <c r="J4664" s="76">
        <v>0</v>
      </c>
    </row>
    <row r="4665" spans="1:10" x14ac:dyDescent="0.35">
      <c r="A4665" t="s">
        <v>15</v>
      </c>
      <c r="B4665" t="s">
        <v>37</v>
      </c>
      <c r="C4665" s="77" t="s">
        <v>90</v>
      </c>
      <c r="D4665" t="s">
        <v>81</v>
      </c>
      <c r="E4665" s="77" t="s">
        <v>106</v>
      </c>
      <c r="F4665" s="77" t="s">
        <v>73</v>
      </c>
      <c r="G4665" s="77" t="s">
        <v>74</v>
      </c>
      <c r="H4665" s="77" t="s">
        <v>123</v>
      </c>
      <c r="I4665" s="77" t="s">
        <v>84</v>
      </c>
      <c r="J4665" s="76">
        <v>0</v>
      </c>
    </row>
    <row r="4666" spans="1:10" x14ac:dyDescent="0.35">
      <c r="A4666" t="s">
        <v>15</v>
      </c>
      <c r="B4666" t="s">
        <v>37</v>
      </c>
      <c r="C4666" s="77" t="s">
        <v>91</v>
      </c>
      <c r="D4666" t="s">
        <v>81</v>
      </c>
      <c r="E4666" s="77" t="s">
        <v>119</v>
      </c>
      <c r="F4666" s="77" t="s">
        <v>73</v>
      </c>
      <c r="G4666" s="77" t="s">
        <v>74</v>
      </c>
      <c r="H4666" s="77" t="s">
        <v>123</v>
      </c>
      <c r="I4666" s="77" t="s">
        <v>84</v>
      </c>
      <c r="J4666" s="76">
        <f>'SUT_EU27 total'!$L$73</f>
        <v>0.15097500908393557</v>
      </c>
    </row>
    <row r="4667" spans="1:10" x14ac:dyDescent="0.35">
      <c r="A4667" t="s">
        <v>15</v>
      </c>
      <c r="B4667" t="s">
        <v>37</v>
      </c>
      <c r="C4667" s="77" t="s">
        <v>91</v>
      </c>
      <c r="D4667" t="s">
        <v>81</v>
      </c>
      <c r="E4667" s="77" t="s">
        <v>124</v>
      </c>
      <c r="F4667" s="77" t="s">
        <v>73</v>
      </c>
      <c r="G4667" s="77" t="s">
        <v>74</v>
      </c>
      <c r="H4667" s="77" t="s">
        <v>123</v>
      </c>
      <c r="I4667" s="77" t="s">
        <v>84</v>
      </c>
      <c r="J4667" s="76" cm="1">
        <f t="array" ref="J4667:J4675">'SUT_EU27 total'!$L$77:$L$85</f>
        <v>6.7728942399646885E-5</v>
      </c>
    </row>
    <row r="4668" spans="1:10" x14ac:dyDescent="0.35">
      <c r="A4668" t="s">
        <v>15</v>
      </c>
      <c r="B4668" t="s">
        <v>37</v>
      </c>
      <c r="C4668" s="77" t="s">
        <v>91</v>
      </c>
      <c r="D4668" t="s">
        <v>81</v>
      </c>
      <c r="E4668" s="77" t="s">
        <v>117</v>
      </c>
      <c r="F4668" s="77" t="s">
        <v>73</v>
      </c>
      <c r="G4668" s="77" t="s">
        <v>74</v>
      </c>
      <c r="H4668" s="77" t="s">
        <v>123</v>
      </c>
      <c r="I4668" s="77" t="s">
        <v>84</v>
      </c>
      <c r="J4668" s="76">
        <v>5.6233849622410815E-3</v>
      </c>
    </row>
    <row r="4669" spans="1:10" x14ac:dyDescent="0.35">
      <c r="A4669" t="s">
        <v>15</v>
      </c>
      <c r="B4669" t="s">
        <v>37</v>
      </c>
      <c r="C4669" s="77" t="s">
        <v>91</v>
      </c>
      <c r="D4669" t="s">
        <v>81</v>
      </c>
      <c r="E4669" s="77" t="s">
        <v>82</v>
      </c>
      <c r="F4669" s="77" t="s">
        <v>73</v>
      </c>
      <c r="G4669" s="77" t="s">
        <v>74</v>
      </c>
      <c r="H4669" s="77" t="s">
        <v>123</v>
      </c>
      <c r="I4669" s="77" t="s">
        <v>84</v>
      </c>
      <c r="J4669" s="76">
        <v>1.8068055269127655E-3</v>
      </c>
    </row>
    <row r="4670" spans="1:10" x14ac:dyDescent="0.35">
      <c r="A4670" t="s">
        <v>15</v>
      </c>
      <c r="B4670" t="s">
        <v>37</v>
      </c>
      <c r="C4670" s="77" t="s">
        <v>91</v>
      </c>
      <c r="D4670" t="s">
        <v>81</v>
      </c>
      <c r="E4670" s="77" t="s">
        <v>125</v>
      </c>
      <c r="F4670" s="77" t="s">
        <v>73</v>
      </c>
      <c r="G4670" s="77" t="s">
        <v>74</v>
      </c>
      <c r="H4670" s="77" t="s">
        <v>123</v>
      </c>
      <c r="I4670" s="77" t="s">
        <v>84</v>
      </c>
      <c r="J4670" s="76">
        <v>5.6492118062760293E-6</v>
      </c>
    </row>
    <row r="4671" spans="1:10" x14ac:dyDescent="0.35">
      <c r="A4671" t="s">
        <v>15</v>
      </c>
      <c r="B4671" t="s">
        <v>37</v>
      </c>
      <c r="C4671" s="77" t="s">
        <v>91</v>
      </c>
      <c r="D4671" t="s">
        <v>81</v>
      </c>
      <c r="E4671" s="77" t="s">
        <v>122</v>
      </c>
      <c r="F4671" s="77" t="s">
        <v>73</v>
      </c>
      <c r="G4671" s="77" t="s">
        <v>74</v>
      </c>
      <c r="H4671" s="77" t="s">
        <v>123</v>
      </c>
      <c r="I4671" s="77" t="s">
        <v>84</v>
      </c>
      <c r="J4671" s="76">
        <v>0</v>
      </c>
    </row>
    <row r="4672" spans="1:10" x14ac:dyDescent="0.35">
      <c r="A4672" t="s">
        <v>15</v>
      </c>
      <c r="B4672" t="s">
        <v>37</v>
      </c>
      <c r="C4672" s="77" t="s">
        <v>91</v>
      </c>
      <c r="D4672" t="s">
        <v>81</v>
      </c>
      <c r="E4672" s="77" t="s">
        <v>126</v>
      </c>
      <c r="F4672" s="77" t="s">
        <v>73</v>
      </c>
      <c r="G4672" s="77" t="s">
        <v>74</v>
      </c>
      <c r="H4672" s="77" t="s">
        <v>123</v>
      </c>
      <c r="I4672" s="77" t="s">
        <v>84</v>
      </c>
      <c r="J4672" s="76">
        <v>8.1093795177776388E-4</v>
      </c>
    </row>
    <row r="4673" spans="1:10" x14ac:dyDescent="0.35">
      <c r="A4673" t="s">
        <v>15</v>
      </c>
      <c r="B4673" t="s">
        <v>37</v>
      </c>
      <c r="C4673" s="77" t="s">
        <v>91</v>
      </c>
      <c r="D4673" t="s">
        <v>81</v>
      </c>
      <c r="E4673" s="77" t="s">
        <v>101</v>
      </c>
      <c r="F4673" s="77" t="s">
        <v>73</v>
      </c>
      <c r="G4673" s="77" t="s">
        <v>74</v>
      </c>
      <c r="H4673" s="77" t="s">
        <v>123</v>
      </c>
      <c r="I4673" s="77" t="s">
        <v>84</v>
      </c>
      <c r="J4673" s="76">
        <v>0</v>
      </c>
    </row>
    <row r="4674" spans="1:10" x14ac:dyDescent="0.35">
      <c r="A4674" t="s">
        <v>15</v>
      </c>
      <c r="B4674" t="s">
        <v>37</v>
      </c>
      <c r="C4674" s="77" t="s">
        <v>91</v>
      </c>
      <c r="D4674" t="s">
        <v>81</v>
      </c>
      <c r="E4674" s="77" t="s">
        <v>104</v>
      </c>
      <c r="F4674" s="77" t="s">
        <v>73</v>
      </c>
      <c r="G4674" s="77" t="s">
        <v>74</v>
      </c>
      <c r="H4674" s="77" t="s">
        <v>123</v>
      </c>
      <c r="I4674" s="77" t="s">
        <v>84</v>
      </c>
      <c r="J4674" s="76">
        <v>0</v>
      </c>
    </row>
    <row r="4675" spans="1:10" x14ac:dyDescent="0.35">
      <c r="A4675" t="s">
        <v>15</v>
      </c>
      <c r="B4675" t="s">
        <v>37</v>
      </c>
      <c r="C4675" s="77" t="s">
        <v>91</v>
      </c>
      <c r="D4675" t="s">
        <v>81</v>
      </c>
      <c r="E4675" s="77" t="s">
        <v>106</v>
      </c>
      <c r="F4675" s="77" t="s">
        <v>73</v>
      </c>
      <c r="G4675" s="77" t="s">
        <v>74</v>
      </c>
      <c r="H4675" s="77" t="s">
        <v>123</v>
      </c>
      <c r="I4675" s="77" t="s">
        <v>84</v>
      </c>
      <c r="J4675" s="76">
        <v>0</v>
      </c>
    </row>
    <row r="4676" spans="1:10" x14ac:dyDescent="0.35">
      <c r="A4676" t="s">
        <v>15</v>
      </c>
      <c r="B4676" t="s">
        <v>37</v>
      </c>
      <c r="C4676" s="77" t="s">
        <v>92</v>
      </c>
      <c r="D4676" t="s">
        <v>81</v>
      </c>
      <c r="E4676" s="77" t="s">
        <v>119</v>
      </c>
      <c r="F4676" s="77" t="s">
        <v>73</v>
      </c>
      <c r="G4676" s="77" t="s">
        <v>74</v>
      </c>
      <c r="H4676" s="77" t="s">
        <v>123</v>
      </c>
      <c r="I4676" s="77" t="s">
        <v>84</v>
      </c>
      <c r="J4676" s="76">
        <f>'SUT_EU27 total'!$L$90</f>
        <v>0.13886309499777949</v>
      </c>
    </row>
    <row r="4677" spans="1:10" x14ac:dyDescent="0.35">
      <c r="A4677" t="s">
        <v>15</v>
      </c>
      <c r="B4677" t="s">
        <v>37</v>
      </c>
      <c r="C4677" s="77" t="s">
        <v>92</v>
      </c>
      <c r="D4677" t="s">
        <v>81</v>
      </c>
      <c r="E4677" s="77" t="s">
        <v>124</v>
      </c>
      <c r="F4677" s="77" t="s">
        <v>73</v>
      </c>
      <c r="G4677" s="77" t="s">
        <v>74</v>
      </c>
      <c r="H4677" s="77" t="s">
        <v>123</v>
      </c>
      <c r="I4677" s="77" t="s">
        <v>84</v>
      </c>
      <c r="J4677" s="76" cm="1">
        <f t="array" ref="J4677:J4685">'SUT_EU27 total'!$L$94:$L$102</f>
        <v>9.2968907089085616E-5</v>
      </c>
    </row>
    <row r="4678" spans="1:10" x14ac:dyDescent="0.35">
      <c r="A4678" t="s">
        <v>15</v>
      </c>
      <c r="B4678" t="s">
        <v>37</v>
      </c>
      <c r="C4678" s="77" t="s">
        <v>92</v>
      </c>
      <c r="D4678" t="s">
        <v>81</v>
      </c>
      <c r="E4678" s="77" t="s">
        <v>117</v>
      </c>
      <c r="F4678" s="77" t="s">
        <v>73</v>
      </c>
      <c r="G4678" s="77" t="s">
        <v>74</v>
      </c>
      <c r="H4678" s="77" t="s">
        <v>123</v>
      </c>
      <c r="I4678" s="77" t="s">
        <v>84</v>
      </c>
      <c r="J4678" s="76">
        <v>0</v>
      </c>
    </row>
    <row r="4679" spans="1:10" x14ac:dyDescent="0.35">
      <c r="A4679" t="s">
        <v>15</v>
      </c>
      <c r="B4679" t="s">
        <v>37</v>
      </c>
      <c r="C4679" s="77" t="s">
        <v>92</v>
      </c>
      <c r="D4679" t="s">
        <v>81</v>
      </c>
      <c r="E4679" s="77" t="s">
        <v>82</v>
      </c>
      <c r="F4679" s="77" t="s">
        <v>73</v>
      </c>
      <c r="G4679" s="77" t="s">
        <v>74</v>
      </c>
      <c r="H4679" s="77" t="s">
        <v>123</v>
      </c>
      <c r="I4679" s="77" t="s">
        <v>84</v>
      </c>
      <c r="J4679" s="76">
        <v>1.1251392039595793E-3</v>
      </c>
    </row>
    <row r="4680" spans="1:10" x14ac:dyDescent="0.35">
      <c r="A4680" t="s">
        <v>15</v>
      </c>
      <c r="B4680" t="s">
        <v>37</v>
      </c>
      <c r="C4680" s="77" t="s">
        <v>92</v>
      </c>
      <c r="D4680" t="s">
        <v>81</v>
      </c>
      <c r="E4680" s="77" t="s">
        <v>125</v>
      </c>
      <c r="F4680" s="77" t="s">
        <v>73</v>
      </c>
      <c r="G4680" s="77" t="s">
        <v>74</v>
      </c>
      <c r="H4680" s="77" t="s">
        <v>123</v>
      </c>
      <c r="I4680" s="77" t="s">
        <v>84</v>
      </c>
      <c r="J4680" s="76">
        <v>5.0048817841215026E-7</v>
      </c>
    </row>
    <row r="4681" spans="1:10" x14ac:dyDescent="0.35">
      <c r="A4681" t="s">
        <v>15</v>
      </c>
      <c r="B4681" t="s">
        <v>37</v>
      </c>
      <c r="C4681" s="77" t="s">
        <v>92</v>
      </c>
      <c r="D4681" t="s">
        <v>81</v>
      </c>
      <c r="E4681" s="77" t="s">
        <v>122</v>
      </c>
      <c r="F4681" s="77" t="s">
        <v>73</v>
      </c>
      <c r="G4681" s="77" t="s">
        <v>74</v>
      </c>
      <c r="H4681" s="77" t="s">
        <v>123</v>
      </c>
      <c r="I4681" s="77" t="s">
        <v>84</v>
      </c>
      <c r="J4681" s="76">
        <v>0</v>
      </c>
    </row>
    <row r="4682" spans="1:10" x14ac:dyDescent="0.35">
      <c r="A4682" t="s">
        <v>15</v>
      </c>
      <c r="B4682" t="s">
        <v>37</v>
      </c>
      <c r="C4682" s="77" t="s">
        <v>92</v>
      </c>
      <c r="D4682" t="s">
        <v>81</v>
      </c>
      <c r="E4682" s="77" t="s">
        <v>126</v>
      </c>
      <c r="F4682" s="77" t="s">
        <v>73</v>
      </c>
      <c r="G4682" s="77" t="s">
        <v>74</v>
      </c>
      <c r="H4682" s="77" t="s">
        <v>123</v>
      </c>
      <c r="I4682" s="77" t="s">
        <v>84</v>
      </c>
      <c r="J4682" s="76">
        <v>0</v>
      </c>
    </row>
    <row r="4683" spans="1:10" x14ac:dyDescent="0.35">
      <c r="A4683" t="s">
        <v>15</v>
      </c>
      <c r="B4683" t="s">
        <v>37</v>
      </c>
      <c r="C4683" s="77" t="s">
        <v>92</v>
      </c>
      <c r="D4683" t="s">
        <v>81</v>
      </c>
      <c r="E4683" s="77" t="s">
        <v>101</v>
      </c>
      <c r="F4683" s="77" t="s">
        <v>73</v>
      </c>
      <c r="G4683" s="77" t="s">
        <v>74</v>
      </c>
      <c r="H4683" s="77" t="s">
        <v>123</v>
      </c>
      <c r="I4683" s="77" t="s">
        <v>84</v>
      </c>
      <c r="J4683" s="76">
        <v>0</v>
      </c>
    </row>
    <row r="4684" spans="1:10" x14ac:dyDescent="0.35">
      <c r="A4684" t="s">
        <v>15</v>
      </c>
      <c r="B4684" t="s">
        <v>37</v>
      </c>
      <c r="C4684" s="77" t="s">
        <v>92</v>
      </c>
      <c r="D4684" t="s">
        <v>81</v>
      </c>
      <c r="E4684" s="77" t="s">
        <v>104</v>
      </c>
      <c r="F4684" s="77" t="s">
        <v>73</v>
      </c>
      <c r="G4684" s="77" t="s">
        <v>74</v>
      </c>
      <c r="H4684" s="77" t="s">
        <v>123</v>
      </c>
      <c r="I4684" s="77" t="s">
        <v>84</v>
      </c>
      <c r="J4684" s="76">
        <v>0</v>
      </c>
    </row>
    <row r="4685" spans="1:10" x14ac:dyDescent="0.35">
      <c r="A4685" t="s">
        <v>15</v>
      </c>
      <c r="B4685" t="s">
        <v>37</v>
      </c>
      <c r="C4685" s="77" t="s">
        <v>92</v>
      </c>
      <c r="D4685" t="s">
        <v>81</v>
      </c>
      <c r="E4685" s="77" t="s">
        <v>106</v>
      </c>
      <c r="F4685" s="77" t="s">
        <v>73</v>
      </c>
      <c r="G4685" s="77" t="s">
        <v>74</v>
      </c>
      <c r="H4685" s="77" t="s">
        <v>123</v>
      </c>
      <c r="I4685" s="77" t="s">
        <v>84</v>
      </c>
      <c r="J4685" s="76">
        <v>0</v>
      </c>
    </row>
    <row r="4686" spans="1:10" x14ac:dyDescent="0.35">
      <c r="A4686" t="s">
        <v>15</v>
      </c>
      <c r="B4686" t="s">
        <v>37</v>
      </c>
      <c r="C4686" s="77" t="s">
        <v>93</v>
      </c>
      <c r="D4686" t="s">
        <v>81</v>
      </c>
      <c r="E4686" s="77" t="s">
        <v>119</v>
      </c>
      <c r="F4686" s="77" t="s">
        <v>73</v>
      </c>
      <c r="G4686" s="77" t="s">
        <v>74</v>
      </c>
      <c r="H4686" s="77" t="s">
        <v>123</v>
      </c>
      <c r="I4686" s="77" t="s">
        <v>84</v>
      </c>
      <c r="J4686" s="76">
        <f>'SUT_EU27 total'!$L$107</f>
        <v>1.0000807460939076</v>
      </c>
    </row>
    <row r="4687" spans="1:10" x14ac:dyDescent="0.35">
      <c r="A4687" t="s">
        <v>15</v>
      </c>
      <c r="B4687" t="s">
        <v>37</v>
      </c>
      <c r="C4687" s="77" t="s">
        <v>93</v>
      </c>
      <c r="D4687" t="s">
        <v>81</v>
      </c>
      <c r="E4687" s="77" t="s">
        <v>124</v>
      </c>
      <c r="F4687" s="77" t="s">
        <v>73</v>
      </c>
      <c r="G4687" s="77" t="s">
        <v>74</v>
      </c>
      <c r="H4687" s="77" t="s">
        <v>123</v>
      </c>
      <c r="I4687" s="77" t="s">
        <v>84</v>
      </c>
      <c r="J4687" s="76" cm="1">
        <f t="array" ref="J4687:J4695">'SUT_EU27 total'!$L$111:$L$119</f>
        <v>3.7052409430862396E-4</v>
      </c>
    </row>
    <row r="4688" spans="1:10" x14ac:dyDescent="0.35">
      <c r="A4688" t="s">
        <v>15</v>
      </c>
      <c r="B4688" t="s">
        <v>37</v>
      </c>
      <c r="C4688" s="77" t="s">
        <v>93</v>
      </c>
      <c r="D4688" t="s">
        <v>81</v>
      </c>
      <c r="E4688" s="77" t="s">
        <v>117</v>
      </c>
      <c r="F4688" s="77" t="s">
        <v>73</v>
      </c>
      <c r="G4688" s="77" t="s">
        <v>74</v>
      </c>
      <c r="H4688" s="77" t="s">
        <v>123</v>
      </c>
      <c r="I4688" s="77" t="s">
        <v>84</v>
      </c>
      <c r="J4688" s="76">
        <v>5.8414042458127093E-3</v>
      </c>
    </row>
    <row r="4689" spans="1:10" x14ac:dyDescent="0.35">
      <c r="A4689" t="s">
        <v>15</v>
      </c>
      <c r="B4689" t="s">
        <v>37</v>
      </c>
      <c r="C4689" s="77" t="s">
        <v>93</v>
      </c>
      <c r="D4689" t="s">
        <v>81</v>
      </c>
      <c r="E4689" s="77" t="s">
        <v>82</v>
      </c>
      <c r="F4689" s="77" t="s">
        <v>73</v>
      </c>
      <c r="G4689" s="77" t="s">
        <v>74</v>
      </c>
      <c r="H4689" s="77" t="s">
        <v>123</v>
      </c>
      <c r="I4689" s="77" t="s">
        <v>84</v>
      </c>
      <c r="J4689" s="76">
        <v>5.0319447308723453E-3</v>
      </c>
    </row>
    <row r="4690" spans="1:10" x14ac:dyDescent="0.35">
      <c r="A4690" t="s">
        <v>15</v>
      </c>
      <c r="B4690" t="s">
        <v>37</v>
      </c>
      <c r="C4690" s="77" t="s">
        <v>93</v>
      </c>
      <c r="D4690" t="s">
        <v>81</v>
      </c>
      <c r="E4690" s="77" t="s">
        <v>125</v>
      </c>
      <c r="F4690" s="77" t="s">
        <v>73</v>
      </c>
      <c r="G4690" s="77" t="s">
        <v>74</v>
      </c>
      <c r="H4690" s="77" t="s">
        <v>123</v>
      </c>
      <c r="I4690" s="77" t="s">
        <v>84</v>
      </c>
      <c r="J4690" s="76">
        <v>4.336096678710085E-4</v>
      </c>
    </row>
    <row r="4691" spans="1:10" x14ac:dyDescent="0.35">
      <c r="A4691" t="s">
        <v>15</v>
      </c>
      <c r="B4691" t="s">
        <v>37</v>
      </c>
      <c r="C4691" s="77" t="s">
        <v>93</v>
      </c>
      <c r="D4691" t="s">
        <v>81</v>
      </c>
      <c r="E4691" s="77" t="s">
        <v>122</v>
      </c>
      <c r="F4691" s="77" t="s">
        <v>73</v>
      </c>
      <c r="G4691" s="77" t="s">
        <v>74</v>
      </c>
      <c r="H4691" s="77" t="s">
        <v>123</v>
      </c>
      <c r="I4691" s="77" t="s">
        <v>84</v>
      </c>
      <c r="J4691" s="76">
        <v>2.7129607609988112E-3</v>
      </c>
    </row>
    <row r="4692" spans="1:10" x14ac:dyDescent="0.35">
      <c r="A4692" t="s">
        <v>15</v>
      </c>
      <c r="B4692" t="s">
        <v>37</v>
      </c>
      <c r="C4692" s="77" t="s">
        <v>93</v>
      </c>
      <c r="D4692" t="s">
        <v>81</v>
      </c>
      <c r="E4692" s="77" t="s">
        <v>126</v>
      </c>
      <c r="F4692" s="77" t="s">
        <v>73</v>
      </c>
      <c r="G4692" s="77" t="s">
        <v>74</v>
      </c>
      <c r="H4692" s="77" t="s">
        <v>123</v>
      </c>
      <c r="I4692" s="77" t="s">
        <v>84</v>
      </c>
      <c r="J4692" s="76">
        <v>4.3855511603587784E-2</v>
      </c>
    </row>
    <row r="4693" spans="1:10" x14ac:dyDescent="0.35">
      <c r="A4693" t="s">
        <v>15</v>
      </c>
      <c r="B4693" t="s">
        <v>37</v>
      </c>
      <c r="C4693" s="77" t="s">
        <v>93</v>
      </c>
      <c r="D4693" t="s">
        <v>81</v>
      </c>
      <c r="E4693" s="77" t="s">
        <v>101</v>
      </c>
      <c r="F4693" s="77" t="s">
        <v>73</v>
      </c>
      <c r="G4693" s="77" t="s">
        <v>74</v>
      </c>
      <c r="H4693" s="77" t="s">
        <v>123</v>
      </c>
      <c r="I4693" s="77" t="s">
        <v>84</v>
      </c>
      <c r="J4693" s="76">
        <v>0</v>
      </c>
    </row>
    <row r="4694" spans="1:10" x14ac:dyDescent="0.35">
      <c r="A4694" t="s">
        <v>15</v>
      </c>
      <c r="B4694" t="s">
        <v>37</v>
      </c>
      <c r="C4694" s="77" t="s">
        <v>93</v>
      </c>
      <c r="D4694" t="s">
        <v>81</v>
      </c>
      <c r="E4694" s="77" t="s">
        <v>104</v>
      </c>
      <c r="F4694" s="77" t="s">
        <v>73</v>
      </c>
      <c r="G4694" s="77" t="s">
        <v>74</v>
      </c>
      <c r="H4694" s="77" t="s">
        <v>123</v>
      </c>
      <c r="I4694" s="77" t="s">
        <v>84</v>
      </c>
      <c r="J4694" s="76">
        <v>0</v>
      </c>
    </row>
    <row r="4695" spans="1:10" x14ac:dyDescent="0.35">
      <c r="A4695" t="s">
        <v>15</v>
      </c>
      <c r="B4695" t="s">
        <v>37</v>
      </c>
      <c r="C4695" s="77" t="s">
        <v>93</v>
      </c>
      <c r="D4695" t="s">
        <v>81</v>
      </c>
      <c r="E4695" s="77" t="s">
        <v>106</v>
      </c>
      <c r="F4695" s="77" t="s">
        <v>73</v>
      </c>
      <c r="G4695" s="77" t="s">
        <v>74</v>
      </c>
      <c r="H4695" s="77" t="s">
        <v>123</v>
      </c>
      <c r="I4695" s="77" t="s">
        <v>84</v>
      </c>
      <c r="J4695" s="76">
        <v>0</v>
      </c>
    </row>
    <row r="4696" spans="1:10" x14ac:dyDescent="0.35">
      <c r="A4696" t="s">
        <v>15</v>
      </c>
      <c r="B4696" t="s">
        <v>37</v>
      </c>
      <c r="C4696" s="77" t="s">
        <v>73</v>
      </c>
      <c r="D4696" t="s">
        <v>81</v>
      </c>
      <c r="E4696" s="77" t="s">
        <v>119</v>
      </c>
      <c r="F4696" s="77" t="s">
        <v>73</v>
      </c>
      <c r="G4696" s="77" t="s">
        <v>74</v>
      </c>
      <c r="H4696" s="77" t="s">
        <v>127</v>
      </c>
      <c r="I4696" s="77" t="s">
        <v>84</v>
      </c>
      <c r="J4696" s="76">
        <f>'SUT_EU27 total'!$M$22</f>
        <v>1.9500181678711294E-2</v>
      </c>
    </row>
    <row r="4697" spans="1:10" x14ac:dyDescent="0.35">
      <c r="A4697" t="s">
        <v>15</v>
      </c>
      <c r="B4697" t="s">
        <v>37</v>
      </c>
      <c r="C4697" s="77" t="s">
        <v>73</v>
      </c>
      <c r="D4697" t="s">
        <v>81</v>
      </c>
      <c r="E4697" s="77" t="s">
        <v>124</v>
      </c>
      <c r="F4697" s="77" t="s">
        <v>73</v>
      </c>
      <c r="G4697" s="77" t="s">
        <v>74</v>
      </c>
      <c r="H4697" s="77" t="s">
        <v>127</v>
      </c>
      <c r="I4697" s="77" t="s">
        <v>84</v>
      </c>
      <c r="J4697" s="76" cm="1">
        <f t="array" ref="J4697:J4705">'SUT_EU27 total'!$M$26:$M$34</f>
        <v>1.9404661061278542E-3</v>
      </c>
    </row>
    <row r="4698" spans="1:10" x14ac:dyDescent="0.35">
      <c r="A4698" t="s">
        <v>15</v>
      </c>
      <c r="B4698" t="s">
        <v>37</v>
      </c>
      <c r="C4698" s="77" t="s">
        <v>73</v>
      </c>
      <c r="D4698" t="s">
        <v>81</v>
      </c>
      <c r="E4698" s="77" t="s">
        <v>117</v>
      </c>
      <c r="F4698" s="77" t="s">
        <v>73</v>
      </c>
      <c r="G4698" s="77" t="s">
        <v>74</v>
      </c>
      <c r="H4698" s="77" t="s">
        <v>127</v>
      </c>
      <c r="I4698" s="77" t="s">
        <v>84</v>
      </c>
      <c r="J4698" s="76">
        <v>5.8423628191201782E-3</v>
      </c>
    </row>
    <row r="4699" spans="1:10" x14ac:dyDescent="0.35">
      <c r="A4699" t="s">
        <v>15</v>
      </c>
      <c r="B4699" t="s">
        <v>37</v>
      </c>
      <c r="C4699" s="77" t="s">
        <v>73</v>
      </c>
      <c r="D4699" t="s">
        <v>81</v>
      </c>
      <c r="E4699" s="77" t="s">
        <v>82</v>
      </c>
      <c r="F4699" s="77" t="s">
        <v>73</v>
      </c>
      <c r="G4699" s="77" t="s">
        <v>74</v>
      </c>
      <c r="H4699" s="77" t="s">
        <v>127</v>
      </c>
      <c r="I4699" s="77" t="s">
        <v>84</v>
      </c>
      <c r="J4699" s="76">
        <v>4.8981233243967828E-4</v>
      </c>
    </row>
    <row r="4700" spans="1:10" x14ac:dyDescent="0.35">
      <c r="A4700" t="s">
        <v>15</v>
      </c>
      <c r="B4700" t="s">
        <v>37</v>
      </c>
      <c r="C4700" s="77" t="s">
        <v>73</v>
      </c>
      <c r="D4700" t="s">
        <v>81</v>
      </c>
      <c r="E4700" s="77" t="s">
        <v>125</v>
      </c>
      <c r="F4700" s="77" t="s">
        <v>73</v>
      </c>
      <c r="G4700" s="77" t="s">
        <v>74</v>
      </c>
      <c r="H4700" s="77" t="s">
        <v>127</v>
      </c>
      <c r="I4700" s="77" t="s">
        <v>84</v>
      </c>
      <c r="J4700" s="76">
        <v>2.4658201215687387E-3</v>
      </c>
    </row>
    <row r="4701" spans="1:10" x14ac:dyDescent="0.35">
      <c r="A4701" t="s">
        <v>15</v>
      </c>
      <c r="B4701" t="s">
        <v>37</v>
      </c>
      <c r="C4701" s="77" t="s">
        <v>73</v>
      </c>
      <c r="D4701" t="s">
        <v>81</v>
      </c>
      <c r="E4701" s="77" t="s">
        <v>122</v>
      </c>
      <c r="F4701" s="77" t="s">
        <v>73</v>
      </c>
      <c r="G4701" s="77" t="s">
        <v>74</v>
      </c>
      <c r="H4701" s="77" t="s">
        <v>127</v>
      </c>
      <c r="I4701" s="77" t="s">
        <v>84</v>
      </c>
      <c r="J4701" s="76">
        <v>4.922711058263972E-4</v>
      </c>
    </row>
    <row r="4702" spans="1:10" x14ac:dyDescent="0.35">
      <c r="A4702" t="s">
        <v>15</v>
      </c>
      <c r="B4702" t="s">
        <v>37</v>
      </c>
      <c r="C4702" s="77" t="s">
        <v>73</v>
      </c>
      <c r="D4702" t="s">
        <v>81</v>
      </c>
      <c r="E4702" s="77" t="s">
        <v>126</v>
      </c>
      <c r="F4702" s="77" t="s">
        <v>73</v>
      </c>
      <c r="G4702" s="77" t="s">
        <v>74</v>
      </c>
      <c r="H4702" s="77" t="s">
        <v>127</v>
      </c>
      <c r="I4702" s="77" t="s">
        <v>84</v>
      </c>
      <c r="J4702" s="76">
        <v>0</v>
      </c>
    </row>
    <row r="4703" spans="1:10" x14ac:dyDescent="0.35">
      <c r="A4703" t="s">
        <v>15</v>
      </c>
      <c r="B4703" t="s">
        <v>37</v>
      </c>
      <c r="C4703" s="77" t="s">
        <v>73</v>
      </c>
      <c r="D4703" t="s">
        <v>81</v>
      </c>
      <c r="E4703" s="77" t="s">
        <v>101</v>
      </c>
      <c r="F4703" s="77" t="s">
        <v>73</v>
      </c>
      <c r="G4703" s="77" t="s">
        <v>74</v>
      </c>
      <c r="H4703" s="77" t="s">
        <v>127</v>
      </c>
      <c r="I4703" s="77" t="s">
        <v>84</v>
      </c>
      <c r="J4703" s="76">
        <v>3.6586167200000007E-4</v>
      </c>
    </row>
    <row r="4704" spans="1:10" x14ac:dyDescent="0.35">
      <c r="A4704" t="s">
        <v>15</v>
      </c>
      <c r="B4704" t="s">
        <v>37</v>
      </c>
      <c r="C4704" s="77" t="s">
        <v>73</v>
      </c>
      <c r="D4704" t="s">
        <v>81</v>
      </c>
      <c r="E4704" s="77" t="s">
        <v>104</v>
      </c>
      <c r="F4704" s="77" t="s">
        <v>73</v>
      </c>
      <c r="G4704" s="77" t="s">
        <v>74</v>
      </c>
      <c r="H4704" s="77" t="s">
        <v>127</v>
      </c>
      <c r="I4704" s="77" t="s">
        <v>84</v>
      </c>
      <c r="J4704" s="76">
        <v>6.9272632800000005E-4</v>
      </c>
    </row>
    <row r="4705" spans="1:10" x14ac:dyDescent="0.35">
      <c r="A4705" t="s">
        <v>15</v>
      </c>
      <c r="B4705" t="s">
        <v>37</v>
      </c>
      <c r="C4705" s="77" t="s">
        <v>73</v>
      </c>
      <c r="D4705" t="s">
        <v>81</v>
      </c>
      <c r="E4705" s="77" t="s">
        <v>106</v>
      </c>
      <c r="F4705" s="77" t="s">
        <v>73</v>
      </c>
      <c r="G4705" s="77" t="s">
        <v>74</v>
      </c>
      <c r="H4705" s="77" t="s">
        <v>127</v>
      </c>
      <c r="I4705" s="77" t="s">
        <v>84</v>
      </c>
      <c r="J4705" s="76">
        <v>2.3562119999999999E-3</v>
      </c>
    </row>
    <row r="4706" spans="1:10" x14ac:dyDescent="0.35">
      <c r="A4706" t="s">
        <v>15</v>
      </c>
      <c r="B4706" t="s">
        <v>37</v>
      </c>
      <c r="C4706" s="77" t="s">
        <v>88</v>
      </c>
      <c r="D4706" t="s">
        <v>81</v>
      </c>
      <c r="E4706" s="77" t="s">
        <v>119</v>
      </c>
      <c r="F4706" s="77" t="s">
        <v>73</v>
      </c>
      <c r="G4706" s="77" t="s">
        <v>74</v>
      </c>
      <c r="H4706" s="77" t="s">
        <v>127</v>
      </c>
      <c r="I4706" s="77" t="s">
        <v>84</v>
      </c>
      <c r="J4706" s="76">
        <f>'SUT_EU27 total'!$M$39</f>
        <v>0.16108845734587587</v>
      </c>
    </row>
    <row r="4707" spans="1:10" x14ac:dyDescent="0.35">
      <c r="A4707" t="s">
        <v>15</v>
      </c>
      <c r="B4707" t="s">
        <v>37</v>
      </c>
      <c r="C4707" s="77" t="s">
        <v>88</v>
      </c>
      <c r="D4707" t="s">
        <v>81</v>
      </c>
      <c r="E4707" s="77" t="s">
        <v>124</v>
      </c>
      <c r="F4707" s="77" t="s">
        <v>73</v>
      </c>
      <c r="G4707" s="77" t="s">
        <v>74</v>
      </c>
      <c r="H4707" s="77" t="s">
        <v>127</v>
      </c>
      <c r="I4707" s="77" t="s">
        <v>84</v>
      </c>
      <c r="J4707" s="76" cm="1">
        <f t="array" ref="J4707:J4715">'SUT_EU27 total'!$L$43:$L$51</f>
        <v>5.0558836222750793E-4</v>
      </c>
    </row>
    <row r="4708" spans="1:10" x14ac:dyDescent="0.35">
      <c r="A4708" t="s">
        <v>15</v>
      </c>
      <c r="B4708" t="s">
        <v>37</v>
      </c>
      <c r="C4708" s="77" t="s">
        <v>88</v>
      </c>
      <c r="D4708" t="s">
        <v>81</v>
      </c>
      <c r="E4708" s="77" t="s">
        <v>117</v>
      </c>
      <c r="F4708" s="77" t="s">
        <v>73</v>
      </c>
      <c r="G4708" s="77" t="s">
        <v>74</v>
      </c>
      <c r="H4708" s="77" t="s">
        <v>127</v>
      </c>
      <c r="I4708" s="77" t="s">
        <v>84</v>
      </c>
      <c r="J4708" s="76">
        <v>4.8514464106651379E-3</v>
      </c>
    </row>
    <row r="4709" spans="1:10" x14ac:dyDescent="0.35">
      <c r="A4709" t="s">
        <v>15</v>
      </c>
      <c r="B4709" t="s">
        <v>37</v>
      </c>
      <c r="C4709" s="77" t="s">
        <v>88</v>
      </c>
      <c r="D4709" t="s">
        <v>81</v>
      </c>
      <c r="E4709" s="77" t="s">
        <v>82</v>
      </c>
      <c r="F4709" s="77" t="s">
        <v>73</v>
      </c>
      <c r="G4709" s="77" t="s">
        <v>74</v>
      </c>
      <c r="H4709" s="77" t="s">
        <v>127</v>
      </c>
      <c r="I4709" s="77" t="s">
        <v>84</v>
      </c>
      <c r="J4709" s="76">
        <v>1.109418436791091E-2</v>
      </c>
    </row>
    <row r="4710" spans="1:10" x14ac:dyDescent="0.35">
      <c r="A4710" t="s">
        <v>15</v>
      </c>
      <c r="B4710" t="s">
        <v>37</v>
      </c>
      <c r="C4710" s="77" t="s">
        <v>88</v>
      </c>
      <c r="D4710" t="s">
        <v>81</v>
      </c>
      <c r="E4710" s="77" t="s">
        <v>125</v>
      </c>
      <c r="F4710" s="77" t="s">
        <v>73</v>
      </c>
      <c r="G4710" s="77" t="s">
        <v>74</v>
      </c>
      <c r="H4710" s="77" t="s">
        <v>127</v>
      </c>
      <c r="I4710" s="77" t="s">
        <v>84</v>
      </c>
      <c r="J4710" s="76">
        <v>2.890870278990243E-5</v>
      </c>
    </row>
    <row r="4711" spans="1:10" x14ac:dyDescent="0.35">
      <c r="A4711" t="s">
        <v>15</v>
      </c>
      <c r="B4711" t="s">
        <v>37</v>
      </c>
      <c r="C4711" s="77" t="s">
        <v>88</v>
      </c>
      <c r="D4711" t="s">
        <v>81</v>
      </c>
      <c r="E4711" s="77" t="s">
        <v>122</v>
      </c>
      <c r="F4711" s="77" t="s">
        <v>73</v>
      </c>
      <c r="G4711" s="77" t="s">
        <v>74</v>
      </c>
      <c r="H4711" s="77" t="s">
        <v>127</v>
      </c>
      <c r="I4711" s="77" t="s">
        <v>84</v>
      </c>
      <c r="J4711" s="76">
        <v>0</v>
      </c>
    </row>
    <row r="4712" spans="1:10" x14ac:dyDescent="0.35">
      <c r="A4712" t="s">
        <v>15</v>
      </c>
      <c r="B4712" t="s">
        <v>37</v>
      </c>
      <c r="C4712" s="77" t="s">
        <v>88</v>
      </c>
      <c r="D4712" t="s">
        <v>81</v>
      </c>
      <c r="E4712" s="77" t="s">
        <v>126</v>
      </c>
      <c r="F4712" s="77" t="s">
        <v>73</v>
      </c>
      <c r="G4712" s="77" t="s">
        <v>74</v>
      </c>
      <c r="H4712" s="77" t="s">
        <v>127</v>
      </c>
      <c r="I4712" s="77" t="s">
        <v>84</v>
      </c>
      <c r="J4712" s="76">
        <v>2.8514320987501449E-3</v>
      </c>
    </row>
    <row r="4713" spans="1:10" x14ac:dyDescent="0.35">
      <c r="A4713" t="s">
        <v>15</v>
      </c>
      <c r="B4713" t="s">
        <v>37</v>
      </c>
      <c r="C4713" s="77" t="s">
        <v>88</v>
      </c>
      <c r="D4713" t="s">
        <v>81</v>
      </c>
      <c r="E4713" s="77" t="s">
        <v>101</v>
      </c>
      <c r="F4713" s="77" t="s">
        <v>73</v>
      </c>
      <c r="G4713" s="77" t="s">
        <v>74</v>
      </c>
      <c r="H4713" s="77" t="s">
        <v>127</v>
      </c>
      <c r="I4713" s="77" t="s">
        <v>84</v>
      </c>
      <c r="J4713" s="76">
        <v>0</v>
      </c>
    </row>
    <row r="4714" spans="1:10" x14ac:dyDescent="0.35">
      <c r="A4714" t="s">
        <v>15</v>
      </c>
      <c r="B4714" t="s">
        <v>37</v>
      </c>
      <c r="C4714" s="77" t="s">
        <v>88</v>
      </c>
      <c r="D4714" t="s">
        <v>81</v>
      </c>
      <c r="E4714" s="77" t="s">
        <v>104</v>
      </c>
      <c r="F4714" s="77" t="s">
        <v>73</v>
      </c>
      <c r="G4714" s="77" t="s">
        <v>74</v>
      </c>
      <c r="H4714" s="77" t="s">
        <v>127</v>
      </c>
      <c r="I4714" s="77" t="s">
        <v>84</v>
      </c>
      <c r="J4714" s="76">
        <v>0</v>
      </c>
    </row>
    <row r="4715" spans="1:10" x14ac:dyDescent="0.35">
      <c r="A4715" t="s">
        <v>15</v>
      </c>
      <c r="B4715" t="s">
        <v>37</v>
      </c>
      <c r="C4715" s="77" t="s">
        <v>88</v>
      </c>
      <c r="D4715" t="s">
        <v>81</v>
      </c>
      <c r="E4715" s="77" t="s">
        <v>106</v>
      </c>
      <c r="F4715" s="77" t="s">
        <v>73</v>
      </c>
      <c r="G4715" s="77" t="s">
        <v>74</v>
      </c>
      <c r="H4715" s="77" t="s">
        <v>127</v>
      </c>
      <c r="I4715" s="77" t="s">
        <v>84</v>
      </c>
      <c r="J4715" s="76">
        <v>0</v>
      </c>
    </row>
    <row r="4716" spans="1:10" x14ac:dyDescent="0.35">
      <c r="A4716" t="s">
        <v>15</v>
      </c>
      <c r="B4716" t="s">
        <v>37</v>
      </c>
      <c r="C4716" s="77" t="s">
        <v>90</v>
      </c>
      <c r="D4716" t="s">
        <v>81</v>
      </c>
      <c r="E4716" s="77" t="s">
        <v>119</v>
      </c>
      <c r="F4716" s="77" t="s">
        <v>73</v>
      </c>
      <c r="G4716" s="77" t="s">
        <v>74</v>
      </c>
      <c r="H4716" s="77" t="s">
        <v>127</v>
      </c>
      <c r="I4716" s="77" t="s">
        <v>84</v>
      </c>
      <c r="J4716" s="76">
        <f>'SUT_EU27 total'!$M$56</f>
        <v>2.949251079979006E-2</v>
      </c>
    </row>
    <row r="4717" spans="1:10" x14ac:dyDescent="0.35">
      <c r="A4717" t="s">
        <v>15</v>
      </c>
      <c r="B4717" t="s">
        <v>37</v>
      </c>
      <c r="C4717" s="77" t="s">
        <v>90</v>
      </c>
      <c r="D4717" t="s">
        <v>81</v>
      </c>
      <c r="E4717" s="77" t="s">
        <v>124</v>
      </c>
      <c r="F4717" s="77" t="s">
        <v>73</v>
      </c>
      <c r="G4717" s="77" t="s">
        <v>74</v>
      </c>
      <c r="H4717" s="77" t="s">
        <v>127</v>
      </c>
      <c r="I4717" s="77" t="s">
        <v>84</v>
      </c>
      <c r="J4717" s="76" cm="1">
        <f t="array" ref="J4717:J4725">'SUT_EU27 total'!$M$60:$M$68</f>
        <v>2.1047443073980527E-5</v>
      </c>
    </row>
    <row r="4718" spans="1:10" x14ac:dyDescent="0.35">
      <c r="A4718" t="s">
        <v>15</v>
      </c>
      <c r="B4718" t="s">
        <v>37</v>
      </c>
      <c r="C4718" s="77" t="s">
        <v>90</v>
      </c>
      <c r="D4718" t="s">
        <v>81</v>
      </c>
      <c r="E4718" s="77" t="s">
        <v>117</v>
      </c>
      <c r="F4718" s="77" t="s">
        <v>73</v>
      </c>
      <c r="G4718" s="77" t="s">
        <v>74</v>
      </c>
      <c r="H4718" s="77" t="s">
        <v>127</v>
      </c>
      <c r="I4718" s="77" t="s">
        <v>84</v>
      </c>
      <c r="J4718" s="76">
        <v>5.8414015621608938E-3</v>
      </c>
    </row>
    <row r="4719" spans="1:10" x14ac:dyDescent="0.35">
      <c r="A4719" t="s">
        <v>15</v>
      </c>
      <c r="B4719" t="s">
        <v>37</v>
      </c>
      <c r="C4719" s="77" t="s">
        <v>90</v>
      </c>
      <c r="D4719" t="s">
        <v>81</v>
      </c>
      <c r="E4719" s="77" t="s">
        <v>82</v>
      </c>
      <c r="F4719" s="77" t="s">
        <v>73</v>
      </c>
      <c r="G4719" s="77" t="s">
        <v>74</v>
      </c>
      <c r="H4719" s="77" t="s">
        <v>127</v>
      </c>
      <c r="I4719" s="77" t="s">
        <v>84</v>
      </c>
      <c r="J4719" s="76">
        <v>1.4521138379047227E-3</v>
      </c>
    </row>
    <row r="4720" spans="1:10" x14ac:dyDescent="0.35">
      <c r="A4720" t="s">
        <v>15</v>
      </c>
      <c r="B4720" t="s">
        <v>37</v>
      </c>
      <c r="C4720" s="77" t="s">
        <v>90</v>
      </c>
      <c r="D4720" t="s">
        <v>81</v>
      </c>
      <c r="E4720" s="77" t="s">
        <v>125</v>
      </c>
      <c r="F4720" s="77" t="s">
        <v>73</v>
      </c>
      <c r="G4720" s="77" t="s">
        <v>74</v>
      </c>
      <c r="H4720" s="77" t="s">
        <v>127</v>
      </c>
      <c r="I4720" s="77" t="s">
        <v>84</v>
      </c>
      <c r="J4720" s="76">
        <v>6.5130870114372285E-5</v>
      </c>
    </row>
    <row r="4721" spans="1:10" x14ac:dyDescent="0.35">
      <c r="A4721" t="s">
        <v>15</v>
      </c>
      <c r="B4721" t="s">
        <v>37</v>
      </c>
      <c r="C4721" s="77" t="s">
        <v>90</v>
      </c>
      <c r="D4721" t="s">
        <v>81</v>
      </c>
      <c r="E4721" s="77" t="s">
        <v>122</v>
      </c>
      <c r="F4721" s="77" t="s">
        <v>73</v>
      </c>
      <c r="G4721" s="77" t="s">
        <v>74</v>
      </c>
      <c r="H4721" s="77" t="s">
        <v>127</v>
      </c>
      <c r="I4721" s="77" t="s">
        <v>84</v>
      </c>
      <c r="J4721" s="76">
        <v>7.9476813317479189E-4</v>
      </c>
    </row>
    <row r="4722" spans="1:10" x14ac:dyDescent="0.35">
      <c r="A4722" t="s">
        <v>15</v>
      </c>
      <c r="B4722" t="s">
        <v>37</v>
      </c>
      <c r="C4722" s="77" t="s">
        <v>90</v>
      </c>
      <c r="D4722" t="s">
        <v>81</v>
      </c>
      <c r="E4722" s="77" t="s">
        <v>126</v>
      </c>
      <c r="F4722" s="77" t="s">
        <v>73</v>
      </c>
      <c r="G4722" s="77" t="s">
        <v>74</v>
      </c>
      <c r="H4722" s="77" t="s">
        <v>127</v>
      </c>
      <c r="I4722" s="77" t="s">
        <v>84</v>
      </c>
      <c r="J4722" s="76">
        <v>8.4821183458843076E-3</v>
      </c>
    </row>
    <row r="4723" spans="1:10" x14ac:dyDescent="0.35">
      <c r="A4723" t="s">
        <v>15</v>
      </c>
      <c r="B4723" t="s">
        <v>37</v>
      </c>
      <c r="C4723" s="77" t="s">
        <v>90</v>
      </c>
      <c r="D4723" t="s">
        <v>81</v>
      </c>
      <c r="E4723" s="77" t="s">
        <v>101</v>
      </c>
      <c r="F4723" s="77" t="s">
        <v>73</v>
      </c>
      <c r="G4723" s="77" t="s">
        <v>74</v>
      </c>
      <c r="H4723" s="77" t="s">
        <v>127</v>
      </c>
      <c r="I4723" s="77" t="s">
        <v>84</v>
      </c>
      <c r="J4723" s="76">
        <v>0</v>
      </c>
    </row>
    <row r="4724" spans="1:10" x14ac:dyDescent="0.35">
      <c r="A4724" t="s">
        <v>15</v>
      </c>
      <c r="B4724" t="s">
        <v>37</v>
      </c>
      <c r="C4724" s="77" t="s">
        <v>90</v>
      </c>
      <c r="D4724" t="s">
        <v>81</v>
      </c>
      <c r="E4724" s="77" t="s">
        <v>104</v>
      </c>
      <c r="F4724" s="77" t="s">
        <v>73</v>
      </c>
      <c r="G4724" s="77" t="s">
        <v>74</v>
      </c>
      <c r="H4724" s="77" t="s">
        <v>127</v>
      </c>
      <c r="I4724" s="77" t="s">
        <v>84</v>
      </c>
      <c r="J4724" s="76">
        <v>0</v>
      </c>
    </row>
    <row r="4725" spans="1:10" x14ac:dyDescent="0.35">
      <c r="A4725" t="s">
        <v>15</v>
      </c>
      <c r="B4725" t="s">
        <v>37</v>
      </c>
      <c r="C4725" s="77" t="s">
        <v>90</v>
      </c>
      <c r="D4725" t="s">
        <v>81</v>
      </c>
      <c r="E4725" s="77" t="s">
        <v>106</v>
      </c>
      <c r="F4725" s="77" t="s">
        <v>73</v>
      </c>
      <c r="G4725" s="77" t="s">
        <v>74</v>
      </c>
      <c r="H4725" s="77" t="s">
        <v>127</v>
      </c>
      <c r="I4725" s="77" t="s">
        <v>84</v>
      </c>
      <c r="J4725" s="76">
        <v>0</v>
      </c>
    </row>
    <row r="4726" spans="1:10" x14ac:dyDescent="0.35">
      <c r="A4726" t="s">
        <v>15</v>
      </c>
      <c r="B4726" t="s">
        <v>37</v>
      </c>
      <c r="C4726" s="77" t="s">
        <v>91</v>
      </c>
      <c r="D4726" t="s">
        <v>81</v>
      </c>
      <c r="E4726" s="77" t="s">
        <v>119</v>
      </c>
      <c r="F4726" s="77" t="s">
        <v>73</v>
      </c>
      <c r="G4726" s="77" t="s">
        <v>74</v>
      </c>
      <c r="H4726" s="77" t="s">
        <v>127</v>
      </c>
      <c r="I4726" s="77" t="s">
        <v>84</v>
      </c>
      <c r="J4726" s="76">
        <f>'SUT_EU27 total'!$M$73</f>
        <v>0.15097500908393557</v>
      </c>
    </row>
    <row r="4727" spans="1:10" x14ac:dyDescent="0.35">
      <c r="A4727" t="s">
        <v>15</v>
      </c>
      <c r="B4727" t="s">
        <v>37</v>
      </c>
      <c r="C4727" s="77" t="s">
        <v>91</v>
      </c>
      <c r="D4727" t="s">
        <v>81</v>
      </c>
      <c r="E4727" s="77" t="s">
        <v>124</v>
      </c>
      <c r="F4727" s="77" t="s">
        <v>73</v>
      </c>
      <c r="G4727" s="77" t="s">
        <v>74</v>
      </c>
      <c r="H4727" s="77" t="s">
        <v>127</v>
      </c>
      <c r="I4727" s="77" t="s">
        <v>84</v>
      </c>
      <c r="J4727" s="76" cm="1">
        <f t="array" ref="J4727:J4735">'SUT_EU27 total'!$M$77:$M$85</f>
        <v>6.7728942399646885E-5</v>
      </c>
    </row>
    <row r="4728" spans="1:10" x14ac:dyDescent="0.35">
      <c r="A4728" t="s">
        <v>15</v>
      </c>
      <c r="B4728" t="s">
        <v>37</v>
      </c>
      <c r="C4728" s="77" t="s">
        <v>91</v>
      </c>
      <c r="D4728" t="s">
        <v>81</v>
      </c>
      <c r="E4728" s="77" t="s">
        <v>117</v>
      </c>
      <c r="F4728" s="77" t="s">
        <v>73</v>
      </c>
      <c r="G4728" s="77" t="s">
        <v>74</v>
      </c>
      <c r="H4728" s="77" t="s">
        <v>127</v>
      </c>
      <c r="I4728" s="77" t="s">
        <v>84</v>
      </c>
      <c r="J4728" s="76">
        <v>5.6233849622410815E-3</v>
      </c>
    </row>
    <row r="4729" spans="1:10" x14ac:dyDescent="0.35">
      <c r="A4729" t="s">
        <v>15</v>
      </c>
      <c r="B4729" t="s">
        <v>37</v>
      </c>
      <c r="C4729" s="77" t="s">
        <v>91</v>
      </c>
      <c r="D4729" t="s">
        <v>81</v>
      </c>
      <c r="E4729" s="77" t="s">
        <v>82</v>
      </c>
      <c r="F4729" s="77" t="s">
        <v>73</v>
      </c>
      <c r="G4729" s="77" t="s">
        <v>74</v>
      </c>
      <c r="H4729" s="77" t="s">
        <v>127</v>
      </c>
      <c r="I4729" s="77" t="s">
        <v>84</v>
      </c>
      <c r="J4729" s="76">
        <v>1.8068055269127655E-3</v>
      </c>
    </row>
    <row r="4730" spans="1:10" x14ac:dyDescent="0.35">
      <c r="A4730" t="s">
        <v>15</v>
      </c>
      <c r="B4730" t="s">
        <v>37</v>
      </c>
      <c r="C4730" s="77" t="s">
        <v>91</v>
      </c>
      <c r="D4730" t="s">
        <v>81</v>
      </c>
      <c r="E4730" s="77" t="s">
        <v>125</v>
      </c>
      <c r="F4730" s="77" t="s">
        <v>73</v>
      </c>
      <c r="G4730" s="77" t="s">
        <v>74</v>
      </c>
      <c r="H4730" s="77" t="s">
        <v>127</v>
      </c>
      <c r="I4730" s="77" t="s">
        <v>84</v>
      </c>
      <c r="J4730" s="76">
        <v>5.6492118062760293E-6</v>
      </c>
    </row>
    <row r="4731" spans="1:10" x14ac:dyDescent="0.35">
      <c r="A4731" t="s">
        <v>15</v>
      </c>
      <c r="B4731" t="s">
        <v>37</v>
      </c>
      <c r="C4731" s="77" t="s">
        <v>91</v>
      </c>
      <c r="D4731" t="s">
        <v>81</v>
      </c>
      <c r="E4731" s="77" t="s">
        <v>122</v>
      </c>
      <c r="F4731" s="77" t="s">
        <v>73</v>
      </c>
      <c r="G4731" s="77" t="s">
        <v>74</v>
      </c>
      <c r="H4731" s="77" t="s">
        <v>127</v>
      </c>
      <c r="I4731" s="77" t="s">
        <v>84</v>
      </c>
      <c r="J4731" s="76">
        <v>0</v>
      </c>
    </row>
    <row r="4732" spans="1:10" x14ac:dyDescent="0.35">
      <c r="A4732" t="s">
        <v>15</v>
      </c>
      <c r="B4732" t="s">
        <v>37</v>
      </c>
      <c r="C4732" s="77" t="s">
        <v>91</v>
      </c>
      <c r="D4732" t="s">
        <v>81</v>
      </c>
      <c r="E4732" s="77" t="s">
        <v>126</v>
      </c>
      <c r="F4732" s="77" t="s">
        <v>73</v>
      </c>
      <c r="G4732" s="77" t="s">
        <v>74</v>
      </c>
      <c r="H4732" s="77" t="s">
        <v>127</v>
      </c>
      <c r="I4732" s="77" t="s">
        <v>84</v>
      </c>
      <c r="J4732" s="76">
        <v>8.1093795177776388E-4</v>
      </c>
    </row>
    <row r="4733" spans="1:10" x14ac:dyDescent="0.35">
      <c r="A4733" t="s">
        <v>15</v>
      </c>
      <c r="B4733" t="s">
        <v>37</v>
      </c>
      <c r="C4733" s="77" t="s">
        <v>91</v>
      </c>
      <c r="D4733" t="s">
        <v>81</v>
      </c>
      <c r="E4733" s="77" t="s">
        <v>101</v>
      </c>
      <c r="F4733" s="77" t="s">
        <v>73</v>
      </c>
      <c r="G4733" s="77" t="s">
        <v>74</v>
      </c>
      <c r="H4733" s="77" t="s">
        <v>127</v>
      </c>
      <c r="I4733" s="77" t="s">
        <v>84</v>
      </c>
      <c r="J4733" s="76">
        <v>0</v>
      </c>
    </row>
    <row r="4734" spans="1:10" x14ac:dyDescent="0.35">
      <c r="A4734" t="s">
        <v>15</v>
      </c>
      <c r="B4734" t="s">
        <v>37</v>
      </c>
      <c r="C4734" s="77" t="s">
        <v>91</v>
      </c>
      <c r="D4734" t="s">
        <v>81</v>
      </c>
      <c r="E4734" s="77" t="s">
        <v>104</v>
      </c>
      <c r="F4734" s="77" t="s">
        <v>73</v>
      </c>
      <c r="G4734" s="77" t="s">
        <v>74</v>
      </c>
      <c r="H4734" s="77" t="s">
        <v>127</v>
      </c>
      <c r="I4734" s="77" t="s">
        <v>84</v>
      </c>
      <c r="J4734" s="76">
        <v>0</v>
      </c>
    </row>
    <row r="4735" spans="1:10" x14ac:dyDescent="0.35">
      <c r="A4735" t="s">
        <v>15</v>
      </c>
      <c r="B4735" t="s">
        <v>37</v>
      </c>
      <c r="C4735" s="77" t="s">
        <v>91</v>
      </c>
      <c r="D4735" t="s">
        <v>81</v>
      </c>
      <c r="E4735" s="77" t="s">
        <v>106</v>
      </c>
      <c r="F4735" s="77" t="s">
        <v>73</v>
      </c>
      <c r="G4735" s="77" t="s">
        <v>74</v>
      </c>
      <c r="H4735" s="77" t="s">
        <v>127</v>
      </c>
      <c r="I4735" s="77" t="s">
        <v>84</v>
      </c>
      <c r="J4735" s="76">
        <v>0</v>
      </c>
    </row>
    <row r="4736" spans="1:10" x14ac:dyDescent="0.35">
      <c r="A4736" t="s">
        <v>15</v>
      </c>
      <c r="B4736" t="s">
        <v>37</v>
      </c>
      <c r="C4736" s="77" t="s">
        <v>92</v>
      </c>
      <c r="D4736" t="s">
        <v>81</v>
      </c>
      <c r="E4736" s="77" t="s">
        <v>119</v>
      </c>
      <c r="F4736" s="77" t="s">
        <v>73</v>
      </c>
      <c r="G4736" s="77" t="s">
        <v>74</v>
      </c>
      <c r="H4736" s="77" t="s">
        <v>127</v>
      </c>
      <c r="I4736" s="77" t="s">
        <v>84</v>
      </c>
      <c r="J4736" s="76">
        <f>'SUT_EU27 total'!$M$90</f>
        <v>0.13886309499777949</v>
      </c>
    </row>
    <row r="4737" spans="1:10" x14ac:dyDescent="0.35">
      <c r="A4737" t="s">
        <v>15</v>
      </c>
      <c r="B4737" t="s">
        <v>37</v>
      </c>
      <c r="C4737" s="77" t="s">
        <v>92</v>
      </c>
      <c r="D4737" t="s">
        <v>81</v>
      </c>
      <c r="E4737" s="77" t="s">
        <v>124</v>
      </c>
      <c r="F4737" s="77" t="s">
        <v>73</v>
      </c>
      <c r="G4737" s="77" t="s">
        <v>74</v>
      </c>
      <c r="H4737" s="77" t="s">
        <v>127</v>
      </c>
      <c r="I4737" s="77" t="s">
        <v>84</v>
      </c>
      <c r="J4737" s="76" cm="1">
        <f t="array" ref="J4737:J4745">'SUT_EU27 total'!$M$94:$M$102</f>
        <v>9.2968907089085616E-5</v>
      </c>
    </row>
    <row r="4738" spans="1:10" x14ac:dyDescent="0.35">
      <c r="A4738" t="s">
        <v>15</v>
      </c>
      <c r="B4738" t="s">
        <v>37</v>
      </c>
      <c r="C4738" s="77" t="s">
        <v>92</v>
      </c>
      <c r="D4738" t="s">
        <v>81</v>
      </c>
      <c r="E4738" s="77" t="s">
        <v>117</v>
      </c>
      <c r="F4738" s="77" t="s">
        <v>73</v>
      </c>
      <c r="G4738" s="77" t="s">
        <v>74</v>
      </c>
      <c r="H4738" s="77" t="s">
        <v>127</v>
      </c>
      <c r="I4738" s="77" t="s">
        <v>84</v>
      </c>
      <c r="J4738" s="76">
        <v>0</v>
      </c>
    </row>
    <row r="4739" spans="1:10" x14ac:dyDescent="0.35">
      <c r="A4739" t="s">
        <v>15</v>
      </c>
      <c r="B4739" t="s">
        <v>37</v>
      </c>
      <c r="C4739" s="77" t="s">
        <v>92</v>
      </c>
      <c r="D4739" t="s">
        <v>81</v>
      </c>
      <c r="E4739" s="77" t="s">
        <v>82</v>
      </c>
      <c r="F4739" s="77" t="s">
        <v>73</v>
      </c>
      <c r="G4739" s="77" t="s">
        <v>74</v>
      </c>
      <c r="H4739" s="77" t="s">
        <v>127</v>
      </c>
      <c r="I4739" s="77" t="s">
        <v>84</v>
      </c>
      <c r="J4739" s="76">
        <v>1.1251392039595793E-3</v>
      </c>
    </row>
    <row r="4740" spans="1:10" x14ac:dyDescent="0.35">
      <c r="A4740" t="s">
        <v>15</v>
      </c>
      <c r="B4740" t="s">
        <v>37</v>
      </c>
      <c r="C4740" s="77" t="s">
        <v>92</v>
      </c>
      <c r="D4740" t="s">
        <v>81</v>
      </c>
      <c r="E4740" s="77" t="s">
        <v>125</v>
      </c>
      <c r="F4740" s="77" t="s">
        <v>73</v>
      </c>
      <c r="G4740" s="77" t="s">
        <v>74</v>
      </c>
      <c r="H4740" s="77" t="s">
        <v>127</v>
      </c>
      <c r="I4740" s="77" t="s">
        <v>84</v>
      </c>
      <c r="J4740" s="76">
        <v>5.0048817841215026E-7</v>
      </c>
    </row>
    <row r="4741" spans="1:10" x14ac:dyDescent="0.35">
      <c r="A4741" t="s">
        <v>15</v>
      </c>
      <c r="B4741" t="s">
        <v>37</v>
      </c>
      <c r="C4741" s="77" t="s">
        <v>92</v>
      </c>
      <c r="D4741" t="s">
        <v>81</v>
      </c>
      <c r="E4741" s="77" t="s">
        <v>122</v>
      </c>
      <c r="F4741" s="77" t="s">
        <v>73</v>
      </c>
      <c r="G4741" s="77" t="s">
        <v>74</v>
      </c>
      <c r="H4741" s="77" t="s">
        <v>127</v>
      </c>
      <c r="I4741" s="77" t="s">
        <v>84</v>
      </c>
      <c r="J4741" s="76">
        <v>0</v>
      </c>
    </row>
    <row r="4742" spans="1:10" x14ac:dyDescent="0.35">
      <c r="A4742" t="s">
        <v>15</v>
      </c>
      <c r="B4742" t="s">
        <v>37</v>
      </c>
      <c r="C4742" s="77" t="s">
        <v>92</v>
      </c>
      <c r="D4742" t="s">
        <v>81</v>
      </c>
      <c r="E4742" s="77" t="s">
        <v>126</v>
      </c>
      <c r="F4742" s="77" t="s">
        <v>73</v>
      </c>
      <c r="G4742" s="77" t="s">
        <v>74</v>
      </c>
      <c r="H4742" s="77" t="s">
        <v>127</v>
      </c>
      <c r="I4742" s="77" t="s">
        <v>84</v>
      </c>
      <c r="J4742" s="76">
        <v>0</v>
      </c>
    </row>
    <row r="4743" spans="1:10" x14ac:dyDescent="0.35">
      <c r="A4743" t="s">
        <v>15</v>
      </c>
      <c r="B4743" t="s">
        <v>37</v>
      </c>
      <c r="C4743" s="77" t="s">
        <v>92</v>
      </c>
      <c r="D4743" t="s">
        <v>81</v>
      </c>
      <c r="E4743" s="77" t="s">
        <v>101</v>
      </c>
      <c r="F4743" s="77" t="s">
        <v>73</v>
      </c>
      <c r="G4743" s="77" t="s">
        <v>74</v>
      </c>
      <c r="H4743" s="77" t="s">
        <v>127</v>
      </c>
      <c r="I4743" s="77" t="s">
        <v>84</v>
      </c>
      <c r="J4743" s="76">
        <v>0</v>
      </c>
    </row>
    <row r="4744" spans="1:10" x14ac:dyDescent="0.35">
      <c r="A4744" t="s">
        <v>15</v>
      </c>
      <c r="B4744" t="s">
        <v>37</v>
      </c>
      <c r="C4744" s="77" t="s">
        <v>92</v>
      </c>
      <c r="D4744" t="s">
        <v>81</v>
      </c>
      <c r="E4744" s="77" t="s">
        <v>104</v>
      </c>
      <c r="F4744" s="77" t="s">
        <v>73</v>
      </c>
      <c r="G4744" s="77" t="s">
        <v>74</v>
      </c>
      <c r="H4744" s="77" t="s">
        <v>127</v>
      </c>
      <c r="I4744" s="77" t="s">
        <v>84</v>
      </c>
      <c r="J4744" s="76">
        <v>0</v>
      </c>
    </row>
    <row r="4745" spans="1:10" x14ac:dyDescent="0.35">
      <c r="A4745" t="s">
        <v>15</v>
      </c>
      <c r="B4745" t="s">
        <v>37</v>
      </c>
      <c r="C4745" s="77" t="s">
        <v>92</v>
      </c>
      <c r="D4745" t="s">
        <v>81</v>
      </c>
      <c r="E4745" s="77" t="s">
        <v>106</v>
      </c>
      <c r="F4745" s="77" t="s">
        <v>73</v>
      </c>
      <c r="G4745" s="77" t="s">
        <v>74</v>
      </c>
      <c r="H4745" s="77" t="s">
        <v>127</v>
      </c>
      <c r="I4745" s="77" t="s">
        <v>84</v>
      </c>
      <c r="J4745" s="76">
        <v>0</v>
      </c>
    </row>
    <row r="4746" spans="1:10" x14ac:dyDescent="0.35">
      <c r="A4746" t="s">
        <v>15</v>
      </c>
      <c r="B4746" t="s">
        <v>37</v>
      </c>
      <c r="C4746" s="77" t="s">
        <v>93</v>
      </c>
      <c r="D4746" t="s">
        <v>81</v>
      </c>
      <c r="E4746" s="77" t="s">
        <v>119</v>
      </c>
      <c r="F4746" s="77" t="s">
        <v>73</v>
      </c>
      <c r="G4746" s="77" t="s">
        <v>74</v>
      </c>
      <c r="H4746" s="77" t="s">
        <v>127</v>
      </c>
      <c r="I4746" s="77" t="s">
        <v>84</v>
      </c>
      <c r="J4746" s="76">
        <f>'SUT_EU27 total'!$M$107</f>
        <v>1.0000807460939076</v>
      </c>
    </row>
    <row r="4747" spans="1:10" x14ac:dyDescent="0.35">
      <c r="A4747" t="s">
        <v>15</v>
      </c>
      <c r="B4747" t="s">
        <v>37</v>
      </c>
      <c r="C4747" s="77" t="s">
        <v>93</v>
      </c>
      <c r="D4747" t="s">
        <v>81</v>
      </c>
      <c r="E4747" s="77" t="s">
        <v>124</v>
      </c>
      <c r="F4747" s="77" t="s">
        <v>73</v>
      </c>
      <c r="G4747" s="77" t="s">
        <v>74</v>
      </c>
      <c r="H4747" s="77" t="s">
        <v>127</v>
      </c>
      <c r="I4747" s="77" t="s">
        <v>84</v>
      </c>
      <c r="J4747" s="76" cm="1">
        <f t="array" ref="J4747:J4755">'SUT_EU27 total'!$M$111:$M$119</f>
        <v>3.7052409430862396E-4</v>
      </c>
    </row>
    <row r="4748" spans="1:10" x14ac:dyDescent="0.35">
      <c r="A4748" t="s">
        <v>15</v>
      </c>
      <c r="B4748" t="s">
        <v>37</v>
      </c>
      <c r="C4748" s="77" t="s">
        <v>93</v>
      </c>
      <c r="D4748" t="s">
        <v>81</v>
      </c>
      <c r="E4748" s="77" t="s">
        <v>117</v>
      </c>
      <c r="F4748" s="77" t="s">
        <v>73</v>
      </c>
      <c r="G4748" s="77" t="s">
        <v>74</v>
      </c>
      <c r="H4748" s="77" t="s">
        <v>127</v>
      </c>
      <c r="I4748" s="77" t="s">
        <v>84</v>
      </c>
      <c r="J4748" s="76">
        <v>5.8414042458127093E-3</v>
      </c>
    </row>
    <row r="4749" spans="1:10" x14ac:dyDescent="0.35">
      <c r="A4749" t="s">
        <v>15</v>
      </c>
      <c r="B4749" t="s">
        <v>37</v>
      </c>
      <c r="C4749" s="77" t="s">
        <v>93</v>
      </c>
      <c r="D4749" t="s">
        <v>81</v>
      </c>
      <c r="E4749" s="77" t="s">
        <v>82</v>
      </c>
      <c r="F4749" s="77" t="s">
        <v>73</v>
      </c>
      <c r="G4749" s="77" t="s">
        <v>74</v>
      </c>
      <c r="H4749" s="77" t="s">
        <v>127</v>
      </c>
      <c r="I4749" s="77" t="s">
        <v>84</v>
      </c>
      <c r="J4749" s="76">
        <v>5.0319447308723453E-3</v>
      </c>
    </row>
    <row r="4750" spans="1:10" x14ac:dyDescent="0.35">
      <c r="A4750" t="s">
        <v>15</v>
      </c>
      <c r="B4750" t="s">
        <v>37</v>
      </c>
      <c r="C4750" s="77" t="s">
        <v>93</v>
      </c>
      <c r="D4750" t="s">
        <v>81</v>
      </c>
      <c r="E4750" s="77" t="s">
        <v>125</v>
      </c>
      <c r="F4750" s="77" t="s">
        <v>73</v>
      </c>
      <c r="G4750" s="77" t="s">
        <v>74</v>
      </c>
      <c r="H4750" s="77" t="s">
        <v>127</v>
      </c>
      <c r="I4750" s="77" t="s">
        <v>84</v>
      </c>
      <c r="J4750" s="76">
        <v>4.336096678710085E-4</v>
      </c>
    </row>
    <row r="4751" spans="1:10" x14ac:dyDescent="0.35">
      <c r="A4751" t="s">
        <v>15</v>
      </c>
      <c r="B4751" t="s">
        <v>37</v>
      </c>
      <c r="C4751" s="77" t="s">
        <v>93</v>
      </c>
      <c r="D4751" t="s">
        <v>81</v>
      </c>
      <c r="E4751" s="77" t="s">
        <v>122</v>
      </c>
      <c r="F4751" s="77" t="s">
        <v>73</v>
      </c>
      <c r="G4751" s="77" t="s">
        <v>74</v>
      </c>
      <c r="H4751" s="77" t="s">
        <v>127</v>
      </c>
      <c r="I4751" s="77" t="s">
        <v>84</v>
      </c>
      <c r="J4751" s="76">
        <v>2.7129607609988112E-3</v>
      </c>
    </row>
    <row r="4752" spans="1:10" x14ac:dyDescent="0.35">
      <c r="A4752" t="s">
        <v>15</v>
      </c>
      <c r="B4752" t="s">
        <v>37</v>
      </c>
      <c r="C4752" s="77" t="s">
        <v>93</v>
      </c>
      <c r="D4752" t="s">
        <v>81</v>
      </c>
      <c r="E4752" s="77" t="s">
        <v>126</v>
      </c>
      <c r="F4752" s="77" t="s">
        <v>73</v>
      </c>
      <c r="G4752" s="77" t="s">
        <v>74</v>
      </c>
      <c r="H4752" s="77" t="s">
        <v>127</v>
      </c>
      <c r="I4752" s="77" t="s">
        <v>84</v>
      </c>
      <c r="J4752" s="76">
        <v>4.3855511603587784E-2</v>
      </c>
    </row>
    <row r="4753" spans="1:10" x14ac:dyDescent="0.35">
      <c r="A4753" t="s">
        <v>15</v>
      </c>
      <c r="B4753" t="s">
        <v>37</v>
      </c>
      <c r="C4753" s="77" t="s">
        <v>93</v>
      </c>
      <c r="D4753" t="s">
        <v>81</v>
      </c>
      <c r="E4753" s="77" t="s">
        <v>101</v>
      </c>
      <c r="F4753" s="77" t="s">
        <v>73</v>
      </c>
      <c r="G4753" s="77" t="s">
        <v>74</v>
      </c>
      <c r="H4753" s="77" t="s">
        <v>127</v>
      </c>
      <c r="I4753" s="77" t="s">
        <v>84</v>
      </c>
      <c r="J4753" s="76">
        <v>0</v>
      </c>
    </row>
    <row r="4754" spans="1:10" x14ac:dyDescent="0.35">
      <c r="A4754" t="s">
        <v>15</v>
      </c>
      <c r="B4754" t="s">
        <v>37</v>
      </c>
      <c r="C4754" s="77" t="s">
        <v>93</v>
      </c>
      <c r="D4754" t="s">
        <v>81</v>
      </c>
      <c r="E4754" s="77" t="s">
        <v>104</v>
      </c>
      <c r="F4754" s="77" t="s">
        <v>73</v>
      </c>
      <c r="G4754" s="77" t="s">
        <v>74</v>
      </c>
      <c r="H4754" s="77" t="s">
        <v>127</v>
      </c>
      <c r="I4754" s="77" t="s">
        <v>84</v>
      </c>
      <c r="J4754" s="76">
        <v>0</v>
      </c>
    </row>
    <row r="4755" spans="1:10" x14ac:dyDescent="0.35">
      <c r="A4755" t="s">
        <v>15</v>
      </c>
      <c r="B4755" t="s">
        <v>37</v>
      </c>
      <c r="C4755" s="77" t="s">
        <v>93</v>
      </c>
      <c r="D4755" t="s">
        <v>81</v>
      </c>
      <c r="E4755" s="77" t="s">
        <v>106</v>
      </c>
      <c r="F4755" s="77" t="s">
        <v>73</v>
      </c>
      <c r="G4755" s="77" t="s">
        <v>74</v>
      </c>
      <c r="H4755" s="77" t="s">
        <v>127</v>
      </c>
      <c r="I4755" s="77" t="s">
        <v>84</v>
      </c>
      <c r="J4755" s="76">
        <v>0</v>
      </c>
    </row>
    <row r="4756" spans="1:10" x14ac:dyDescent="0.35">
      <c r="A4756" t="s">
        <v>15</v>
      </c>
      <c r="B4756" t="s">
        <v>37</v>
      </c>
      <c r="C4756" s="77" t="s">
        <v>73</v>
      </c>
      <c r="D4756" t="s">
        <v>81</v>
      </c>
      <c r="E4756" s="77" t="s">
        <v>82</v>
      </c>
      <c r="F4756" s="77" t="s">
        <v>73</v>
      </c>
      <c r="G4756" s="77" t="s">
        <v>74</v>
      </c>
      <c r="H4756" s="77" t="s">
        <v>128</v>
      </c>
      <c r="I4756" s="77" t="s">
        <v>84</v>
      </c>
      <c r="J4756" s="76">
        <f>'SUT_EU27 total'!$N$28</f>
        <v>1.4658301341380521E-2</v>
      </c>
    </row>
    <row r="4757" spans="1:10" x14ac:dyDescent="0.35">
      <c r="A4757" t="s">
        <v>15</v>
      </c>
      <c r="B4757" t="s">
        <v>37</v>
      </c>
      <c r="C4757" s="77" t="s">
        <v>73</v>
      </c>
      <c r="D4757" t="s">
        <v>81</v>
      </c>
      <c r="E4757" s="77" t="s">
        <v>86</v>
      </c>
      <c r="F4757" s="77" t="s">
        <v>73</v>
      </c>
      <c r="G4757" s="77" t="s">
        <v>74</v>
      </c>
      <c r="H4757" s="77" t="s">
        <v>128</v>
      </c>
      <c r="I4757" s="77" t="s">
        <v>84</v>
      </c>
      <c r="J4757" s="76">
        <f>'SUT_EU27 total'!$N$35</f>
        <v>3.0740776778828832E-3</v>
      </c>
    </row>
    <row r="4758" spans="1:10" x14ac:dyDescent="0.35">
      <c r="A4758" t="s">
        <v>15</v>
      </c>
      <c r="B4758" t="s">
        <v>37</v>
      </c>
      <c r="C4758" s="77" t="s">
        <v>88</v>
      </c>
      <c r="D4758" t="s">
        <v>81</v>
      </c>
      <c r="E4758" s="77" t="s">
        <v>82</v>
      </c>
      <c r="F4758" s="77" t="s">
        <v>73</v>
      </c>
      <c r="G4758" s="77" t="s">
        <v>74</v>
      </c>
      <c r="H4758" s="77" t="s">
        <v>128</v>
      </c>
      <c r="I4758" s="77" t="s">
        <v>84</v>
      </c>
      <c r="J4758" s="76">
        <f>'SUT_EU27 total'!$N$45</f>
        <v>9.2276548594747033E-3</v>
      </c>
    </row>
    <row r="4759" spans="1:10" x14ac:dyDescent="0.35">
      <c r="A4759" t="s">
        <v>15</v>
      </c>
      <c r="B4759" t="s">
        <v>37</v>
      </c>
      <c r="C4759" s="77" t="s">
        <v>88</v>
      </c>
      <c r="D4759" t="s">
        <v>81</v>
      </c>
      <c r="E4759" s="77" t="s">
        <v>86</v>
      </c>
      <c r="F4759" s="77" t="s">
        <v>73</v>
      </c>
      <c r="G4759" s="77" t="s">
        <v>74</v>
      </c>
      <c r="H4759" s="77" t="s">
        <v>128</v>
      </c>
      <c r="I4759" s="77" t="s">
        <v>84</v>
      </c>
      <c r="J4759" s="76">
        <f>'SUT_EU27 total'!$N$52</f>
        <v>6.9627451701437512E-2</v>
      </c>
    </row>
    <row r="4760" spans="1:10" x14ac:dyDescent="0.35">
      <c r="A4760" t="s">
        <v>15</v>
      </c>
      <c r="B4760" t="s">
        <v>37</v>
      </c>
      <c r="C4760" s="77" t="s">
        <v>90</v>
      </c>
      <c r="D4760" t="s">
        <v>81</v>
      </c>
      <c r="E4760" s="77" t="s">
        <v>82</v>
      </c>
      <c r="F4760" s="77" t="s">
        <v>73</v>
      </c>
      <c r="G4760" s="77" t="s">
        <v>74</v>
      </c>
      <c r="H4760" s="77" t="s">
        <v>128</v>
      </c>
      <c r="I4760" s="77" t="s">
        <v>84</v>
      </c>
      <c r="J4760" s="76">
        <f>'SUT_EU27 total'!$N$62</f>
        <v>2.2200107734217647E-6</v>
      </c>
    </row>
    <row r="4761" spans="1:10" x14ac:dyDescent="0.35">
      <c r="A4761" t="s">
        <v>15</v>
      </c>
      <c r="B4761" t="s">
        <v>37</v>
      </c>
      <c r="C4761" s="77" t="s">
        <v>90</v>
      </c>
      <c r="D4761" t="s">
        <v>81</v>
      </c>
      <c r="E4761" s="77" t="s">
        <v>86</v>
      </c>
      <c r="F4761" s="77" t="s">
        <v>73</v>
      </c>
      <c r="G4761" s="77" t="s">
        <v>74</v>
      </c>
      <c r="H4761" s="77" t="s">
        <v>128</v>
      </c>
      <c r="I4761" s="77" t="s">
        <v>84</v>
      </c>
      <c r="J4761" s="76">
        <f>'SUT_EU27 total'!$N$69</f>
        <v>9.1135123377023061E-3</v>
      </c>
    </row>
    <row r="4762" spans="1:10" x14ac:dyDescent="0.35">
      <c r="A4762" t="s">
        <v>15</v>
      </c>
      <c r="B4762" t="s">
        <v>37</v>
      </c>
      <c r="C4762" s="77" t="s">
        <v>91</v>
      </c>
      <c r="D4762" t="s">
        <v>81</v>
      </c>
      <c r="E4762" s="77" t="s">
        <v>82</v>
      </c>
      <c r="F4762" s="77" t="s">
        <v>73</v>
      </c>
      <c r="G4762" s="77" t="s">
        <v>74</v>
      </c>
      <c r="H4762" s="77" t="s">
        <v>128</v>
      </c>
      <c r="I4762" s="77" t="s">
        <v>84</v>
      </c>
      <c r="J4762" s="76">
        <f>'SUT_EU27 total'!$N$79</f>
        <v>4.3195382907628159E-4</v>
      </c>
    </row>
    <row r="4763" spans="1:10" x14ac:dyDescent="0.35">
      <c r="A4763" t="s">
        <v>15</v>
      </c>
      <c r="B4763" t="s">
        <v>37</v>
      </c>
      <c r="C4763" s="77" t="s">
        <v>91</v>
      </c>
      <c r="D4763" t="s">
        <v>81</v>
      </c>
      <c r="E4763" s="77" t="s">
        <v>86</v>
      </c>
      <c r="F4763" s="77" t="s">
        <v>73</v>
      </c>
      <c r="G4763" s="77" t="s">
        <v>74</v>
      </c>
      <c r="H4763" s="77" t="s">
        <v>128</v>
      </c>
      <c r="I4763" s="77" t="s">
        <v>84</v>
      </c>
      <c r="J4763" s="76">
        <f>'SUT_EU27 total'!$N$86</f>
        <v>1.1339568587203704E-2</v>
      </c>
    </row>
    <row r="4764" spans="1:10" x14ac:dyDescent="0.35">
      <c r="A4764" t="s">
        <v>15</v>
      </c>
      <c r="B4764" t="s">
        <v>37</v>
      </c>
      <c r="C4764" s="77" t="s">
        <v>92</v>
      </c>
      <c r="D4764" t="s">
        <v>81</v>
      </c>
      <c r="E4764" s="77" t="s">
        <v>82</v>
      </c>
      <c r="F4764" s="77" t="s">
        <v>73</v>
      </c>
      <c r="G4764" s="77" t="s">
        <v>74</v>
      </c>
      <c r="H4764" s="77" t="s">
        <v>128</v>
      </c>
      <c r="I4764" s="77" t="s">
        <v>84</v>
      </c>
      <c r="J4764" s="76">
        <f>'SUT_EU27 total'!$N$96</f>
        <v>5.9963902402539811E-4</v>
      </c>
    </row>
    <row r="4765" spans="1:10" x14ac:dyDescent="0.35">
      <c r="A4765" t="s">
        <v>15</v>
      </c>
      <c r="B4765" t="s">
        <v>37</v>
      </c>
      <c r="C4765" s="77" t="s">
        <v>92</v>
      </c>
      <c r="D4765" t="s">
        <v>81</v>
      </c>
      <c r="E4765" s="77" t="s">
        <v>86</v>
      </c>
      <c r="F4765" s="77" t="s">
        <v>73</v>
      </c>
      <c r="G4765" s="77" t="s">
        <v>74</v>
      </c>
      <c r="H4765" s="77" t="s">
        <v>128</v>
      </c>
      <c r="I4765" s="77" t="s">
        <v>84</v>
      </c>
      <c r="J4765" s="76">
        <f>'SUT_EU27 total'!$N$103</f>
        <v>7.0614092017150581E-3</v>
      </c>
    </row>
    <row r="4766" spans="1:10" x14ac:dyDescent="0.35">
      <c r="A4766" t="s">
        <v>15</v>
      </c>
      <c r="B4766" t="s">
        <v>37</v>
      </c>
      <c r="C4766" s="77" t="s">
        <v>93</v>
      </c>
      <c r="D4766" t="s">
        <v>81</v>
      </c>
      <c r="E4766" s="77" t="s">
        <v>82</v>
      </c>
      <c r="F4766" s="77" t="s">
        <v>73</v>
      </c>
      <c r="G4766" s="77" t="s">
        <v>74</v>
      </c>
      <c r="H4766" s="77" t="s">
        <v>128</v>
      </c>
      <c r="I4766" s="77" t="s">
        <v>84</v>
      </c>
      <c r="J4766" s="76">
        <f>'SUT_EU27 total'!$N$113</f>
        <v>2.4854239602480213E-3</v>
      </c>
    </row>
    <row r="4767" spans="1:10" x14ac:dyDescent="0.35">
      <c r="A4767" t="s">
        <v>15</v>
      </c>
      <c r="B4767" t="s">
        <v>37</v>
      </c>
      <c r="C4767" s="77" t="s">
        <v>93</v>
      </c>
      <c r="D4767" t="s">
        <v>81</v>
      </c>
      <c r="E4767" s="77" t="s">
        <v>86</v>
      </c>
      <c r="F4767" s="77" t="s">
        <v>73</v>
      </c>
      <c r="G4767" s="77" t="s">
        <v>74</v>
      </c>
      <c r="H4767" s="77" t="s">
        <v>128</v>
      </c>
      <c r="I4767" s="77" t="s">
        <v>84</v>
      </c>
      <c r="J4767" s="76">
        <f>'SUT_EU27 total'!$N$120</f>
        <v>3.1580644155014347E-2</v>
      </c>
    </row>
    <row r="4768" spans="1:10" x14ac:dyDescent="0.35">
      <c r="A4768" t="s">
        <v>15</v>
      </c>
      <c r="B4768" t="s">
        <v>37</v>
      </c>
      <c r="C4768" s="77" t="s">
        <v>73</v>
      </c>
      <c r="D4768" t="s">
        <v>81</v>
      </c>
      <c r="E4768" s="77" t="s">
        <v>82</v>
      </c>
      <c r="F4768" s="77" t="s">
        <v>73</v>
      </c>
      <c r="G4768" s="77" t="s">
        <v>74</v>
      </c>
      <c r="H4768" s="77" t="s">
        <v>129</v>
      </c>
      <c r="I4768" s="77" t="s">
        <v>84</v>
      </c>
      <c r="J4768" s="76">
        <f>'SUT_EU27 total'!$O$28</f>
        <v>1.4658301341380521E-2</v>
      </c>
    </row>
    <row r="4769" spans="1:10" x14ac:dyDescent="0.35">
      <c r="A4769" t="s">
        <v>15</v>
      </c>
      <c r="B4769" t="s">
        <v>37</v>
      </c>
      <c r="C4769" s="77" t="s">
        <v>73</v>
      </c>
      <c r="D4769" t="s">
        <v>81</v>
      </c>
      <c r="E4769" s="77" t="s">
        <v>86</v>
      </c>
      <c r="F4769" s="77" t="s">
        <v>73</v>
      </c>
      <c r="G4769" s="77" t="s">
        <v>74</v>
      </c>
      <c r="H4769" s="77" t="s">
        <v>129</v>
      </c>
      <c r="I4769" s="77" t="s">
        <v>84</v>
      </c>
      <c r="J4769" s="76">
        <f>'SUT_EU27 total'!$O$35</f>
        <v>3.0740776778828832E-3</v>
      </c>
    </row>
    <row r="4770" spans="1:10" x14ac:dyDescent="0.35">
      <c r="A4770" t="s">
        <v>15</v>
      </c>
      <c r="B4770" t="s">
        <v>37</v>
      </c>
      <c r="C4770" s="77" t="s">
        <v>88</v>
      </c>
      <c r="D4770" t="s">
        <v>81</v>
      </c>
      <c r="E4770" s="77" t="s">
        <v>82</v>
      </c>
      <c r="F4770" s="77" t="s">
        <v>73</v>
      </c>
      <c r="G4770" s="77" t="s">
        <v>74</v>
      </c>
      <c r="H4770" s="77" t="s">
        <v>129</v>
      </c>
      <c r="I4770" s="77" t="s">
        <v>84</v>
      </c>
      <c r="J4770" s="76">
        <f>'SUT_EU27 total'!$O$45</f>
        <v>9.2276548594747033E-3</v>
      </c>
    </row>
    <row r="4771" spans="1:10" x14ac:dyDescent="0.35">
      <c r="A4771" t="s">
        <v>15</v>
      </c>
      <c r="B4771" t="s">
        <v>37</v>
      </c>
      <c r="C4771" s="77" t="s">
        <v>88</v>
      </c>
      <c r="D4771" t="s">
        <v>81</v>
      </c>
      <c r="E4771" s="77" t="s">
        <v>86</v>
      </c>
      <c r="F4771" s="77" t="s">
        <v>73</v>
      </c>
      <c r="G4771" s="77" t="s">
        <v>74</v>
      </c>
      <c r="H4771" s="77" t="s">
        <v>129</v>
      </c>
      <c r="I4771" s="77" t="s">
        <v>84</v>
      </c>
      <c r="J4771" s="76">
        <f>'SUT_EU27 total'!$O$52</f>
        <v>6.9627451701437512E-2</v>
      </c>
    </row>
    <row r="4772" spans="1:10" x14ac:dyDescent="0.35">
      <c r="A4772" t="s">
        <v>15</v>
      </c>
      <c r="B4772" t="s">
        <v>37</v>
      </c>
      <c r="C4772" s="77" t="s">
        <v>90</v>
      </c>
      <c r="D4772" t="s">
        <v>81</v>
      </c>
      <c r="E4772" s="77" t="s">
        <v>82</v>
      </c>
      <c r="F4772" s="77" t="s">
        <v>73</v>
      </c>
      <c r="G4772" s="77" t="s">
        <v>74</v>
      </c>
      <c r="H4772" s="77" t="s">
        <v>129</v>
      </c>
      <c r="I4772" s="77" t="s">
        <v>84</v>
      </c>
      <c r="J4772" s="76">
        <f>'SUT_EU27 total'!$O$62</f>
        <v>2.2200107734217647E-6</v>
      </c>
    </row>
    <row r="4773" spans="1:10" x14ac:dyDescent="0.35">
      <c r="A4773" t="s">
        <v>15</v>
      </c>
      <c r="B4773" t="s">
        <v>37</v>
      </c>
      <c r="C4773" s="77" t="s">
        <v>90</v>
      </c>
      <c r="D4773" t="s">
        <v>81</v>
      </c>
      <c r="E4773" s="77" t="s">
        <v>86</v>
      </c>
      <c r="F4773" s="77" t="s">
        <v>73</v>
      </c>
      <c r="G4773" s="77" t="s">
        <v>74</v>
      </c>
      <c r="H4773" s="77" t="s">
        <v>129</v>
      </c>
      <c r="I4773" s="77" t="s">
        <v>84</v>
      </c>
      <c r="J4773" s="76">
        <f>'SUT_EU27 total'!$O$69</f>
        <v>9.1135123377023061E-3</v>
      </c>
    </row>
    <row r="4774" spans="1:10" x14ac:dyDescent="0.35">
      <c r="A4774" t="s">
        <v>15</v>
      </c>
      <c r="B4774" t="s">
        <v>37</v>
      </c>
      <c r="C4774" s="77" t="s">
        <v>91</v>
      </c>
      <c r="D4774" t="s">
        <v>81</v>
      </c>
      <c r="E4774" s="77" t="s">
        <v>82</v>
      </c>
      <c r="F4774" s="77" t="s">
        <v>73</v>
      </c>
      <c r="G4774" s="77" t="s">
        <v>74</v>
      </c>
      <c r="H4774" s="77" t="s">
        <v>129</v>
      </c>
      <c r="I4774" s="77" t="s">
        <v>84</v>
      </c>
      <c r="J4774" s="76">
        <f>'SUT_EU27 total'!$O$79</f>
        <v>4.3195382907628159E-4</v>
      </c>
    </row>
    <row r="4775" spans="1:10" x14ac:dyDescent="0.35">
      <c r="A4775" t="s">
        <v>15</v>
      </c>
      <c r="B4775" t="s">
        <v>37</v>
      </c>
      <c r="C4775" s="77" t="s">
        <v>91</v>
      </c>
      <c r="D4775" t="s">
        <v>81</v>
      </c>
      <c r="E4775" s="77" t="s">
        <v>86</v>
      </c>
      <c r="F4775" s="77" t="s">
        <v>73</v>
      </c>
      <c r="G4775" s="77" t="s">
        <v>74</v>
      </c>
      <c r="H4775" s="77" t="s">
        <v>129</v>
      </c>
      <c r="I4775" s="77" t="s">
        <v>84</v>
      </c>
      <c r="J4775" s="76">
        <f>'SUT_EU27 total'!$O$86</f>
        <v>1.1339568587203704E-2</v>
      </c>
    </row>
    <row r="4776" spans="1:10" x14ac:dyDescent="0.35">
      <c r="A4776" t="s">
        <v>15</v>
      </c>
      <c r="B4776" t="s">
        <v>37</v>
      </c>
      <c r="C4776" s="77" t="s">
        <v>92</v>
      </c>
      <c r="D4776" t="s">
        <v>81</v>
      </c>
      <c r="E4776" s="77" t="s">
        <v>82</v>
      </c>
      <c r="F4776" s="77" t="s">
        <v>73</v>
      </c>
      <c r="G4776" s="77" t="s">
        <v>74</v>
      </c>
      <c r="H4776" s="77" t="s">
        <v>129</v>
      </c>
      <c r="I4776" s="77" t="s">
        <v>84</v>
      </c>
      <c r="J4776" s="76">
        <f>'SUT_EU27 total'!$O$96</f>
        <v>5.9963902402539811E-4</v>
      </c>
    </row>
    <row r="4777" spans="1:10" x14ac:dyDescent="0.35">
      <c r="A4777" t="s">
        <v>15</v>
      </c>
      <c r="B4777" t="s">
        <v>37</v>
      </c>
      <c r="C4777" s="77" t="s">
        <v>92</v>
      </c>
      <c r="D4777" t="s">
        <v>81</v>
      </c>
      <c r="E4777" s="77" t="s">
        <v>86</v>
      </c>
      <c r="F4777" s="77" t="s">
        <v>73</v>
      </c>
      <c r="G4777" s="77" t="s">
        <v>74</v>
      </c>
      <c r="H4777" s="77" t="s">
        <v>129</v>
      </c>
      <c r="I4777" s="77" t="s">
        <v>84</v>
      </c>
      <c r="J4777" s="76">
        <f>'SUT_EU27 total'!$O$103</f>
        <v>7.0614092017150581E-3</v>
      </c>
    </row>
    <row r="4778" spans="1:10" x14ac:dyDescent="0.35">
      <c r="A4778" t="s">
        <v>15</v>
      </c>
      <c r="B4778" t="s">
        <v>37</v>
      </c>
      <c r="C4778" s="77" t="s">
        <v>93</v>
      </c>
      <c r="D4778" t="s">
        <v>81</v>
      </c>
      <c r="E4778" s="77" t="s">
        <v>82</v>
      </c>
      <c r="F4778" s="77" t="s">
        <v>73</v>
      </c>
      <c r="G4778" s="77" t="s">
        <v>74</v>
      </c>
      <c r="H4778" s="77" t="s">
        <v>129</v>
      </c>
      <c r="I4778" s="77" t="s">
        <v>84</v>
      </c>
      <c r="J4778" s="76">
        <f>'SUT_EU27 total'!$O$113</f>
        <v>2.4854239602480213E-3</v>
      </c>
    </row>
    <row r="4779" spans="1:10" x14ac:dyDescent="0.35">
      <c r="A4779" t="s">
        <v>15</v>
      </c>
      <c r="B4779" t="s">
        <v>37</v>
      </c>
      <c r="C4779" s="77" t="s">
        <v>93</v>
      </c>
      <c r="D4779" t="s">
        <v>81</v>
      </c>
      <c r="E4779" s="77" t="s">
        <v>86</v>
      </c>
      <c r="F4779" s="77" t="s">
        <v>73</v>
      </c>
      <c r="G4779" s="77" t="s">
        <v>74</v>
      </c>
      <c r="H4779" s="77" t="s">
        <v>129</v>
      </c>
      <c r="I4779" s="77" t="s">
        <v>84</v>
      </c>
      <c r="J4779" s="76">
        <f>'SUT_EU27 total'!$O$120</f>
        <v>3.1580644155014347E-2</v>
      </c>
    </row>
    <row r="4780" spans="1:10" x14ac:dyDescent="0.35">
      <c r="A4780" t="s">
        <v>15</v>
      </c>
      <c r="B4780" t="s">
        <v>37</v>
      </c>
      <c r="C4780" s="77" t="s">
        <v>73</v>
      </c>
      <c r="D4780" t="s">
        <v>81</v>
      </c>
      <c r="E4780" s="77" t="s">
        <v>82</v>
      </c>
      <c r="F4780" s="77" t="s">
        <v>73</v>
      </c>
      <c r="G4780" s="77" t="s">
        <v>74</v>
      </c>
      <c r="H4780" s="77" t="s">
        <v>130</v>
      </c>
      <c r="I4780" s="77" t="s">
        <v>84</v>
      </c>
      <c r="J4780" s="76">
        <f>'SUT_EU27 total'!$Q$28</f>
        <v>7.0611384178638645E-2</v>
      </c>
    </row>
    <row r="4781" spans="1:10" x14ac:dyDescent="0.35">
      <c r="A4781" t="s">
        <v>15</v>
      </c>
      <c r="B4781" t="s">
        <v>37</v>
      </c>
      <c r="C4781" s="77" t="s">
        <v>88</v>
      </c>
      <c r="D4781" t="s">
        <v>81</v>
      </c>
      <c r="E4781" s="77" t="s">
        <v>82</v>
      </c>
      <c r="F4781" s="77" t="s">
        <v>73</v>
      </c>
      <c r="G4781" s="77" t="s">
        <v>74</v>
      </c>
      <c r="H4781" s="77" t="s">
        <v>130</v>
      </c>
      <c r="I4781" s="77" t="s">
        <v>84</v>
      </c>
      <c r="J4781" s="76">
        <f>'SUT_EU27 total'!$Q$45</f>
        <v>4.4451090694311274E-2</v>
      </c>
    </row>
    <row r="4782" spans="1:10" x14ac:dyDescent="0.35">
      <c r="A4782" t="s">
        <v>15</v>
      </c>
      <c r="B4782" t="s">
        <v>37</v>
      </c>
      <c r="C4782" s="77" t="s">
        <v>90</v>
      </c>
      <c r="D4782" t="s">
        <v>81</v>
      </c>
      <c r="E4782" s="77" t="s">
        <v>82</v>
      </c>
      <c r="F4782" s="77" t="s">
        <v>73</v>
      </c>
      <c r="G4782" s="77" t="s">
        <v>74</v>
      </c>
      <c r="H4782" s="77" t="s">
        <v>130</v>
      </c>
      <c r="I4782" s="77" t="s">
        <v>84</v>
      </c>
      <c r="J4782" s="76">
        <f>'SUT_EU27 total'!$Q$62</f>
        <v>1.0694147292515508E-5</v>
      </c>
    </row>
    <row r="4783" spans="1:10" x14ac:dyDescent="0.35">
      <c r="A4783" t="s">
        <v>15</v>
      </c>
      <c r="B4783" t="s">
        <v>37</v>
      </c>
      <c r="C4783" s="77" t="s">
        <v>91</v>
      </c>
      <c r="D4783" t="s">
        <v>81</v>
      </c>
      <c r="E4783" s="77" t="s">
        <v>82</v>
      </c>
      <c r="F4783" s="77" t="s">
        <v>73</v>
      </c>
      <c r="G4783" s="77" t="s">
        <v>74</v>
      </c>
      <c r="H4783" s="77" t="s">
        <v>130</v>
      </c>
      <c r="I4783" s="77" t="s">
        <v>84</v>
      </c>
      <c r="J4783" s="76">
        <f>'SUT_EU27 total'!$Q$79</f>
        <v>2.0807907452574416E-3</v>
      </c>
    </row>
    <row r="4784" spans="1:10" x14ac:dyDescent="0.35">
      <c r="A4784" t="s">
        <v>15</v>
      </c>
      <c r="B4784" t="s">
        <v>37</v>
      </c>
      <c r="C4784" s="77" t="s">
        <v>92</v>
      </c>
      <c r="D4784" t="s">
        <v>81</v>
      </c>
      <c r="E4784" s="77" t="s">
        <v>82</v>
      </c>
      <c r="F4784" s="77" t="s">
        <v>73</v>
      </c>
      <c r="G4784" s="77" t="s">
        <v>74</v>
      </c>
      <c r="H4784" s="77" t="s">
        <v>130</v>
      </c>
      <c r="I4784" s="77" t="s">
        <v>84</v>
      </c>
      <c r="J4784" s="76">
        <f>'SUT_EU27 total'!$Q$96</f>
        <v>2.8885571737041122E-3</v>
      </c>
    </row>
    <row r="4785" spans="1:10" x14ac:dyDescent="0.35">
      <c r="A4785" t="s">
        <v>15</v>
      </c>
      <c r="B4785" t="s">
        <v>37</v>
      </c>
      <c r="C4785" s="77" t="s">
        <v>93</v>
      </c>
      <c r="D4785" t="s">
        <v>81</v>
      </c>
      <c r="E4785" s="77" t="s">
        <v>82</v>
      </c>
      <c r="F4785" s="77" t="s">
        <v>73</v>
      </c>
      <c r="G4785" s="77" t="s">
        <v>74</v>
      </c>
      <c r="H4785" s="77" t="s">
        <v>130</v>
      </c>
      <c r="I4785" s="77" t="s">
        <v>84</v>
      </c>
      <c r="J4785" s="76">
        <f>'SUT_EU27 total'!$Q$113</f>
        <v>1.1972685102906883E-2</v>
      </c>
    </row>
    <row r="4786" spans="1:10" x14ac:dyDescent="0.35">
      <c r="A4786" t="s">
        <v>15</v>
      </c>
      <c r="B4786" t="s">
        <v>37</v>
      </c>
      <c r="C4786" s="77" t="s">
        <v>73</v>
      </c>
      <c r="D4786" s="77" t="s">
        <v>81</v>
      </c>
      <c r="E4786" s="77" t="s">
        <v>96</v>
      </c>
      <c r="F4786" s="77" t="s">
        <v>73</v>
      </c>
      <c r="G4786" s="77" t="s">
        <v>74</v>
      </c>
      <c r="H4786" s="77" t="s">
        <v>130</v>
      </c>
      <c r="I4786" s="77" t="s">
        <v>84</v>
      </c>
      <c r="J4786" s="74" cm="1">
        <f t="array" ref="J4786:J4787">Sensitivity!J82:J83</f>
        <v>9.0622182146077552</v>
      </c>
    </row>
    <row r="4787" spans="1:10" x14ac:dyDescent="0.35">
      <c r="A4787" t="s">
        <v>15</v>
      </c>
      <c r="B4787" t="s">
        <v>37</v>
      </c>
      <c r="C4787" s="77" t="s">
        <v>73</v>
      </c>
      <c r="D4787" s="77" t="s">
        <v>81</v>
      </c>
      <c r="E4787" s="77" t="s">
        <v>99</v>
      </c>
      <c r="F4787" s="77" t="s">
        <v>73</v>
      </c>
      <c r="G4787" s="77" t="s">
        <v>74</v>
      </c>
      <c r="H4787" s="77" t="s">
        <v>130</v>
      </c>
      <c r="I4787" s="77" t="s">
        <v>84</v>
      </c>
      <c r="J4787" s="74">
        <v>0</v>
      </c>
    </row>
    <row r="4788" spans="1:10" x14ac:dyDescent="0.35">
      <c r="A4788" t="s">
        <v>15</v>
      </c>
      <c r="B4788" t="s">
        <v>37</v>
      </c>
      <c r="C4788" s="77" t="s">
        <v>73</v>
      </c>
      <c r="D4788" t="s">
        <v>81</v>
      </c>
      <c r="E4788" s="77" t="s">
        <v>131</v>
      </c>
      <c r="F4788" s="77" t="s">
        <v>73</v>
      </c>
      <c r="G4788" s="77" t="s">
        <v>74</v>
      </c>
      <c r="H4788" s="77" t="s">
        <v>112</v>
      </c>
      <c r="I4788" s="77" t="s">
        <v>84</v>
      </c>
      <c r="J4788" s="76">
        <f>'SUT_EU27 total'!$R$24</f>
        <v>4.0146105919003111E-8</v>
      </c>
    </row>
    <row r="4789" spans="1:10" x14ac:dyDescent="0.35">
      <c r="A4789" t="s">
        <v>15</v>
      </c>
      <c r="B4789" t="s">
        <v>37</v>
      </c>
      <c r="C4789" s="77" t="s">
        <v>73</v>
      </c>
      <c r="D4789" t="s">
        <v>81</v>
      </c>
      <c r="E4789" s="77" t="s">
        <v>122</v>
      </c>
      <c r="F4789" s="77" t="s">
        <v>73</v>
      </c>
      <c r="G4789" s="77" t="s">
        <v>74</v>
      </c>
      <c r="H4789" s="77" t="s">
        <v>112</v>
      </c>
      <c r="I4789" s="77" t="s">
        <v>84</v>
      </c>
      <c r="J4789" s="76">
        <f>'SUT_EU27 total'!$R$30</f>
        <v>3.9708116569218732E-4</v>
      </c>
    </row>
    <row r="4790" spans="1:10" x14ac:dyDescent="0.35">
      <c r="A4790" t="s">
        <v>15</v>
      </c>
      <c r="B4790" t="s">
        <v>37</v>
      </c>
      <c r="C4790" s="77" t="s">
        <v>73</v>
      </c>
      <c r="D4790" t="s">
        <v>81</v>
      </c>
      <c r="E4790" s="77" t="s">
        <v>101</v>
      </c>
      <c r="F4790" s="77" t="s">
        <v>73</v>
      </c>
      <c r="G4790" s="77" t="s">
        <v>74</v>
      </c>
      <c r="H4790" s="77" t="s">
        <v>112</v>
      </c>
      <c r="I4790" s="77" t="s">
        <v>84</v>
      </c>
      <c r="J4790" s="76" cm="1">
        <f t="array" ref="J4790:J4792">'SUT_EU27 total'!$R$32:$R$34</f>
        <v>1.2183459827918709E-7</v>
      </c>
    </row>
    <row r="4791" spans="1:10" x14ac:dyDescent="0.35">
      <c r="A4791" t="s">
        <v>15</v>
      </c>
      <c r="B4791" t="s">
        <v>37</v>
      </c>
      <c r="C4791" s="77" t="s">
        <v>73</v>
      </c>
      <c r="D4791" t="s">
        <v>81</v>
      </c>
      <c r="E4791" s="77" t="s">
        <v>104</v>
      </c>
      <c r="F4791" s="77" t="s">
        <v>73</v>
      </c>
      <c r="G4791" s="77" t="s">
        <v>74</v>
      </c>
      <c r="H4791" s="77" t="s">
        <v>112</v>
      </c>
      <c r="I4791" s="77" t="s">
        <v>84</v>
      </c>
      <c r="J4791" s="76">
        <v>2.3068290654205609E-7</v>
      </c>
    </row>
    <row r="4792" spans="1:10" x14ac:dyDescent="0.35">
      <c r="A4792" t="s">
        <v>15</v>
      </c>
      <c r="B4792" t="s">
        <v>37</v>
      </c>
      <c r="C4792" s="77" t="s">
        <v>73</v>
      </c>
      <c r="D4792" t="s">
        <v>81</v>
      </c>
      <c r="E4792" s="77" t="s">
        <v>106</v>
      </c>
      <c r="F4792" s="77" t="s">
        <v>73</v>
      </c>
      <c r="G4792" s="77" t="s">
        <v>74</v>
      </c>
      <c r="H4792" s="77" t="s">
        <v>112</v>
      </c>
      <c r="I4792" s="77" t="s">
        <v>84</v>
      </c>
      <c r="J4792" s="76">
        <v>7.8463573653760568E-7</v>
      </c>
    </row>
    <row r="4793" spans="1:10" x14ac:dyDescent="0.35">
      <c r="A4793" t="s">
        <v>15</v>
      </c>
      <c r="B4793" t="s">
        <v>37</v>
      </c>
      <c r="C4793" s="77" t="s">
        <v>88</v>
      </c>
      <c r="D4793" t="s">
        <v>81</v>
      </c>
      <c r="E4793" s="77" t="s">
        <v>131</v>
      </c>
      <c r="F4793" s="77" t="s">
        <v>73</v>
      </c>
      <c r="G4793" s="77" t="s">
        <v>74</v>
      </c>
      <c r="H4793" s="77" t="s">
        <v>112</v>
      </c>
      <c r="I4793" s="77" t="s">
        <v>84</v>
      </c>
      <c r="J4793" s="76">
        <f>'SUT_EU27 total'!$R$41</f>
        <v>0</v>
      </c>
    </row>
    <row r="4794" spans="1:10" x14ac:dyDescent="0.35">
      <c r="A4794" t="s">
        <v>15</v>
      </c>
      <c r="B4794" t="s">
        <v>37</v>
      </c>
      <c r="C4794" s="77" t="s">
        <v>88</v>
      </c>
      <c r="D4794" t="s">
        <v>81</v>
      </c>
      <c r="E4794" s="77" t="s">
        <v>122</v>
      </c>
      <c r="F4794" s="77" t="s">
        <v>73</v>
      </c>
      <c r="G4794" s="77" t="s">
        <v>74</v>
      </c>
      <c r="H4794" s="77" t="s">
        <v>112</v>
      </c>
      <c r="I4794" s="77" t="s">
        <v>84</v>
      </c>
      <c r="J4794" s="76">
        <f>'SUT_EU27 total'!$R$47</f>
        <v>0</v>
      </c>
    </row>
    <row r="4795" spans="1:10" x14ac:dyDescent="0.35">
      <c r="A4795" t="s">
        <v>15</v>
      </c>
      <c r="B4795" t="s">
        <v>37</v>
      </c>
      <c r="C4795" s="77" t="s">
        <v>88</v>
      </c>
      <c r="D4795" t="s">
        <v>81</v>
      </c>
      <c r="E4795" s="77" t="s">
        <v>101</v>
      </c>
      <c r="F4795" s="77" t="s">
        <v>73</v>
      </c>
      <c r="G4795" s="77" t="s">
        <v>74</v>
      </c>
      <c r="H4795" s="77" t="s">
        <v>112</v>
      </c>
      <c r="I4795" s="77" t="s">
        <v>84</v>
      </c>
      <c r="J4795" s="76" cm="1">
        <f t="array" ref="J4795:J4797">'SUT_EU27 total'!$R$49:$R$51</f>
        <v>0</v>
      </c>
    </row>
    <row r="4796" spans="1:10" x14ac:dyDescent="0.35">
      <c r="A4796" t="s">
        <v>15</v>
      </c>
      <c r="B4796" t="s">
        <v>37</v>
      </c>
      <c r="C4796" s="77" t="s">
        <v>88</v>
      </c>
      <c r="D4796" t="s">
        <v>81</v>
      </c>
      <c r="E4796" s="77" t="s">
        <v>104</v>
      </c>
      <c r="F4796" s="77" t="s">
        <v>73</v>
      </c>
      <c r="G4796" s="77" t="s">
        <v>74</v>
      </c>
      <c r="H4796" s="77" t="s">
        <v>112</v>
      </c>
      <c r="I4796" s="77" t="s">
        <v>84</v>
      </c>
      <c r="J4796" s="76">
        <v>0</v>
      </c>
    </row>
    <row r="4797" spans="1:10" x14ac:dyDescent="0.35">
      <c r="A4797" t="s">
        <v>15</v>
      </c>
      <c r="B4797" t="s">
        <v>37</v>
      </c>
      <c r="C4797" s="77" t="s">
        <v>88</v>
      </c>
      <c r="D4797" t="s">
        <v>81</v>
      </c>
      <c r="E4797" s="77" t="s">
        <v>106</v>
      </c>
      <c r="F4797" s="77" t="s">
        <v>73</v>
      </c>
      <c r="G4797" s="77" t="s">
        <v>74</v>
      </c>
      <c r="H4797" s="77" t="s">
        <v>112</v>
      </c>
      <c r="I4797" s="77" t="s">
        <v>84</v>
      </c>
      <c r="J4797" s="76">
        <v>0</v>
      </c>
    </row>
    <row r="4798" spans="1:10" x14ac:dyDescent="0.35">
      <c r="A4798" t="s">
        <v>15</v>
      </c>
      <c r="B4798" t="s">
        <v>37</v>
      </c>
      <c r="C4798" s="77" t="s">
        <v>90</v>
      </c>
      <c r="D4798" t="s">
        <v>81</v>
      </c>
      <c r="E4798" s="77" t="s">
        <v>131</v>
      </c>
      <c r="F4798" s="77" t="s">
        <v>73</v>
      </c>
      <c r="G4798" s="77" t="s">
        <v>74</v>
      </c>
      <c r="H4798" s="77" t="s">
        <v>112</v>
      </c>
      <c r="I4798" s="77" t="s">
        <v>84</v>
      </c>
      <c r="J4798" s="76">
        <f>'SUT_EU27 total'!$R$58</f>
        <v>0</v>
      </c>
    </row>
    <row r="4799" spans="1:10" x14ac:dyDescent="0.35">
      <c r="A4799" t="s">
        <v>15</v>
      </c>
      <c r="B4799" t="s">
        <v>37</v>
      </c>
      <c r="C4799" s="77" t="s">
        <v>90</v>
      </c>
      <c r="D4799" t="s">
        <v>81</v>
      </c>
      <c r="E4799" s="77" t="s">
        <v>122</v>
      </c>
      <c r="F4799" s="77" t="s">
        <v>73</v>
      </c>
      <c r="G4799" s="77" t="s">
        <v>74</v>
      </c>
      <c r="H4799" s="77" t="s">
        <v>112</v>
      </c>
      <c r="I4799" s="77" t="s">
        <v>84</v>
      </c>
      <c r="J4799" s="76">
        <f>'SUT_EU27 total'!$R$64</f>
        <v>6.4108466461028498E-4</v>
      </c>
    </row>
    <row r="4800" spans="1:10" x14ac:dyDescent="0.35">
      <c r="A4800" t="s">
        <v>15</v>
      </c>
      <c r="B4800" t="s">
        <v>37</v>
      </c>
      <c r="C4800" s="77" t="s">
        <v>90</v>
      </c>
      <c r="D4800" t="s">
        <v>81</v>
      </c>
      <c r="E4800" s="77" t="s">
        <v>101</v>
      </c>
      <c r="F4800" s="77" t="s">
        <v>73</v>
      </c>
      <c r="G4800" s="77" t="s">
        <v>74</v>
      </c>
      <c r="H4800" s="77" t="s">
        <v>112</v>
      </c>
      <c r="I4800" s="77" t="s">
        <v>84</v>
      </c>
      <c r="J4800" s="76" cm="1">
        <f t="array" ref="J4800:J4802">'SUT_EU27 total'!$R$66:$R$68</f>
        <v>0</v>
      </c>
    </row>
    <row r="4801" spans="1:10" x14ac:dyDescent="0.35">
      <c r="A4801" t="s">
        <v>15</v>
      </c>
      <c r="B4801" t="s">
        <v>37</v>
      </c>
      <c r="C4801" s="77" t="s">
        <v>90</v>
      </c>
      <c r="D4801" t="s">
        <v>81</v>
      </c>
      <c r="E4801" s="77" t="s">
        <v>104</v>
      </c>
      <c r="F4801" s="77" t="s">
        <v>73</v>
      </c>
      <c r="G4801" s="77" t="s">
        <v>74</v>
      </c>
      <c r="H4801" s="77" t="s">
        <v>112</v>
      </c>
      <c r="I4801" s="77" t="s">
        <v>84</v>
      </c>
      <c r="J4801" s="76">
        <v>0</v>
      </c>
    </row>
    <row r="4802" spans="1:10" x14ac:dyDescent="0.35">
      <c r="A4802" t="s">
        <v>15</v>
      </c>
      <c r="B4802" t="s">
        <v>37</v>
      </c>
      <c r="C4802" s="77" t="s">
        <v>90</v>
      </c>
      <c r="D4802" t="s">
        <v>81</v>
      </c>
      <c r="E4802" s="77" t="s">
        <v>106</v>
      </c>
      <c r="F4802" s="77" t="s">
        <v>73</v>
      </c>
      <c r="G4802" s="77" t="s">
        <v>74</v>
      </c>
      <c r="H4802" s="77" t="s">
        <v>112</v>
      </c>
      <c r="I4802" s="77" t="s">
        <v>84</v>
      </c>
      <c r="J4802" s="76">
        <v>0</v>
      </c>
    </row>
    <row r="4803" spans="1:10" x14ac:dyDescent="0.35">
      <c r="A4803" t="s">
        <v>15</v>
      </c>
      <c r="B4803" t="s">
        <v>37</v>
      </c>
      <c r="C4803" s="77" t="s">
        <v>91</v>
      </c>
      <c r="D4803" t="s">
        <v>81</v>
      </c>
      <c r="E4803" s="77" t="s">
        <v>131</v>
      </c>
      <c r="F4803" s="77" t="s">
        <v>73</v>
      </c>
      <c r="G4803" s="77" t="s">
        <v>74</v>
      </c>
      <c r="H4803" s="77" t="s">
        <v>112</v>
      </c>
      <c r="I4803" s="77" t="s">
        <v>84</v>
      </c>
      <c r="J4803" s="76">
        <f>'SUT_EU27 total'!$R$75</f>
        <v>0</v>
      </c>
    </row>
    <row r="4804" spans="1:10" x14ac:dyDescent="0.35">
      <c r="A4804" t="s">
        <v>15</v>
      </c>
      <c r="B4804" t="s">
        <v>37</v>
      </c>
      <c r="C4804" s="77" t="s">
        <v>91</v>
      </c>
      <c r="D4804" t="s">
        <v>81</v>
      </c>
      <c r="E4804" s="77" t="s">
        <v>122</v>
      </c>
      <c r="F4804" s="77" t="s">
        <v>73</v>
      </c>
      <c r="G4804" s="77" t="s">
        <v>74</v>
      </c>
      <c r="H4804" s="77" t="s">
        <v>112</v>
      </c>
      <c r="I4804" s="77" t="s">
        <v>84</v>
      </c>
      <c r="J4804" s="76">
        <f>'SUT_EU27 total'!$R$81</f>
        <v>0</v>
      </c>
    </row>
    <row r="4805" spans="1:10" x14ac:dyDescent="0.35">
      <c r="A4805" t="s">
        <v>15</v>
      </c>
      <c r="B4805" t="s">
        <v>37</v>
      </c>
      <c r="C4805" s="77" t="s">
        <v>91</v>
      </c>
      <c r="D4805" t="s">
        <v>81</v>
      </c>
      <c r="E4805" s="77" t="s">
        <v>101</v>
      </c>
      <c r="F4805" s="77" t="s">
        <v>73</v>
      </c>
      <c r="G4805" s="77" t="s">
        <v>74</v>
      </c>
      <c r="H4805" s="77" t="s">
        <v>112</v>
      </c>
      <c r="I4805" s="77" t="s">
        <v>84</v>
      </c>
      <c r="J4805" s="76" cm="1">
        <f t="array" ref="J4805:J4807">'SUT_EU27 total'!$R$83:$R$85</f>
        <v>0</v>
      </c>
    </row>
    <row r="4806" spans="1:10" x14ac:dyDescent="0.35">
      <c r="A4806" t="s">
        <v>15</v>
      </c>
      <c r="B4806" t="s">
        <v>37</v>
      </c>
      <c r="C4806" s="77" t="s">
        <v>91</v>
      </c>
      <c r="D4806" t="s">
        <v>81</v>
      </c>
      <c r="E4806" s="77" t="s">
        <v>104</v>
      </c>
      <c r="F4806" s="77" t="s">
        <v>73</v>
      </c>
      <c r="G4806" s="77" t="s">
        <v>74</v>
      </c>
      <c r="H4806" s="77" t="s">
        <v>112</v>
      </c>
      <c r="I4806" s="77" t="s">
        <v>84</v>
      </c>
      <c r="J4806" s="76">
        <v>0</v>
      </c>
    </row>
    <row r="4807" spans="1:10" x14ac:dyDescent="0.35">
      <c r="A4807" t="s">
        <v>15</v>
      </c>
      <c r="B4807" t="s">
        <v>37</v>
      </c>
      <c r="C4807" s="77" t="s">
        <v>91</v>
      </c>
      <c r="D4807" t="s">
        <v>81</v>
      </c>
      <c r="E4807" s="77" t="s">
        <v>106</v>
      </c>
      <c r="F4807" s="77" t="s">
        <v>73</v>
      </c>
      <c r="G4807" s="77" t="s">
        <v>74</v>
      </c>
      <c r="H4807" s="77" t="s">
        <v>112</v>
      </c>
      <c r="I4807" s="77" t="s">
        <v>84</v>
      </c>
      <c r="J4807" s="76">
        <v>0</v>
      </c>
    </row>
    <row r="4808" spans="1:10" x14ac:dyDescent="0.35">
      <c r="A4808" t="s">
        <v>15</v>
      </c>
      <c r="B4808" t="s">
        <v>37</v>
      </c>
      <c r="C4808" s="77" t="s">
        <v>92</v>
      </c>
      <c r="D4808" t="s">
        <v>81</v>
      </c>
      <c r="E4808" s="77" t="s">
        <v>131</v>
      </c>
      <c r="F4808" s="77" t="s">
        <v>73</v>
      </c>
      <c r="G4808" s="77" t="s">
        <v>74</v>
      </c>
      <c r="H4808" s="77" t="s">
        <v>112</v>
      </c>
      <c r="I4808" s="77" t="s">
        <v>84</v>
      </c>
      <c r="J4808" s="76">
        <f>'SUT_EU27 total'!$R$92</f>
        <v>0</v>
      </c>
    </row>
    <row r="4809" spans="1:10" x14ac:dyDescent="0.35">
      <c r="A4809" t="s">
        <v>15</v>
      </c>
      <c r="B4809" t="s">
        <v>37</v>
      </c>
      <c r="C4809" s="77" t="s">
        <v>92</v>
      </c>
      <c r="D4809" t="s">
        <v>81</v>
      </c>
      <c r="E4809" s="77" t="s">
        <v>122</v>
      </c>
      <c r="F4809" s="77" t="s">
        <v>73</v>
      </c>
      <c r="G4809" s="77" t="s">
        <v>74</v>
      </c>
      <c r="H4809" s="77" t="s">
        <v>112</v>
      </c>
      <c r="I4809" s="77" t="s">
        <v>84</v>
      </c>
      <c r="J4809" s="76">
        <f>'SUT_EU27 total'!$R$98</f>
        <v>0</v>
      </c>
    </row>
    <row r="4810" spans="1:10" x14ac:dyDescent="0.35">
      <c r="A4810" t="s">
        <v>15</v>
      </c>
      <c r="B4810" t="s">
        <v>37</v>
      </c>
      <c r="C4810" s="77" t="s">
        <v>92</v>
      </c>
      <c r="D4810" t="s">
        <v>81</v>
      </c>
      <c r="E4810" s="77" t="s">
        <v>101</v>
      </c>
      <c r="F4810" s="77" t="s">
        <v>73</v>
      </c>
      <c r="G4810" s="77" t="s">
        <v>74</v>
      </c>
      <c r="H4810" s="77" t="s">
        <v>112</v>
      </c>
      <c r="I4810" s="77" t="s">
        <v>84</v>
      </c>
      <c r="J4810" s="76" cm="1">
        <f t="array" ref="J4810:J4812">'SUT_EU27 total'!$R$100:$R$102</f>
        <v>0</v>
      </c>
    </row>
    <row r="4811" spans="1:10" x14ac:dyDescent="0.35">
      <c r="A4811" t="s">
        <v>15</v>
      </c>
      <c r="B4811" t="s">
        <v>37</v>
      </c>
      <c r="C4811" s="77" t="s">
        <v>92</v>
      </c>
      <c r="D4811" t="s">
        <v>81</v>
      </c>
      <c r="E4811" s="77" t="s">
        <v>104</v>
      </c>
      <c r="F4811" s="77" t="s">
        <v>73</v>
      </c>
      <c r="G4811" s="77" t="s">
        <v>74</v>
      </c>
      <c r="H4811" s="77" t="s">
        <v>112</v>
      </c>
      <c r="I4811" s="77" t="s">
        <v>84</v>
      </c>
      <c r="J4811" s="76">
        <v>0</v>
      </c>
    </row>
    <row r="4812" spans="1:10" x14ac:dyDescent="0.35">
      <c r="A4812" t="s">
        <v>15</v>
      </c>
      <c r="B4812" t="s">
        <v>37</v>
      </c>
      <c r="C4812" s="77" t="s">
        <v>92</v>
      </c>
      <c r="D4812" t="s">
        <v>81</v>
      </c>
      <c r="E4812" s="77" t="s">
        <v>106</v>
      </c>
      <c r="F4812" s="77" t="s">
        <v>73</v>
      </c>
      <c r="G4812" s="77" t="s">
        <v>74</v>
      </c>
      <c r="H4812" s="77" t="s">
        <v>112</v>
      </c>
      <c r="I4812" s="77" t="s">
        <v>84</v>
      </c>
      <c r="J4812" s="76">
        <v>0</v>
      </c>
    </row>
    <row r="4813" spans="1:10" x14ac:dyDescent="0.35">
      <c r="A4813" t="s">
        <v>15</v>
      </c>
      <c r="B4813" t="s">
        <v>37</v>
      </c>
      <c r="C4813" s="77" t="s">
        <v>93</v>
      </c>
      <c r="D4813" t="s">
        <v>81</v>
      </c>
      <c r="E4813" s="77" t="s">
        <v>131</v>
      </c>
      <c r="F4813" s="77" t="s">
        <v>73</v>
      </c>
      <c r="G4813" s="77" t="s">
        <v>74</v>
      </c>
      <c r="H4813" s="77" t="s">
        <v>112</v>
      </c>
      <c r="I4813" s="77" t="s">
        <v>84</v>
      </c>
      <c r="J4813" s="76">
        <f>'SUT_EU27 total'!$R$109</f>
        <v>0</v>
      </c>
    </row>
    <row r="4814" spans="1:10" x14ac:dyDescent="0.35">
      <c r="A4814" t="s">
        <v>15</v>
      </c>
      <c r="B4814" t="s">
        <v>37</v>
      </c>
      <c r="C4814" s="77" t="s">
        <v>93</v>
      </c>
      <c r="D4814" t="s">
        <v>81</v>
      </c>
      <c r="E4814" s="77" t="s">
        <v>122</v>
      </c>
      <c r="F4814" s="77" t="s">
        <v>73</v>
      </c>
      <c r="G4814" s="77" t="s">
        <v>74</v>
      </c>
      <c r="H4814" s="77" t="s">
        <v>112</v>
      </c>
      <c r="I4814" s="77" t="s">
        <v>84</v>
      </c>
      <c r="J4814" s="76">
        <f>'SUT_EU27 total'!$R$115</f>
        <v>2.188358424259166E-3</v>
      </c>
    </row>
    <row r="4815" spans="1:10" x14ac:dyDescent="0.35">
      <c r="A4815" t="s">
        <v>15</v>
      </c>
      <c r="B4815" t="s">
        <v>37</v>
      </c>
      <c r="C4815" s="77" t="s">
        <v>93</v>
      </c>
      <c r="D4815" t="s">
        <v>81</v>
      </c>
      <c r="E4815" s="77" t="s">
        <v>101</v>
      </c>
      <c r="F4815" s="77" t="s">
        <v>73</v>
      </c>
      <c r="G4815" s="77" t="s">
        <v>74</v>
      </c>
      <c r="H4815" s="77" t="s">
        <v>112</v>
      </c>
      <c r="I4815" s="77" t="s">
        <v>84</v>
      </c>
      <c r="J4815" s="76" cm="1">
        <f t="array" ref="J4815:J4817">'SUT_EU27 total'!$R$117:$R$119</f>
        <v>0</v>
      </c>
    </row>
    <row r="4816" spans="1:10" x14ac:dyDescent="0.35">
      <c r="A4816" t="s">
        <v>15</v>
      </c>
      <c r="B4816" t="s">
        <v>37</v>
      </c>
      <c r="C4816" s="77" t="s">
        <v>93</v>
      </c>
      <c r="D4816" t="s">
        <v>81</v>
      </c>
      <c r="E4816" s="77" t="s">
        <v>104</v>
      </c>
      <c r="F4816" s="77" t="s">
        <v>73</v>
      </c>
      <c r="G4816" s="77" t="s">
        <v>74</v>
      </c>
      <c r="H4816" s="77" t="s">
        <v>112</v>
      </c>
      <c r="I4816" s="77" t="s">
        <v>84</v>
      </c>
      <c r="J4816" s="76">
        <v>0</v>
      </c>
    </row>
    <row r="4817" spans="1:10" x14ac:dyDescent="0.35">
      <c r="A4817" t="s">
        <v>15</v>
      </c>
      <c r="B4817" t="s">
        <v>37</v>
      </c>
      <c r="C4817" s="77" t="s">
        <v>93</v>
      </c>
      <c r="D4817" t="s">
        <v>81</v>
      </c>
      <c r="E4817" s="77" t="s">
        <v>106</v>
      </c>
      <c r="F4817" s="77" t="s">
        <v>73</v>
      </c>
      <c r="G4817" s="77" t="s">
        <v>74</v>
      </c>
      <c r="H4817" s="77" t="s">
        <v>112</v>
      </c>
      <c r="I4817" s="77" t="s">
        <v>84</v>
      </c>
      <c r="J4817" s="76">
        <v>0</v>
      </c>
    </row>
    <row r="4818" spans="1:10" x14ac:dyDescent="0.35">
      <c r="A4818" t="s">
        <v>15</v>
      </c>
      <c r="B4818" t="s">
        <v>37</v>
      </c>
      <c r="C4818" s="77" t="s">
        <v>73</v>
      </c>
      <c r="D4818" t="s">
        <v>81</v>
      </c>
      <c r="E4818" s="77" t="s">
        <v>131</v>
      </c>
      <c r="F4818" s="77" t="s">
        <v>73</v>
      </c>
      <c r="G4818" s="77" t="s">
        <v>74</v>
      </c>
      <c r="H4818" s="77" t="s">
        <v>113</v>
      </c>
      <c r="I4818" s="77" t="s">
        <v>84</v>
      </c>
      <c r="J4818" s="76">
        <f>'SUT_EU27 total'!$S$24</f>
        <v>5.0294789999999994E-8</v>
      </c>
    </row>
    <row r="4819" spans="1:10" x14ac:dyDescent="0.35">
      <c r="A4819" t="s">
        <v>15</v>
      </c>
      <c r="B4819" t="s">
        <v>37</v>
      </c>
      <c r="C4819" s="77" t="s">
        <v>73</v>
      </c>
      <c r="D4819" t="s">
        <v>81</v>
      </c>
      <c r="E4819" s="77" t="s">
        <v>101</v>
      </c>
      <c r="F4819" s="77" t="s">
        <v>73</v>
      </c>
      <c r="G4819" s="77" t="s">
        <v>74</v>
      </c>
      <c r="H4819" s="77" t="s">
        <v>113</v>
      </c>
      <c r="I4819" s="77" t="s">
        <v>84</v>
      </c>
      <c r="J4819" s="76" cm="1">
        <f t="array" ref="J4819:J4821">'SUT_EU27 total'!$S$32:$S$34</f>
        <v>1.7883556705882356E-5</v>
      </c>
    </row>
    <row r="4820" spans="1:10" x14ac:dyDescent="0.35">
      <c r="A4820" t="s">
        <v>15</v>
      </c>
      <c r="B4820" t="s">
        <v>37</v>
      </c>
      <c r="C4820" s="77" t="s">
        <v>73</v>
      </c>
      <c r="D4820" t="s">
        <v>81</v>
      </c>
      <c r="E4820" s="77" t="s">
        <v>104</v>
      </c>
      <c r="F4820" s="77" t="s">
        <v>73</v>
      </c>
      <c r="G4820" s="77" t="s">
        <v>74</v>
      </c>
      <c r="H4820" s="77" t="s">
        <v>113</v>
      </c>
      <c r="I4820" s="77" t="s">
        <v>84</v>
      </c>
      <c r="J4820" s="76">
        <v>3.3860913882352942E-5</v>
      </c>
    </row>
    <row r="4821" spans="1:10" x14ac:dyDescent="0.35">
      <c r="A4821" t="s">
        <v>15</v>
      </c>
      <c r="B4821" t="s">
        <v>37</v>
      </c>
      <c r="C4821" s="77" t="s">
        <v>73</v>
      </c>
      <c r="D4821" t="s">
        <v>81</v>
      </c>
      <c r="E4821" s="77" t="s">
        <v>106</v>
      </c>
      <c r="F4821" s="77" t="s">
        <v>73</v>
      </c>
      <c r="G4821" s="77" t="s">
        <v>74</v>
      </c>
      <c r="H4821" s="77" t="s">
        <v>113</v>
      </c>
      <c r="I4821" s="77" t="s">
        <v>84</v>
      </c>
      <c r="J4821" s="76">
        <v>1.1517317647058823E-4</v>
      </c>
    </row>
    <row r="4822" spans="1:10" x14ac:dyDescent="0.35">
      <c r="A4822" t="s">
        <v>15</v>
      </c>
      <c r="B4822" t="s">
        <v>37</v>
      </c>
      <c r="C4822" s="77" t="s">
        <v>88</v>
      </c>
      <c r="D4822" t="s">
        <v>81</v>
      </c>
      <c r="E4822" s="77" t="s">
        <v>131</v>
      </c>
      <c r="F4822" s="77" t="s">
        <v>73</v>
      </c>
      <c r="G4822" s="77" t="s">
        <v>74</v>
      </c>
      <c r="H4822" s="77" t="s">
        <v>113</v>
      </c>
      <c r="I4822" s="77" t="s">
        <v>84</v>
      </c>
      <c r="J4822" s="76">
        <f>'SUT_EU27 total'!$S$41</f>
        <v>0</v>
      </c>
    </row>
    <row r="4823" spans="1:10" x14ac:dyDescent="0.35">
      <c r="A4823" t="s">
        <v>15</v>
      </c>
      <c r="B4823" t="s">
        <v>37</v>
      </c>
      <c r="C4823" s="77" t="s">
        <v>88</v>
      </c>
      <c r="D4823" t="s">
        <v>81</v>
      </c>
      <c r="E4823" s="77" t="s">
        <v>101</v>
      </c>
      <c r="F4823" s="77" t="s">
        <v>73</v>
      </c>
      <c r="G4823" s="77" t="s">
        <v>74</v>
      </c>
      <c r="H4823" s="77" t="s">
        <v>113</v>
      </c>
      <c r="I4823" s="77" t="s">
        <v>84</v>
      </c>
      <c r="J4823" s="76" cm="1">
        <f t="array" ref="J4823:J4825">'SUT_EU27 total'!$S$49:$S$51</f>
        <v>0</v>
      </c>
    </row>
    <row r="4824" spans="1:10" x14ac:dyDescent="0.35">
      <c r="A4824" t="s">
        <v>15</v>
      </c>
      <c r="B4824" t="s">
        <v>37</v>
      </c>
      <c r="C4824" s="77" t="s">
        <v>88</v>
      </c>
      <c r="D4824" t="s">
        <v>81</v>
      </c>
      <c r="E4824" s="77" t="s">
        <v>104</v>
      </c>
      <c r="F4824" s="77" t="s">
        <v>73</v>
      </c>
      <c r="G4824" s="77" t="s">
        <v>74</v>
      </c>
      <c r="H4824" s="77" t="s">
        <v>113</v>
      </c>
      <c r="I4824" s="77" t="s">
        <v>84</v>
      </c>
      <c r="J4824" s="76">
        <v>0</v>
      </c>
    </row>
    <row r="4825" spans="1:10" x14ac:dyDescent="0.35">
      <c r="A4825" t="s">
        <v>15</v>
      </c>
      <c r="B4825" t="s">
        <v>37</v>
      </c>
      <c r="C4825" s="77" t="s">
        <v>88</v>
      </c>
      <c r="D4825" t="s">
        <v>81</v>
      </c>
      <c r="E4825" s="77" t="s">
        <v>106</v>
      </c>
      <c r="F4825" s="77" t="s">
        <v>73</v>
      </c>
      <c r="G4825" s="77" t="s">
        <v>74</v>
      </c>
      <c r="H4825" s="77" t="s">
        <v>113</v>
      </c>
      <c r="I4825" s="77" t="s">
        <v>84</v>
      </c>
      <c r="J4825" s="76">
        <v>0</v>
      </c>
    </row>
    <row r="4826" spans="1:10" x14ac:dyDescent="0.35">
      <c r="A4826" t="s">
        <v>15</v>
      </c>
      <c r="B4826" t="s">
        <v>37</v>
      </c>
      <c r="C4826" s="77" t="s">
        <v>90</v>
      </c>
      <c r="D4826" t="s">
        <v>81</v>
      </c>
      <c r="E4826" s="77" t="s">
        <v>131</v>
      </c>
      <c r="F4826" s="77" t="s">
        <v>73</v>
      </c>
      <c r="G4826" s="77" t="s">
        <v>74</v>
      </c>
      <c r="H4826" s="77" t="s">
        <v>113</v>
      </c>
      <c r="I4826" s="77" t="s">
        <v>84</v>
      </c>
      <c r="J4826" s="76">
        <f>'SUT_EU27 total'!$S$58</f>
        <v>0</v>
      </c>
    </row>
    <row r="4827" spans="1:10" x14ac:dyDescent="0.35">
      <c r="A4827" t="s">
        <v>15</v>
      </c>
      <c r="B4827" t="s">
        <v>37</v>
      </c>
      <c r="C4827" s="77" t="s">
        <v>90</v>
      </c>
      <c r="D4827" t="s">
        <v>81</v>
      </c>
      <c r="E4827" s="77" t="s">
        <v>101</v>
      </c>
      <c r="F4827" s="77" t="s">
        <v>73</v>
      </c>
      <c r="G4827" s="77" t="s">
        <v>74</v>
      </c>
      <c r="H4827" s="77" t="s">
        <v>113</v>
      </c>
      <c r="I4827" s="77" t="s">
        <v>84</v>
      </c>
      <c r="J4827" s="76" cm="1">
        <f t="array" ref="J4827:J4829">'SUT_EU27 total'!$S$66:$S$68</f>
        <v>0</v>
      </c>
    </row>
    <row r="4828" spans="1:10" x14ac:dyDescent="0.35">
      <c r="A4828" t="s">
        <v>15</v>
      </c>
      <c r="B4828" t="s">
        <v>37</v>
      </c>
      <c r="C4828" s="77" t="s">
        <v>90</v>
      </c>
      <c r="D4828" t="s">
        <v>81</v>
      </c>
      <c r="E4828" s="77" t="s">
        <v>104</v>
      </c>
      <c r="F4828" s="77" t="s">
        <v>73</v>
      </c>
      <c r="G4828" s="77" t="s">
        <v>74</v>
      </c>
      <c r="H4828" s="77" t="s">
        <v>113</v>
      </c>
      <c r="I4828" s="77" t="s">
        <v>84</v>
      </c>
      <c r="J4828" s="76">
        <v>0</v>
      </c>
    </row>
    <row r="4829" spans="1:10" x14ac:dyDescent="0.35">
      <c r="A4829" t="s">
        <v>15</v>
      </c>
      <c r="B4829" t="s">
        <v>37</v>
      </c>
      <c r="C4829" s="77" t="s">
        <v>90</v>
      </c>
      <c r="D4829" t="s">
        <v>81</v>
      </c>
      <c r="E4829" s="77" t="s">
        <v>106</v>
      </c>
      <c r="F4829" s="77" t="s">
        <v>73</v>
      </c>
      <c r="G4829" s="77" t="s">
        <v>74</v>
      </c>
      <c r="H4829" s="77" t="s">
        <v>113</v>
      </c>
      <c r="I4829" s="77" t="s">
        <v>84</v>
      </c>
      <c r="J4829" s="76">
        <v>0</v>
      </c>
    </row>
    <row r="4830" spans="1:10" x14ac:dyDescent="0.35">
      <c r="A4830" t="s">
        <v>15</v>
      </c>
      <c r="B4830" t="s">
        <v>37</v>
      </c>
      <c r="C4830" s="77" t="s">
        <v>91</v>
      </c>
      <c r="D4830" t="s">
        <v>81</v>
      </c>
      <c r="E4830" s="77" t="s">
        <v>131</v>
      </c>
      <c r="F4830" s="77" t="s">
        <v>73</v>
      </c>
      <c r="G4830" s="77" t="s">
        <v>74</v>
      </c>
      <c r="H4830" s="77" t="s">
        <v>113</v>
      </c>
      <c r="I4830" s="77" t="s">
        <v>84</v>
      </c>
      <c r="J4830" s="76">
        <f>'SUT_EU27 total'!$S$75</f>
        <v>0</v>
      </c>
    </row>
    <row r="4831" spans="1:10" x14ac:dyDescent="0.35">
      <c r="A4831" t="s">
        <v>15</v>
      </c>
      <c r="B4831" t="s">
        <v>37</v>
      </c>
      <c r="C4831" s="77" t="s">
        <v>91</v>
      </c>
      <c r="D4831" t="s">
        <v>81</v>
      </c>
      <c r="E4831" s="77" t="s">
        <v>101</v>
      </c>
      <c r="F4831" s="77" t="s">
        <v>73</v>
      </c>
      <c r="G4831" s="77" t="s">
        <v>74</v>
      </c>
      <c r="H4831" s="77" t="s">
        <v>113</v>
      </c>
      <c r="I4831" s="77" t="s">
        <v>84</v>
      </c>
      <c r="J4831" s="76" cm="1">
        <f t="array" ref="J4831:J4833">'SUT_EU27 total'!$S$83:$S$85</f>
        <v>0</v>
      </c>
    </row>
    <row r="4832" spans="1:10" x14ac:dyDescent="0.35">
      <c r="A4832" t="s">
        <v>15</v>
      </c>
      <c r="B4832" t="s">
        <v>37</v>
      </c>
      <c r="C4832" s="77" t="s">
        <v>91</v>
      </c>
      <c r="D4832" t="s">
        <v>81</v>
      </c>
      <c r="E4832" s="77" t="s">
        <v>104</v>
      </c>
      <c r="F4832" s="77" t="s">
        <v>73</v>
      </c>
      <c r="G4832" s="77" t="s">
        <v>74</v>
      </c>
      <c r="H4832" s="77" t="s">
        <v>113</v>
      </c>
      <c r="I4832" s="77" t="s">
        <v>84</v>
      </c>
      <c r="J4832" s="76">
        <v>0</v>
      </c>
    </row>
    <row r="4833" spans="1:10" x14ac:dyDescent="0.35">
      <c r="A4833" t="s">
        <v>15</v>
      </c>
      <c r="B4833" t="s">
        <v>37</v>
      </c>
      <c r="C4833" s="77" t="s">
        <v>91</v>
      </c>
      <c r="D4833" t="s">
        <v>81</v>
      </c>
      <c r="E4833" s="77" t="s">
        <v>106</v>
      </c>
      <c r="F4833" s="77" t="s">
        <v>73</v>
      </c>
      <c r="G4833" s="77" t="s">
        <v>74</v>
      </c>
      <c r="H4833" s="77" t="s">
        <v>113</v>
      </c>
      <c r="I4833" s="77" t="s">
        <v>84</v>
      </c>
      <c r="J4833" s="76">
        <v>0</v>
      </c>
    </row>
    <row r="4834" spans="1:10" x14ac:dyDescent="0.35">
      <c r="A4834" t="s">
        <v>15</v>
      </c>
      <c r="B4834" t="s">
        <v>37</v>
      </c>
      <c r="C4834" s="77" t="s">
        <v>92</v>
      </c>
      <c r="D4834" t="s">
        <v>81</v>
      </c>
      <c r="E4834" s="77" t="s">
        <v>131</v>
      </c>
      <c r="F4834" s="77" t="s">
        <v>73</v>
      </c>
      <c r="G4834" s="77" t="s">
        <v>74</v>
      </c>
      <c r="H4834" s="77" t="s">
        <v>113</v>
      </c>
      <c r="I4834" s="77" t="s">
        <v>84</v>
      </c>
      <c r="J4834" s="76">
        <f>'SUT_EU27 total'!$S$92</f>
        <v>0</v>
      </c>
    </row>
    <row r="4835" spans="1:10" x14ac:dyDescent="0.35">
      <c r="A4835" t="s">
        <v>15</v>
      </c>
      <c r="B4835" t="s">
        <v>37</v>
      </c>
      <c r="C4835" s="77" t="s">
        <v>92</v>
      </c>
      <c r="D4835" t="s">
        <v>81</v>
      </c>
      <c r="E4835" s="77" t="s">
        <v>101</v>
      </c>
      <c r="F4835" s="77" t="s">
        <v>73</v>
      </c>
      <c r="G4835" s="77" t="s">
        <v>74</v>
      </c>
      <c r="H4835" s="77" t="s">
        <v>113</v>
      </c>
      <c r="I4835" s="77" t="s">
        <v>84</v>
      </c>
      <c r="J4835" s="76" cm="1">
        <f t="array" ref="J4835:J4837">'SUT_EU27 total'!$S$100:$S$102</f>
        <v>0</v>
      </c>
    </row>
    <row r="4836" spans="1:10" x14ac:dyDescent="0.35">
      <c r="A4836" t="s">
        <v>15</v>
      </c>
      <c r="B4836" t="s">
        <v>37</v>
      </c>
      <c r="C4836" s="77" t="s">
        <v>92</v>
      </c>
      <c r="D4836" t="s">
        <v>81</v>
      </c>
      <c r="E4836" s="77" t="s">
        <v>104</v>
      </c>
      <c r="F4836" s="77" t="s">
        <v>73</v>
      </c>
      <c r="G4836" s="77" t="s">
        <v>74</v>
      </c>
      <c r="H4836" s="77" t="s">
        <v>113</v>
      </c>
      <c r="I4836" s="77" t="s">
        <v>84</v>
      </c>
      <c r="J4836" s="76">
        <v>0</v>
      </c>
    </row>
    <row r="4837" spans="1:10" x14ac:dyDescent="0.35">
      <c r="A4837" t="s">
        <v>15</v>
      </c>
      <c r="B4837" t="s">
        <v>37</v>
      </c>
      <c r="C4837" s="77" t="s">
        <v>92</v>
      </c>
      <c r="D4837" t="s">
        <v>81</v>
      </c>
      <c r="E4837" s="77" t="s">
        <v>106</v>
      </c>
      <c r="F4837" s="77" t="s">
        <v>73</v>
      </c>
      <c r="G4837" s="77" t="s">
        <v>74</v>
      </c>
      <c r="H4837" s="77" t="s">
        <v>113</v>
      </c>
      <c r="I4837" s="77" t="s">
        <v>84</v>
      </c>
      <c r="J4837" s="76">
        <v>0</v>
      </c>
    </row>
    <row r="4838" spans="1:10" x14ac:dyDescent="0.35">
      <c r="A4838" t="s">
        <v>15</v>
      </c>
      <c r="B4838" t="s">
        <v>37</v>
      </c>
      <c r="C4838" s="77" t="s">
        <v>93</v>
      </c>
      <c r="D4838" t="s">
        <v>81</v>
      </c>
      <c r="E4838" s="77" t="s">
        <v>131</v>
      </c>
      <c r="F4838" s="77" t="s">
        <v>73</v>
      </c>
      <c r="G4838" s="77" t="s">
        <v>74</v>
      </c>
      <c r="H4838" s="77" t="s">
        <v>113</v>
      </c>
      <c r="I4838" s="77" t="s">
        <v>84</v>
      </c>
      <c r="J4838" s="76">
        <f>'SUT_EU27 total'!$S$109</f>
        <v>0</v>
      </c>
    </row>
    <row r="4839" spans="1:10" x14ac:dyDescent="0.35">
      <c r="A4839" t="s">
        <v>15</v>
      </c>
      <c r="B4839" t="s">
        <v>37</v>
      </c>
      <c r="C4839" s="77" t="s">
        <v>93</v>
      </c>
      <c r="D4839" t="s">
        <v>81</v>
      </c>
      <c r="E4839" s="77" t="s">
        <v>101</v>
      </c>
      <c r="F4839" s="77" t="s">
        <v>73</v>
      </c>
      <c r="G4839" s="77" t="s">
        <v>74</v>
      </c>
      <c r="H4839" s="77" t="s">
        <v>113</v>
      </c>
      <c r="I4839" s="77" t="s">
        <v>84</v>
      </c>
      <c r="J4839" s="76" cm="1">
        <f t="array" ref="J4839:J4841">'SUT_EU27 total'!$S$117:$S$119</f>
        <v>0</v>
      </c>
    </row>
    <row r="4840" spans="1:10" x14ac:dyDescent="0.35">
      <c r="A4840" t="s">
        <v>15</v>
      </c>
      <c r="B4840" t="s">
        <v>37</v>
      </c>
      <c r="C4840" s="77" t="s">
        <v>93</v>
      </c>
      <c r="D4840" t="s">
        <v>81</v>
      </c>
      <c r="E4840" s="77" t="s">
        <v>104</v>
      </c>
      <c r="F4840" s="77" t="s">
        <v>73</v>
      </c>
      <c r="G4840" s="77" t="s">
        <v>74</v>
      </c>
      <c r="H4840" s="77" t="s">
        <v>113</v>
      </c>
      <c r="I4840" s="77" t="s">
        <v>84</v>
      </c>
      <c r="J4840" s="76">
        <v>0</v>
      </c>
    </row>
    <row r="4841" spans="1:10" x14ac:dyDescent="0.35">
      <c r="A4841" t="s">
        <v>15</v>
      </c>
      <c r="B4841" t="s">
        <v>37</v>
      </c>
      <c r="C4841" s="77" t="s">
        <v>93</v>
      </c>
      <c r="D4841" t="s">
        <v>81</v>
      </c>
      <c r="E4841" s="77" t="s">
        <v>106</v>
      </c>
      <c r="F4841" s="77" t="s">
        <v>73</v>
      </c>
      <c r="G4841" s="77" t="s">
        <v>74</v>
      </c>
      <c r="H4841" s="77" t="s">
        <v>113</v>
      </c>
      <c r="I4841" s="77" t="s">
        <v>84</v>
      </c>
      <c r="J4841" s="76">
        <v>0</v>
      </c>
    </row>
    <row r="4842" spans="1:10" x14ac:dyDescent="0.35">
      <c r="A4842" t="s">
        <v>15</v>
      </c>
      <c r="B4842" t="s">
        <v>37</v>
      </c>
      <c r="C4842" s="77" t="s">
        <v>73</v>
      </c>
      <c r="D4842" t="s">
        <v>74</v>
      </c>
      <c r="E4842" s="77" t="s">
        <v>123</v>
      </c>
      <c r="F4842" s="77" t="s">
        <v>73</v>
      </c>
      <c r="G4842" s="77" t="s">
        <v>81</v>
      </c>
      <c r="H4842" s="77" t="s">
        <v>115</v>
      </c>
      <c r="I4842" s="77" t="s">
        <v>84</v>
      </c>
      <c r="J4842" s="76" cm="1">
        <f t="array" ref="J4842:J4848">TRANSPOSE('2030 pathways'!$C$10:$I$10)</f>
        <v>0.1003</v>
      </c>
    </row>
    <row r="4843" spans="1:10" x14ac:dyDescent="0.35">
      <c r="A4843" t="s">
        <v>15</v>
      </c>
      <c r="B4843" t="s">
        <v>37</v>
      </c>
      <c r="C4843" s="77" t="s">
        <v>73</v>
      </c>
      <c r="D4843" t="s">
        <v>74</v>
      </c>
      <c r="E4843" s="77" t="s">
        <v>127</v>
      </c>
      <c r="F4843" s="77" t="s">
        <v>73</v>
      </c>
      <c r="G4843" s="77" t="s">
        <v>81</v>
      </c>
      <c r="H4843" s="77" t="s">
        <v>115</v>
      </c>
      <c r="I4843" s="77" t="s">
        <v>84</v>
      </c>
      <c r="J4843" s="76">
        <v>2.9499999999999998E-2</v>
      </c>
    </row>
    <row r="4844" spans="1:10" x14ac:dyDescent="0.35">
      <c r="A4844" t="s">
        <v>15</v>
      </c>
      <c r="B4844" t="s">
        <v>37</v>
      </c>
      <c r="C4844" s="77" t="s">
        <v>73</v>
      </c>
      <c r="D4844" t="s">
        <v>74</v>
      </c>
      <c r="E4844" s="77" t="s">
        <v>128</v>
      </c>
      <c r="F4844" s="77" t="s">
        <v>73</v>
      </c>
      <c r="G4844" s="77" t="s">
        <v>81</v>
      </c>
      <c r="H4844" s="77" t="s">
        <v>115</v>
      </c>
      <c r="I4844" s="77" t="s">
        <v>84</v>
      </c>
      <c r="J4844" s="76">
        <v>8.8499999999999995E-2</v>
      </c>
    </row>
    <row r="4845" spans="1:10" x14ac:dyDescent="0.35">
      <c r="A4845" t="s">
        <v>15</v>
      </c>
      <c r="B4845" t="s">
        <v>37</v>
      </c>
      <c r="C4845" s="77" t="s">
        <v>73</v>
      </c>
      <c r="D4845" t="s">
        <v>74</v>
      </c>
      <c r="E4845" s="77" t="s">
        <v>129</v>
      </c>
      <c r="F4845" s="77" t="s">
        <v>73</v>
      </c>
      <c r="G4845" s="77" t="s">
        <v>81</v>
      </c>
      <c r="H4845" s="77" t="s">
        <v>115</v>
      </c>
      <c r="I4845" s="77" t="s">
        <v>84</v>
      </c>
      <c r="J4845" s="76">
        <v>5.8999999999999999E-3</v>
      </c>
    </row>
    <row r="4846" spans="1:10" x14ac:dyDescent="0.35">
      <c r="A4846" t="s">
        <v>15</v>
      </c>
      <c r="B4846" t="s">
        <v>37</v>
      </c>
      <c r="C4846" s="77" t="s">
        <v>73</v>
      </c>
      <c r="D4846" t="s">
        <v>74</v>
      </c>
      <c r="E4846" s="77" t="s">
        <v>77</v>
      </c>
      <c r="F4846" s="77" t="s">
        <v>73</v>
      </c>
      <c r="G4846" s="77" t="s">
        <v>81</v>
      </c>
      <c r="H4846" s="77" t="s">
        <v>115</v>
      </c>
      <c r="I4846" s="77" t="s">
        <v>84</v>
      </c>
      <c r="J4846" s="76">
        <v>5.8999999999999999E-3</v>
      </c>
    </row>
    <row r="4847" spans="1:10" x14ac:dyDescent="0.35">
      <c r="A4847" t="s">
        <v>15</v>
      </c>
      <c r="B4847" t="s">
        <v>37</v>
      </c>
      <c r="C4847" s="77" t="s">
        <v>73</v>
      </c>
      <c r="D4847" t="s">
        <v>74</v>
      </c>
      <c r="E4847" s="77" t="s">
        <v>130</v>
      </c>
      <c r="F4847" s="77" t="s">
        <v>73</v>
      </c>
      <c r="G4847" s="77" t="s">
        <v>81</v>
      </c>
      <c r="H4847" s="77" t="s">
        <v>115</v>
      </c>
      <c r="I4847" s="77" t="s">
        <v>84</v>
      </c>
      <c r="J4847" s="76">
        <v>0.3599</v>
      </c>
    </row>
    <row r="4848" spans="1:10" x14ac:dyDescent="0.35">
      <c r="A4848" t="s">
        <v>15</v>
      </c>
      <c r="B4848" t="s">
        <v>37</v>
      </c>
      <c r="C4848" s="77" t="s">
        <v>73</v>
      </c>
      <c r="D4848" t="s">
        <v>74</v>
      </c>
      <c r="E4848" s="77" t="s">
        <v>132</v>
      </c>
      <c r="F4848" s="77" t="s">
        <v>73</v>
      </c>
      <c r="G4848" s="77" t="s">
        <v>81</v>
      </c>
      <c r="H4848" s="77" t="s">
        <v>115</v>
      </c>
      <c r="I4848" s="77" t="s">
        <v>84</v>
      </c>
      <c r="J4848" s="76">
        <v>0.41</v>
      </c>
    </row>
    <row r="4849" spans="1:10" x14ac:dyDescent="0.35">
      <c r="A4849" t="s">
        <v>15</v>
      </c>
      <c r="B4849" t="s">
        <v>37</v>
      </c>
      <c r="C4849" s="77" t="s">
        <v>73</v>
      </c>
      <c r="D4849" t="s">
        <v>74</v>
      </c>
      <c r="E4849" s="77" t="s">
        <v>133</v>
      </c>
      <c r="F4849" s="77" t="s">
        <v>73</v>
      </c>
      <c r="G4849" s="77" t="s">
        <v>81</v>
      </c>
      <c r="H4849" s="77" t="s">
        <v>115</v>
      </c>
      <c r="I4849" s="77" t="s">
        <v>84</v>
      </c>
      <c r="J4849" s="76">
        <v>0</v>
      </c>
    </row>
    <row r="4850" spans="1:10" x14ac:dyDescent="0.35">
      <c r="A4850" s="470" t="s">
        <v>15</v>
      </c>
      <c r="B4850" s="470" t="s">
        <v>38</v>
      </c>
      <c r="C4850" s="482" t="s">
        <v>73</v>
      </c>
      <c r="D4850" s="470" t="s">
        <v>81</v>
      </c>
      <c r="E4850" s="482" t="s">
        <v>115</v>
      </c>
      <c r="F4850" s="482" t="s">
        <v>73</v>
      </c>
      <c r="G4850" s="482" t="s">
        <v>74</v>
      </c>
      <c r="H4850" s="482" t="s">
        <v>102</v>
      </c>
      <c r="I4850" s="482" t="s">
        <v>84</v>
      </c>
      <c r="J4850" s="483" cm="1">
        <f t="array" ref="J4850:J4851">'SUT_EU27 total'!$J$19:$J$20</f>
        <v>11.828571428571427</v>
      </c>
    </row>
    <row r="4851" spans="1:10" x14ac:dyDescent="0.35">
      <c r="A4851" t="s">
        <v>15</v>
      </c>
      <c r="B4851" t="s">
        <v>38</v>
      </c>
      <c r="C4851" s="77" t="s">
        <v>73</v>
      </c>
      <c r="D4851" t="s">
        <v>81</v>
      </c>
      <c r="E4851" s="77" t="s">
        <v>116</v>
      </c>
      <c r="F4851" s="77" t="s">
        <v>73</v>
      </c>
      <c r="G4851" s="77" t="s">
        <v>74</v>
      </c>
      <c r="H4851" s="77" t="s">
        <v>102</v>
      </c>
      <c r="I4851" s="77" t="s">
        <v>84</v>
      </c>
      <c r="J4851" s="76">
        <v>3.3421988920214002E-2</v>
      </c>
    </row>
    <row r="4852" spans="1:10" x14ac:dyDescent="0.35">
      <c r="A4852" t="s">
        <v>15</v>
      </c>
      <c r="B4852" t="s">
        <v>38</v>
      </c>
      <c r="C4852" s="77" t="s">
        <v>73</v>
      </c>
      <c r="D4852" t="s">
        <v>81</v>
      </c>
      <c r="E4852" s="77" t="s">
        <v>117</v>
      </c>
      <c r="F4852" s="77" t="s">
        <v>73</v>
      </c>
      <c r="G4852" s="77" t="s">
        <v>74</v>
      </c>
      <c r="H4852" s="77" t="s">
        <v>102</v>
      </c>
      <c r="I4852" s="77" t="s">
        <v>84</v>
      </c>
      <c r="J4852" s="76">
        <f>'SUT_EU27 total'!$J$27</f>
        <v>20.996100000000002</v>
      </c>
    </row>
    <row r="4853" spans="1:10" x14ac:dyDescent="0.35">
      <c r="A4853" t="s">
        <v>15</v>
      </c>
      <c r="B4853" t="s">
        <v>38</v>
      </c>
      <c r="C4853" s="77" t="s">
        <v>73</v>
      </c>
      <c r="D4853" t="s">
        <v>81</v>
      </c>
      <c r="E4853" s="77" t="s">
        <v>101</v>
      </c>
      <c r="F4853" s="77" t="s">
        <v>73</v>
      </c>
      <c r="G4853" s="77" t="s">
        <v>74</v>
      </c>
      <c r="H4853" s="77" t="s">
        <v>102</v>
      </c>
      <c r="I4853" s="77" t="s">
        <v>84</v>
      </c>
      <c r="J4853" s="76" cm="1">
        <f t="array" ref="J4853:J4855">'SUT_EU27 total'!$J$32:$J$34</f>
        <v>0.13437998483817604</v>
      </c>
    </row>
    <row r="4854" spans="1:10" x14ac:dyDescent="0.35">
      <c r="A4854" t="s">
        <v>15</v>
      </c>
      <c r="B4854" t="s">
        <v>38</v>
      </c>
      <c r="C4854" s="77" t="s">
        <v>73</v>
      </c>
      <c r="D4854" t="s">
        <v>81</v>
      </c>
      <c r="E4854" s="77" t="s">
        <v>104</v>
      </c>
      <c r="F4854" s="77" t="s">
        <v>73</v>
      </c>
      <c r="G4854" s="77" t="s">
        <v>74</v>
      </c>
      <c r="H4854" s="77" t="s">
        <v>102</v>
      </c>
      <c r="I4854" s="77" t="s">
        <v>84</v>
      </c>
      <c r="J4854" s="76">
        <v>0.25443647306582401</v>
      </c>
    </row>
    <row r="4855" spans="1:10" x14ac:dyDescent="0.35">
      <c r="A4855" t="s">
        <v>15</v>
      </c>
      <c r="B4855" t="s">
        <v>38</v>
      </c>
      <c r="C4855" s="77" t="s">
        <v>73</v>
      </c>
      <c r="D4855" t="s">
        <v>81</v>
      </c>
      <c r="E4855" s="77" t="s">
        <v>106</v>
      </c>
      <c r="F4855" s="77" t="s">
        <v>73</v>
      </c>
      <c r="G4855" s="77" t="s">
        <v>74</v>
      </c>
      <c r="H4855" s="77" t="s">
        <v>102</v>
      </c>
      <c r="I4855" s="77" t="s">
        <v>84</v>
      </c>
      <c r="J4855" s="76">
        <v>0.86543018049599985</v>
      </c>
    </row>
    <row r="4856" spans="1:10" x14ac:dyDescent="0.35">
      <c r="A4856" t="s">
        <v>15</v>
      </c>
      <c r="B4856" t="s">
        <v>38</v>
      </c>
      <c r="C4856" s="77" t="s">
        <v>88</v>
      </c>
      <c r="D4856" t="s">
        <v>81</v>
      </c>
      <c r="E4856" s="77" t="s">
        <v>115</v>
      </c>
      <c r="F4856" s="77" t="s">
        <v>73</v>
      </c>
      <c r="G4856" s="77" t="s">
        <v>74</v>
      </c>
      <c r="H4856" s="77" t="s">
        <v>102</v>
      </c>
      <c r="I4856" s="77" t="s">
        <v>84</v>
      </c>
      <c r="J4856" s="76" cm="1">
        <f t="array" ref="J4856:J4857">'SUT_EU27 total'!$J$36:$J$37</f>
        <v>78.857142857142847</v>
      </c>
    </row>
    <row r="4857" spans="1:10" x14ac:dyDescent="0.35">
      <c r="A4857" t="s">
        <v>15</v>
      </c>
      <c r="B4857" t="s">
        <v>38</v>
      </c>
      <c r="C4857" s="77" t="s">
        <v>88</v>
      </c>
      <c r="D4857" t="s">
        <v>81</v>
      </c>
      <c r="E4857" s="77" t="s">
        <v>116</v>
      </c>
      <c r="F4857" s="77" t="s">
        <v>73</v>
      </c>
      <c r="G4857" s="77" t="s">
        <v>74</v>
      </c>
      <c r="H4857" s="77" t="s">
        <v>102</v>
      </c>
      <c r="I4857" s="77" t="s">
        <v>84</v>
      </c>
      <c r="J4857" s="76">
        <v>0.7862213561563367</v>
      </c>
    </row>
    <row r="4858" spans="1:10" x14ac:dyDescent="0.35">
      <c r="A4858" t="s">
        <v>15</v>
      </c>
      <c r="B4858" t="s">
        <v>38</v>
      </c>
      <c r="C4858" s="77" t="s">
        <v>88</v>
      </c>
      <c r="D4858" t="s">
        <v>81</v>
      </c>
      <c r="E4858" s="77" t="s">
        <v>117</v>
      </c>
      <c r="F4858" s="77" t="s">
        <v>73</v>
      </c>
      <c r="G4858" s="77" t="s">
        <v>74</v>
      </c>
      <c r="H4858" s="77" t="s">
        <v>102</v>
      </c>
      <c r="I4858" s="77" t="s">
        <v>84</v>
      </c>
      <c r="J4858" s="76">
        <f>'SUT_EU27 total'!$J$44</f>
        <v>286.26390000000004</v>
      </c>
    </row>
    <row r="4859" spans="1:10" x14ac:dyDescent="0.35">
      <c r="A4859" t="s">
        <v>15</v>
      </c>
      <c r="B4859" t="s">
        <v>38</v>
      </c>
      <c r="C4859" s="77" t="s">
        <v>88</v>
      </c>
      <c r="D4859" t="s">
        <v>81</v>
      </c>
      <c r="E4859" s="77" t="s">
        <v>101</v>
      </c>
      <c r="F4859" s="77" t="s">
        <v>73</v>
      </c>
      <c r="G4859" s="77" t="s">
        <v>74</v>
      </c>
      <c r="H4859" s="77" t="s">
        <v>102</v>
      </c>
      <c r="I4859" s="77" t="s">
        <v>84</v>
      </c>
      <c r="J4859" s="76" cm="1">
        <f t="array" ref="J4859:J4861">'SUT_EU27 total'!$J$49:$J$51</f>
        <v>0</v>
      </c>
    </row>
    <row r="4860" spans="1:10" x14ac:dyDescent="0.35">
      <c r="A4860" t="s">
        <v>15</v>
      </c>
      <c r="B4860" t="s">
        <v>38</v>
      </c>
      <c r="C4860" s="77" t="s">
        <v>88</v>
      </c>
      <c r="D4860" t="s">
        <v>81</v>
      </c>
      <c r="E4860" s="77" t="s">
        <v>104</v>
      </c>
      <c r="F4860" s="77" t="s">
        <v>73</v>
      </c>
      <c r="G4860" s="77" t="s">
        <v>74</v>
      </c>
      <c r="H4860" s="77" t="s">
        <v>102</v>
      </c>
      <c r="I4860" s="77" t="s">
        <v>84</v>
      </c>
      <c r="J4860" s="76">
        <v>0</v>
      </c>
    </row>
    <row r="4861" spans="1:10" x14ac:dyDescent="0.35">
      <c r="A4861" t="s">
        <v>15</v>
      </c>
      <c r="B4861" t="s">
        <v>38</v>
      </c>
      <c r="C4861" s="77" t="s">
        <v>88</v>
      </c>
      <c r="D4861" t="s">
        <v>81</v>
      </c>
      <c r="E4861" s="77" t="s">
        <v>106</v>
      </c>
      <c r="F4861" s="77" t="s">
        <v>73</v>
      </c>
      <c r="G4861" s="77" t="s">
        <v>74</v>
      </c>
      <c r="H4861" s="77" t="s">
        <v>102</v>
      </c>
      <c r="I4861" s="77" t="s">
        <v>84</v>
      </c>
      <c r="J4861" s="76">
        <v>0</v>
      </c>
    </row>
    <row r="4862" spans="1:10" x14ac:dyDescent="0.35">
      <c r="A4862" t="s">
        <v>15</v>
      </c>
      <c r="B4862" t="s">
        <v>38</v>
      </c>
      <c r="C4862" s="77" t="s">
        <v>90</v>
      </c>
      <c r="D4862" t="s">
        <v>81</v>
      </c>
      <c r="E4862" s="77" t="s">
        <v>115</v>
      </c>
      <c r="F4862" s="77" t="s">
        <v>73</v>
      </c>
      <c r="G4862" s="77" t="s">
        <v>74</v>
      </c>
      <c r="H4862" s="77" t="s">
        <v>102</v>
      </c>
      <c r="I4862" s="77" t="s">
        <v>84</v>
      </c>
      <c r="J4862" s="76" cm="1">
        <f t="array" ref="J4862:J4863">'SUT_EU27 total'!$J$53:$J$54</f>
        <v>7.7904761904761894</v>
      </c>
    </row>
    <row r="4863" spans="1:10" x14ac:dyDescent="0.35">
      <c r="A4863" t="s">
        <v>15</v>
      </c>
      <c r="B4863" t="s">
        <v>38</v>
      </c>
      <c r="C4863" s="77" t="s">
        <v>90</v>
      </c>
      <c r="D4863" t="s">
        <v>81</v>
      </c>
      <c r="E4863" s="77" t="s">
        <v>116</v>
      </c>
      <c r="F4863" s="77" t="s">
        <v>73</v>
      </c>
      <c r="G4863" s="77" t="s">
        <v>74</v>
      </c>
      <c r="H4863" s="77" t="s">
        <v>102</v>
      </c>
      <c r="I4863" s="77" t="s">
        <v>84</v>
      </c>
      <c r="J4863" s="76">
        <v>1.5473889063756709E-2</v>
      </c>
    </row>
    <row r="4864" spans="1:10" x14ac:dyDescent="0.35">
      <c r="A4864" t="s">
        <v>15</v>
      </c>
      <c r="B4864" t="s">
        <v>38</v>
      </c>
      <c r="C4864" s="77" t="s">
        <v>90</v>
      </c>
      <c r="D4864" t="s">
        <v>81</v>
      </c>
      <c r="E4864" s="77" t="s">
        <v>117</v>
      </c>
      <c r="F4864" s="77" t="s">
        <v>73</v>
      </c>
      <c r="G4864" s="77" t="s">
        <v>74</v>
      </c>
      <c r="H4864" s="77" t="s">
        <v>102</v>
      </c>
      <c r="I4864" s="77" t="s">
        <v>84</v>
      </c>
      <c r="J4864" s="76">
        <f>'SUT_EU27 total'!$J$61</f>
        <v>11.2662</v>
      </c>
    </row>
    <row r="4865" spans="1:10" x14ac:dyDescent="0.35">
      <c r="A4865" t="s">
        <v>15</v>
      </c>
      <c r="B4865" t="s">
        <v>38</v>
      </c>
      <c r="C4865" s="77" t="s">
        <v>90</v>
      </c>
      <c r="D4865" t="s">
        <v>81</v>
      </c>
      <c r="E4865" s="77" t="s">
        <v>101</v>
      </c>
      <c r="F4865" s="77" t="s">
        <v>73</v>
      </c>
      <c r="G4865" s="77" t="s">
        <v>74</v>
      </c>
      <c r="H4865" s="77" t="s">
        <v>102</v>
      </c>
      <c r="I4865" s="77" t="s">
        <v>84</v>
      </c>
      <c r="J4865" s="76" cm="1">
        <f t="array" ref="J4865:J4867">'SUT_EU27 total'!$J$66:$J$68</f>
        <v>0</v>
      </c>
    </row>
    <row r="4866" spans="1:10" x14ac:dyDescent="0.35">
      <c r="A4866" t="s">
        <v>15</v>
      </c>
      <c r="B4866" t="s">
        <v>38</v>
      </c>
      <c r="C4866" s="77" t="s">
        <v>90</v>
      </c>
      <c r="D4866" t="s">
        <v>81</v>
      </c>
      <c r="E4866" s="77" t="s">
        <v>104</v>
      </c>
      <c r="F4866" s="77" t="s">
        <v>73</v>
      </c>
      <c r="G4866" s="77" t="s">
        <v>74</v>
      </c>
      <c r="H4866" s="77" t="s">
        <v>102</v>
      </c>
      <c r="I4866" s="77" t="s">
        <v>84</v>
      </c>
      <c r="J4866" s="76">
        <v>0</v>
      </c>
    </row>
    <row r="4867" spans="1:10" x14ac:dyDescent="0.35">
      <c r="A4867" t="s">
        <v>15</v>
      </c>
      <c r="B4867" t="s">
        <v>38</v>
      </c>
      <c r="C4867" s="77" t="s">
        <v>90</v>
      </c>
      <c r="D4867" t="s">
        <v>81</v>
      </c>
      <c r="E4867" s="77" t="s">
        <v>106</v>
      </c>
      <c r="F4867" s="77" t="s">
        <v>73</v>
      </c>
      <c r="G4867" s="77" t="s">
        <v>74</v>
      </c>
      <c r="H4867" s="77" t="s">
        <v>102</v>
      </c>
      <c r="I4867" s="77" t="s">
        <v>84</v>
      </c>
      <c r="J4867" s="76">
        <v>0</v>
      </c>
    </row>
    <row r="4868" spans="1:10" x14ac:dyDescent="0.35">
      <c r="A4868" t="s">
        <v>15</v>
      </c>
      <c r="B4868" t="s">
        <v>38</v>
      </c>
      <c r="C4868" s="77" t="s">
        <v>91</v>
      </c>
      <c r="D4868" t="s">
        <v>81</v>
      </c>
      <c r="E4868" s="77" t="s">
        <v>115</v>
      </c>
      <c r="F4868" s="77" t="s">
        <v>73</v>
      </c>
      <c r="G4868" s="77" t="s">
        <v>74</v>
      </c>
      <c r="H4868" s="77" t="s">
        <v>102</v>
      </c>
      <c r="I4868" s="77" t="s">
        <v>84</v>
      </c>
      <c r="J4868" s="76" cm="1">
        <f t="array" ref="J4868:J4869">'SUT_EU27 total'!$J$70:$J$71</f>
        <v>15.771428571428569</v>
      </c>
    </row>
    <row r="4869" spans="1:10" x14ac:dyDescent="0.35">
      <c r="A4869" t="s">
        <v>15</v>
      </c>
      <c r="B4869" t="s">
        <v>38</v>
      </c>
      <c r="C4869" s="77" t="s">
        <v>91</v>
      </c>
      <c r="D4869" t="s">
        <v>81</v>
      </c>
      <c r="E4869" s="77" t="s">
        <v>116</v>
      </c>
      <c r="F4869" s="77" t="s">
        <v>73</v>
      </c>
      <c r="G4869" s="77" t="s">
        <v>74</v>
      </c>
      <c r="H4869" s="77" t="s">
        <v>102</v>
      </c>
      <c r="I4869" s="77" t="s">
        <v>84</v>
      </c>
      <c r="J4869" s="76">
        <v>8.7507175559917313E-2</v>
      </c>
    </row>
    <row r="4870" spans="1:10" x14ac:dyDescent="0.35">
      <c r="A4870" t="s">
        <v>15</v>
      </c>
      <c r="B4870" t="s">
        <v>38</v>
      </c>
      <c r="C4870" s="77" t="s">
        <v>91</v>
      </c>
      <c r="D4870" t="s">
        <v>81</v>
      </c>
      <c r="E4870" s="77" t="s">
        <v>117</v>
      </c>
      <c r="F4870" s="77" t="s">
        <v>73</v>
      </c>
      <c r="G4870" s="77" t="s">
        <v>74</v>
      </c>
      <c r="H4870" s="77" t="s">
        <v>102</v>
      </c>
      <c r="I4870" s="77" t="s">
        <v>84</v>
      </c>
      <c r="J4870" s="76">
        <f>'SUT_EU27 total'!$J$78</f>
        <v>41.4801</v>
      </c>
    </row>
    <row r="4871" spans="1:10" x14ac:dyDescent="0.35">
      <c r="A4871" t="s">
        <v>15</v>
      </c>
      <c r="B4871" t="s">
        <v>38</v>
      </c>
      <c r="C4871" s="77" t="s">
        <v>91</v>
      </c>
      <c r="D4871" t="s">
        <v>81</v>
      </c>
      <c r="E4871" s="77" t="s">
        <v>101</v>
      </c>
      <c r="F4871" s="77" t="s">
        <v>73</v>
      </c>
      <c r="G4871" s="77" t="s">
        <v>74</v>
      </c>
      <c r="H4871" s="77" t="s">
        <v>102</v>
      </c>
      <c r="I4871" s="77" t="s">
        <v>84</v>
      </c>
      <c r="J4871" s="76" cm="1">
        <f t="array" ref="J4871:J4873">'SUT_EU27 total'!$J$83:$J$85</f>
        <v>0</v>
      </c>
    </row>
    <row r="4872" spans="1:10" x14ac:dyDescent="0.35">
      <c r="A4872" t="s">
        <v>15</v>
      </c>
      <c r="B4872" t="s">
        <v>38</v>
      </c>
      <c r="C4872" s="77" t="s">
        <v>91</v>
      </c>
      <c r="D4872" t="s">
        <v>81</v>
      </c>
      <c r="E4872" s="77" t="s">
        <v>104</v>
      </c>
      <c r="F4872" s="77" t="s">
        <v>73</v>
      </c>
      <c r="G4872" s="77" t="s">
        <v>74</v>
      </c>
      <c r="H4872" s="77" t="s">
        <v>102</v>
      </c>
      <c r="I4872" s="77" t="s">
        <v>84</v>
      </c>
      <c r="J4872" s="76">
        <v>0</v>
      </c>
    </row>
    <row r="4873" spans="1:10" x14ac:dyDescent="0.35">
      <c r="A4873" t="s">
        <v>15</v>
      </c>
      <c r="B4873" t="s">
        <v>38</v>
      </c>
      <c r="C4873" s="77" t="s">
        <v>91</v>
      </c>
      <c r="D4873" t="s">
        <v>81</v>
      </c>
      <c r="E4873" s="77" t="s">
        <v>106</v>
      </c>
      <c r="F4873" s="77" t="s">
        <v>73</v>
      </c>
      <c r="G4873" s="77" t="s">
        <v>74</v>
      </c>
      <c r="H4873" s="77" t="s">
        <v>102</v>
      </c>
      <c r="I4873" s="77" t="s">
        <v>84</v>
      </c>
      <c r="J4873" s="76">
        <v>0</v>
      </c>
    </row>
    <row r="4874" spans="1:10" x14ac:dyDescent="0.35">
      <c r="A4874" t="s">
        <v>15</v>
      </c>
      <c r="B4874" t="s">
        <v>38</v>
      </c>
      <c r="C4874" s="77" t="s">
        <v>92</v>
      </c>
      <c r="D4874" t="s">
        <v>81</v>
      </c>
      <c r="E4874" s="77" t="s">
        <v>115</v>
      </c>
      <c r="F4874" s="77" t="s">
        <v>73</v>
      </c>
      <c r="G4874" s="77" t="s">
        <v>74</v>
      </c>
      <c r="H4874" s="77" t="s">
        <v>102</v>
      </c>
      <c r="I4874" s="77" t="s">
        <v>84</v>
      </c>
      <c r="J4874" s="76" cm="1">
        <f t="array" ref="J4874:J4875">'SUT_EU27 total'!$J$87:$J$88</f>
        <v>6.6239999999999997</v>
      </c>
    </row>
    <row r="4875" spans="1:10" x14ac:dyDescent="0.35">
      <c r="A4875" t="s">
        <v>15</v>
      </c>
      <c r="B4875" t="s">
        <v>38</v>
      </c>
      <c r="C4875" s="77" t="s">
        <v>92</v>
      </c>
      <c r="D4875" t="s">
        <v>81</v>
      </c>
      <c r="E4875" s="77" t="s">
        <v>116</v>
      </c>
      <c r="F4875" s="77" t="s">
        <v>73</v>
      </c>
      <c r="G4875" s="77" t="s">
        <v>74</v>
      </c>
      <c r="H4875" s="77" t="s">
        <v>102</v>
      </c>
      <c r="I4875" s="77" t="s">
        <v>84</v>
      </c>
      <c r="J4875" s="76">
        <v>6.0040746268656714E-2</v>
      </c>
    </row>
    <row r="4876" spans="1:10" x14ac:dyDescent="0.35">
      <c r="A4876" t="s">
        <v>15</v>
      </c>
      <c r="B4876" t="s">
        <v>38</v>
      </c>
      <c r="C4876" s="77" t="s">
        <v>92</v>
      </c>
      <c r="D4876" t="s">
        <v>81</v>
      </c>
      <c r="E4876" s="77" t="s">
        <v>117</v>
      </c>
      <c r="F4876" s="77" t="s">
        <v>73</v>
      </c>
      <c r="G4876" s="77" t="s">
        <v>74</v>
      </c>
      <c r="H4876" s="77" t="s">
        <v>102</v>
      </c>
      <c r="I4876" s="77" t="s">
        <v>84</v>
      </c>
      <c r="J4876" s="76">
        <f>'SUT_EU27 total'!$J$95</f>
        <v>13.3146</v>
      </c>
    </row>
    <row r="4877" spans="1:10" x14ac:dyDescent="0.35">
      <c r="A4877" t="s">
        <v>15</v>
      </c>
      <c r="B4877" t="s">
        <v>38</v>
      </c>
      <c r="C4877" s="77" t="s">
        <v>92</v>
      </c>
      <c r="D4877" t="s">
        <v>81</v>
      </c>
      <c r="E4877" s="77" t="s">
        <v>101</v>
      </c>
      <c r="F4877" s="77" t="s">
        <v>73</v>
      </c>
      <c r="G4877" s="77" t="s">
        <v>74</v>
      </c>
      <c r="H4877" s="77" t="s">
        <v>102</v>
      </c>
      <c r="I4877" s="77" t="s">
        <v>84</v>
      </c>
      <c r="J4877" s="76" cm="1">
        <f t="array" ref="J4877:J4879">'SUT_EU27 total'!$J$100:$J$102</f>
        <v>0</v>
      </c>
    </row>
    <row r="4878" spans="1:10" x14ac:dyDescent="0.35">
      <c r="A4878" t="s">
        <v>15</v>
      </c>
      <c r="B4878" t="s">
        <v>38</v>
      </c>
      <c r="C4878" s="77" t="s">
        <v>92</v>
      </c>
      <c r="D4878" t="s">
        <v>81</v>
      </c>
      <c r="E4878" s="77" t="s">
        <v>104</v>
      </c>
      <c r="F4878" s="77" t="s">
        <v>73</v>
      </c>
      <c r="G4878" s="77" t="s">
        <v>74</v>
      </c>
      <c r="H4878" s="77" t="s">
        <v>102</v>
      </c>
      <c r="I4878" s="77" t="s">
        <v>84</v>
      </c>
      <c r="J4878" s="76">
        <v>0</v>
      </c>
    </row>
    <row r="4879" spans="1:10" x14ac:dyDescent="0.35">
      <c r="A4879" t="s">
        <v>15</v>
      </c>
      <c r="B4879" t="s">
        <v>38</v>
      </c>
      <c r="C4879" s="77" t="s">
        <v>92</v>
      </c>
      <c r="D4879" t="s">
        <v>81</v>
      </c>
      <c r="E4879" s="77" t="s">
        <v>106</v>
      </c>
      <c r="F4879" s="77" t="s">
        <v>73</v>
      </c>
      <c r="G4879" s="77" t="s">
        <v>74</v>
      </c>
      <c r="H4879" s="77" t="s">
        <v>102</v>
      </c>
      <c r="I4879" s="77" t="s">
        <v>84</v>
      </c>
      <c r="J4879" s="76">
        <v>0</v>
      </c>
    </row>
    <row r="4880" spans="1:10" x14ac:dyDescent="0.35">
      <c r="A4880" t="s">
        <v>15</v>
      </c>
      <c r="B4880" t="s">
        <v>38</v>
      </c>
      <c r="C4880" s="77" t="s">
        <v>93</v>
      </c>
      <c r="D4880" t="s">
        <v>81</v>
      </c>
      <c r="E4880" s="77" t="s">
        <v>115</v>
      </c>
      <c r="F4880" s="77" t="s">
        <v>73</v>
      </c>
      <c r="G4880" s="77" t="s">
        <v>74</v>
      </c>
      <c r="H4880" s="77" t="s">
        <v>102</v>
      </c>
      <c r="I4880" s="77" t="s">
        <v>84</v>
      </c>
      <c r="J4880" s="76" cm="1">
        <f t="array" ref="J4880:J4881">'SUT_EU27 total'!$J$104:$J$105</f>
        <v>44.633142857142865</v>
      </c>
    </row>
    <row r="4881" spans="1:10" x14ac:dyDescent="0.35">
      <c r="A4881" t="s">
        <v>15</v>
      </c>
      <c r="B4881" t="s">
        <v>38</v>
      </c>
      <c r="C4881" s="77" t="s">
        <v>93</v>
      </c>
      <c r="D4881" t="s">
        <v>81</v>
      </c>
      <c r="E4881" s="77" t="s">
        <v>116</v>
      </c>
      <c r="F4881" s="77" t="s">
        <v>73</v>
      </c>
      <c r="G4881" s="77" t="s">
        <v>74</v>
      </c>
      <c r="H4881" s="77" t="s">
        <v>102</v>
      </c>
      <c r="I4881" s="77" t="s">
        <v>84</v>
      </c>
      <c r="J4881" s="76">
        <v>0.3673348440311186</v>
      </c>
    </row>
    <row r="4882" spans="1:10" x14ac:dyDescent="0.35">
      <c r="A4882" t="s">
        <v>15</v>
      </c>
      <c r="B4882" t="s">
        <v>38</v>
      </c>
      <c r="C4882" s="77" t="s">
        <v>93</v>
      </c>
      <c r="D4882" t="s">
        <v>81</v>
      </c>
      <c r="E4882" s="77" t="s">
        <v>117</v>
      </c>
      <c r="F4882" s="77" t="s">
        <v>73</v>
      </c>
      <c r="G4882" s="77" t="s">
        <v>74</v>
      </c>
      <c r="H4882" s="77" t="s">
        <v>102</v>
      </c>
      <c r="I4882" s="77" t="s">
        <v>84</v>
      </c>
      <c r="J4882" s="76">
        <f>'SUT_EU27 total'!$J$112</f>
        <v>138.77909999999997</v>
      </c>
    </row>
    <row r="4883" spans="1:10" x14ac:dyDescent="0.35">
      <c r="A4883" t="s">
        <v>15</v>
      </c>
      <c r="B4883" t="s">
        <v>38</v>
      </c>
      <c r="C4883" s="77" t="s">
        <v>93</v>
      </c>
      <c r="D4883" t="s">
        <v>81</v>
      </c>
      <c r="E4883" s="77" t="s">
        <v>101</v>
      </c>
      <c r="F4883" s="77" t="s">
        <v>73</v>
      </c>
      <c r="G4883" s="77" t="s">
        <v>74</v>
      </c>
      <c r="H4883" s="77" t="s">
        <v>102</v>
      </c>
      <c r="I4883" s="77" t="s">
        <v>84</v>
      </c>
      <c r="J4883" s="76" cm="1">
        <f t="array" ref="J4883:J4885">'SUT_EU27 total'!$J$117:$J$119</f>
        <v>0</v>
      </c>
    </row>
    <row r="4884" spans="1:10" x14ac:dyDescent="0.35">
      <c r="A4884" t="s">
        <v>15</v>
      </c>
      <c r="B4884" t="s">
        <v>38</v>
      </c>
      <c r="C4884" s="77" t="s">
        <v>93</v>
      </c>
      <c r="D4884" t="s">
        <v>81</v>
      </c>
      <c r="E4884" s="77" t="s">
        <v>104</v>
      </c>
      <c r="F4884" s="77" t="s">
        <v>73</v>
      </c>
      <c r="G4884" s="77" t="s">
        <v>74</v>
      </c>
      <c r="H4884" s="77" t="s">
        <v>102</v>
      </c>
      <c r="I4884" s="77" t="s">
        <v>84</v>
      </c>
      <c r="J4884" s="76">
        <v>0</v>
      </c>
    </row>
    <row r="4885" spans="1:10" x14ac:dyDescent="0.35">
      <c r="A4885" t="s">
        <v>15</v>
      </c>
      <c r="B4885" t="s">
        <v>38</v>
      </c>
      <c r="C4885" s="77" t="s">
        <v>93</v>
      </c>
      <c r="D4885" t="s">
        <v>81</v>
      </c>
      <c r="E4885" s="77" t="s">
        <v>106</v>
      </c>
      <c r="F4885" s="77" t="s">
        <v>73</v>
      </c>
      <c r="G4885" s="77" t="s">
        <v>74</v>
      </c>
      <c r="H4885" s="77" t="s">
        <v>102</v>
      </c>
      <c r="I4885" s="77" t="s">
        <v>84</v>
      </c>
      <c r="J4885" s="76">
        <v>0</v>
      </c>
    </row>
    <row r="4886" spans="1:10" x14ac:dyDescent="0.35">
      <c r="A4886" t="s">
        <v>15</v>
      </c>
      <c r="B4886" t="s">
        <v>38</v>
      </c>
      <c r="C4886" s="77" t="s">
        <v>73</v>
      </c>
      <c r="D4886" t="s">
        <v>81</v>
      </c>
      <c r="E4886" s="77" t="s">
        <v>118</v>
      </c>
      <c r="F4886" s="77" t="s">
        <v>73</v>
      </c>
      <c r="G4886" s="77" t="s">
        <v>74</v>
      </c>
      <c r="H4886" s="77" t="s">
        <v>108</v>
      </c>
      <c r="I4886" s="77" t="s">
        <v>84</v>
      </c>
      <c r="J4886" s="76" cm="1">
        <f t="array" ref="J4886:J4888">'SUT_EU27 total'!$K$21:$K$23</f>
        <v>1.4582562144772118E-3</v>
      </c>
    </row>
    <row r="4887" spans="1:10" x14ac:dyDescent="0.35">
      <c r="A4887" t="s">
        <v>15</v>
      </c>
      <c r="B4887" t="s">
        <v>38</v>
      </c>
      <c r="C4887" s="77" t="s">
        <v>73</v>
      </c>
      <c r="D4887" t="s">
        <v>81</v>
      </c>
      <c r="E4887" s="77" t="s">
        <v>119</v>
      </c>
      <c r="F4887" s="77" t="s">
        <v>73</v>
      </c>
      <c r="G4887" s="77" t="s">
        <v>74</v>
      </c>
      <c r="H4887" s="77" t="s">
        <v>108</v>
      </c>
      <c r="I4887" s="77" t="s">
        <v>84</v>
      </c>
      <c r="J4887" s="76">
        <v>8.4634636521458274E-4</v>
      </c>
    </row>
    <row r="4888" spans="1:10" x14ac:dyDescent="0.35">
      <c r="A4888" t="s">
        <v>15</v>
      </c>
      <c r="B4888" t="s">
        <v>38</v>
      </c>
      <c r="C4888" s="77" t="s">
        <v>73</v>
      </c>
      <c r="D4888" t="s">
        <v>81</v>
      </c>
      <c r="E4888" s="77" t="s">
        <v>120</v>
      </c>
      <c r="F4888" s="77" t="s">
        <v>73</v>
      </c>
      <c r="G4888" s="77" t="s">
        <v>74</v>
      </c>
      <c r="H4888" s="77" t="s">
        <v>108</v>
      </c>
      <c r="I4888" s="77" t="s">
        <v>84</v>
      </c>
      <c r="J4888" s="76">
        <v>1.2517329093179335E-4</v>
      </c>
    </row>
    <row r="4889" spans="1:10" x14ac:dyDescent="0.35">
      <c r="A4889" t="s">
        <v>15</v>
      </c>
      <c r="B4889" t="s">
        <v>38</v>
      </c>
      <c r="C4889" s="77" t="s">
        <v>73</v>
      </c>
      <c r="D4889" t="s">
        <v>81</v>
      </c>
      <c r="E4889" s="77" t="s">
        <v>121</v>
      </c>
      <c r="F4889" s="77" t="s">
        <v>73</v>
      </c>
      <c r="G4889" s="77" t="s">
        <v>74</v>
      </c>
      <c r="H4889" s="77" t="s">
        <v>108</v>
      </c>
      <c r="I4889" s="77" t="s">
        <v>84</v>
      </c>
      <c r="J4889" s="76">
        <f>'SUT_EU27 total'!$K$25</f>
        <v>6.9749679999999994E-2</v>
      </c>
    </row>
    <row r="4890" spans="1:10" x14ac:dyDescent="0.35">
      <c r="A4890" t="s">
        <v>15</v>
      </c>
      <c r="B4890" t="s">
        <v>38</v>
      </c>
      <c r="C4890" s="77" t="s">
        <v>73</v>
      </c>
      <c r="D4890" t="s">
        <v>81</v>
      </c>
      <c r="E4890" s="77" t="s">
        <v>117</v>
      </c>
      <c r="F4890" s="77" t="s">
        <v>73</v>
      </c>
      <c r="G4890" s="77" t="s">
        <v>74</v>
      </c>
      <c r="H4890" s="77" t="s">
        <v>108</v>
      </c>
      <c r="I4890" s="77" t="s">
        <v>84</v>
      </c>
      <c r="J4890" s="76">
        <f>'SUT_EU27 total'!$K$27</f>
        <v>1.1932942595726979E-3</v>
      </c>
    </row>
    <row r="4891" spans="1:10" x14ac:dyDescent="0.35">
      <c r="A4891" t="s">
        <v>15</v>
      </c>
      <c r="B4891" t="s">
        <v>38</v>
      </c>
      <c r="C4891" s="77" t="s">
        <v>73</v>
      </c>
      <c r="D4891" t="s">
        <v>81</v>
      </c>
      <c r="E4891" s="77" t="s">
        <v>122</v>
      </c>
      <c r="F4891" s="77" t="s">
        <v>73</v>
      </c>
      <c r="G4891" s="77" t="s">
        <v>74</v>
      </c>
      <c r="H4891" s="77" t="s">
        <v>108</v>
      </c>
      <c r="I4891" s="77" t="s">
        <v>84</v>
      </c>
      <c r="J4891" s="76">
        <f>'SUT_EU27 total'!$K$30</f>
        <v>1.5965533412604042E-3</v>
      </c>
    </row>
    <row r="4892" spans="1:10" x14ac:dyDescent="0.35">
      <c r="A4892" t="s">
        <v>15</v>
      </c>
      <c r="B4892" t="s">
        <v>38</v>
      </c>
      <c r="C4892" s="77" t="s">
        <v>73</v>
      </c>
      <c r="D4892" t="s">
        <v>81</v>
      </c>
      <c r="E4892" s="77" t="s">
        <v>101</v>
      </c>
      <c r="F4892" s="77" t="s">
        <v>73</v>
      </c>
      <c r="G4892" s="77" t="s">
        <v>74</v>
      </c>
      <c r="H4892" s="77" t="s">
        <v>108</v>
      </c>
      <c r="I4892" s="77" t="s">
        <v>84</v>
      </c>
      <c r="J4892" s="76" cm="1">
        <f t="array" ref="J4892:J4894">'SUT_EU27 total'!$K$32:$K$34</f>
        <v>2.4335351040000001E-4</v>
      </c>
    </row>
    <row r="4893" spans="1:10" x14ac:dyDescent="0.35">
      <c r="A4893" t="s">
        <v>15</v>
      </c>
      <c r="B4893" t="s">
        <v>38</v>
      </c>
      <c r="C4893" s="77" t="s">
        <v>73</v>
      </c>
      <c r="D4893" t="s">
        <v>81</v>
      </c>
      <c r="E4893" s="77" t="s">
        <v>104</v>
      </c>
      <c r="F4893" s="77" t="s">
        <v>73</v>
      </c>
      <c r="G4893" s="77" t="s">
        <v>74</v>
      </c>
      <c r="H4893" s="77" t="s">
        <v>108</v>
      </c>
      <c r="I4893" s="77" t="s">
        <v>84</v>
      </c>
      <c r="J4893" s="76">
        <v>4.6076808959999996E-4</v>
      </c>
    </row>
    <row r="4894" spans="1:10" x14ac:dyDescent="0.35">
      <c r="A4894" t="s">
        <v>15</v>
      </c>
      <c r="B4894" t="s">
        <v>38</v>
      </c>
      <c r="C4894" s="77" t="s">
        <v>73</v>
      </c>
      <c r="D4894" t="s">
        <v>81</v>
      </c>
      <c r="E4894" s="77" t="s">
        <v>106</v>
      </c>
      <c r="F4894" s="77" t="s">
        <v>73</v>
      </c>
      <c r="G4894" s="77" t="s">
        <v>74</v>
      </c>
      <c r="H4894" s="77" t="s">
        <v>108</v>
      </c>
      <c r="I4894" s="77" t="s">
        <v>84</v>
      </c>
      <c r="J4894" s="76">
        <v>1.5672383999999996E-3</v>
      </c>
    </row>
    <row r="4895" spans="1:10" x14ac:dyDescent="0.35">
      <c r="A4895" t="s">
        <v>15</v>
      </c>
      <c r="B4895" t="s">
        <v>38</v>
      </c>
      <c r="C4895" s="77" t="s">
        <v>88</v>
      </c>
      <c r="D4895" t="s">
        <v>81</v>
      </c>
      <c r="E4895" s="77" t="s">
        <v>118</v>
      </c>
      <c r="F4895" s="77" t="s">
        <v>73</v>
      </c>
      <c r="G4895" s="77" t="s">
        <v>74</v>
      </c>
      <c r="H4895" s="77" t="s">
        <v>108</v>
      </c>
      <c r="I4895" s="77" t="s">
        <v>84</v>
      </c>
      <c r="J4895" s="76" cm="1">
        <f t="array" ref="J4895:J4897">'SUT_EU27 total'!$K$38:$K$40</f>
        <v>3.3029309855227888E-2</v>
      </c>
    </row>
    <row r="4896" spans="1:10" x14ac:dyDescent="0.35">
      <c r="A4896" t="s">
        <v>15</v>
      </c>
      <c r="B4896" t="s">
        <v>38</v>
      </c>
      <c r="C4896" s="77" t="s">
        <v>88</v>
      </c>
      <c r="D4896" t="s">
        <v>81</v>
      </c>
      <c r="E4896" s="77" t="s">
        <v>119</v>
      </c>
      <c r="F4896" s="77" t="s">
        <v>73</v>
      </c>
      <c r="G4896" s="77" t="s">
        <v>74</v>
      </c>
      <c r="H4896" s="77" t="s">
        <v>108</v>
      </c>
      <c r="I4896" s="77" t="s">
        <v>84</v>
      </c>
      <c r="J4896" s="76">
        <v>6.9915569300335089E-3</v>
      </c>
    </row>
    <row r="4897" spans="1:10" x14ac:dyDescent="0.35">
      <c r="A4897" t="s">
        <v>15</v>
      </c>
      <c r="B4897" t="s">
        <v>38</v>
      </c>
      <c r="C4897" s="77" t="s">
        <v>88</v>
      </c>
      <c r="D4897" t="s">
        <v>81</v>
      </c>
      <c r="E4897" s="77" t="s">
        <v>120</v>
      </c>
      <c r="F4897" s="77" t="s">
        <v>73</v>
      </c>
      <c r="G4897" s="77" t="s">
        <v>74</v>
      </c>
      <c r="H4897" s="77" t="s">
        <v>108</v>
      </c>
      <c r="I4897" s="77" t="s">
        <v>84</v>
      </c>
      <c r="J4897" s="76">
        <v>1.5283979779928203E-3</v>
      </c>
    </row>
    <row r="4898" spans="1:10" x14ac:dyDescent="0.35">
      <c r="A4898" t="s">
        <v>15</v>
      </c>
      <c r="B4898" t="s">
        <v>38</v>
      </c>
      <c r="C4898" s="77" t="s">
        <v>88</v>
      </c>
      <c r="D4898" t="s">
        <v>81</v>
      </c>
      <c r="E4898" s="77" t="s">
        <v>121</v>
      </c>
      <c r="F4898" s="77" t="s">
        <v>73</v>
      </c>
      <c r="G4898" s="77" t="s">
        <v>74</v>
      </c>
      <c r="H4898" s="77" t="s">
        <v>108</v>
      </c>
      <c r="I4898" s="77" t="s">
        <v>84</v>
      </c>
      <c r="J4898" s="76">
        <f>'SUT_EU27 total'!$K$42</f>
        <v>0</v>
      </c>
    </row>
    <row r="4899" spans="1:10" x14ac:dyDescent="0.35">
      <c r="A4899" t="s">
        <v>15</v>
      </c>
      <c r="B4899" t="s">
        <v>38</v>
      </c>
      <c r="C4899" s="77" t="s">
        <v>88</v>
      </c>
      <c r="D4899" t="s">
        <v>81</v>
      </c>
      <c r="E4899" s="77" t="s">
        <v>117</v>
      </c>
      <c r="F4899" s="77" t="s">
        <v>73</v>
      </c>
      <c r="G4899" s="77" t="s">
        <v>74</v>
      </c>
      <c r="H4899" s="77" t="s">
        <v>108</v>
      </c>
      <c r="I4899" s="77" t="s">
        <v>84</v>
      </c>
      <c r="J4899" s="76">
        <f>'SUT_EU27 total'!$K$44</f>
        <v>9.9090099874062521E-4</v>
      </c>
    </row>
    <row r="4900" spans="1:10" x14ac:dyDescent="0.35">
      <c r="A4900" t="s">
        <v>15</v>
      </c>
      <c r="B4900" t="s">
        <v>38</v>
      </c>
      <c r="C4900" s="77" t="s">
        <v>88</v>
      </c>
      <c r="D4900" t="s">
        <v>81</v>
      </c>
      <c r="E4900" s="77" t="s">
        <v>122</v>
      </c>
      <c r="F4900" s="77" t="s">
        <v>73</v>
      </c>
      <c r="G4900" s="77" t="s">
        <v>74</v>
      </c>
      <c r="H4900" s="77" t="s">
        <v>108</v>
      </c>
      <c r="I4900" s="77" t="s">
        <v>84</v>
      </c>
      <c r="J4900" s="76">
        <f>'SUT_EU27 total'!$K$47</f>
        <v>0</v>
      </c>
    </row>
    <row r="4901" spans="1:10" x14ac:dyDescent="0.35">
      <c r="A4901" t="s">
        <v>15</v>
      </c>
      <c r="B4901" t="s">
        <v>38</v>
      </c>
      <c r="C4901" s="77" t="s">
        <v>88</v>
      </c>
      <c r="D4901" t="s">
        <v>81</v>
      </c>
      <c r="E4901" s="77" t="s">
        <v>101</v>
      </c>
      <c r="F4901" s="77" t="s">
        <v>73</v>
      </c>
      <c r="G4901" s="77" t="s">
        <v>74</v>
      </c>
      <c r="H4901" s="77" t="s">
        <v>108</v>
      </c>
      <c r="I4901" s="77" t="s">
        <v>84</v>
      </c>
      <c r="J4901" s="76" cm="1">
        <f t="array" ref="J4901:J4903">'SUT_EU27 total'!$K$49:$K$51</f>
        <v>0</v>
      </c>
    </row>
    <row r="4902" spans="1:10" x14ac:dyDescent="0.35">
      <c r="A4902" t="s">
        <v>15</v>
      </c>
      <c r="B4902" t="s">
        <v>38</v>
      </c>
      <c r="C4902" s="77" t="s">
        <v>88</v>
      </c>
      <c r="D4902" t="s">
        <v>81</v>
      </c>
      <c r="E4902" s="77" t="s">
        <v>104</v>
      </c>
      <c r="F4902" s="77" t="s">
        <v>73</v>
      </c>
      <c r="G4902" s="77" t="s">
        <v>74</v>
      </c>
      <c r="H4902" s="77" t="s">
        <v>108</v>
      </c>
      <c r="I4902" s="77" t="s">
        <v>84</v>
      </c>
      <c r="J4902" s="76">
        <v>0</v>
      </c>
    </row>
    <row r="4903" spans="1:10" x14ac:dyDescent="0.35">
      <c r="A4903" t="s">
        <v>15</v>
      </c>
      <c r="B4903" t="s">
        <v>38</v>
      </c>
      <c r="C4903" s="77" t="s">
        <v>88</v>
      </c>
      <c r="D4903" t="s">
        <v>81</v>
      </c>
      <c r="E4903" s="77" t="s">
        <v>106</v>
      </c>
      <c r="F4903" s="77" t="s">
        <v>73</v>
      </c>
      <c r="G4903" s="77" t="s">
        <v>74</v>
      </c>
      <c r="H4903" s="77" t="s">
        <v>108</v>
      </c>
      <c r="I4903" s="77" t="s">
        <v>84</v>
      </c>
      <c r="J4903" s="76">
        <v>0</v>
      </c>
    </row>
    <row r="4904" spans="1:10" x14ac:dyDescent="0.35">
      <c r="A4904" t="s">
        <v>15</v>
      </c>
      <c r="B4904" t="s">
        <v>38</v>
      </c>
      <c r="C4904" s="77" t="s">
        <v>90</v>
      </c>
      <c r="D4904" t="s">
        <v>81</v>
      </c>
      <c r="E4904" s="77" t="s">
        <v>118</v>
      </c>
      <c r="F4904" s="77" t="s">
        <v>73</v>
      </c>
      <c r="G4904" s="77" t="s">
        <v>74</v>
      </c>
      <c r="H4904" s="77" t="s">
        <v>108</v>
      </c>
      <c r="I4904" s="77" t="s">
        <v>84</v>
      </c>
      <c r="J4904" s="76" cm="1">
        <f t="array" ref="J4904:J4906">'SUT_EU27 total'!$K$55:$K$57</f>
        <v>4.323194595174263E-3</v>
      </c>
    </row>
    <row r="4905" spans="1:10" x14ac:dyDescent="0.35">
      <c r="A4905" t="s">
        <v>15</v>
      </c>
      <c r="B4905" t="s">
        <v>38</v>
      </c>
      <c r="C4905" s="77" t="s">
        <v>90</v>
      </c>
      <c r="D4905" t="s">
        <v>81</v>
      </c>
      <c r="E4905" s="77" t="s">
        <v>119</v>
      </c>
      <c r="F4905" s="77" t="s">
        <v>73</v>
      </c>
      <c r="G4905" s="77" t="s">
        <v>74</v>
      </c>
      <c r="H4905" s="77" t="s">
        <v>108</v>
      </c>
      <c r="I4905" s="77" t="s">
        <v>84</v>
      </c>
      <c r="J4905" s="76">
        <v>1.2800331672655335E-3</v>
      </c>
    </row>
    <row r="4906" spans="1:10" x14ac:dyDescent="0.35">
      <c r="A4906" t="s">
        <v>15</v>
      </c>
      <c r="B4906" t="s">
        <v>38</v>
      </c>
      <c r="C4906" s="77" t="s">
        <v>90</v>
      </c>
      <c r="D4906" t="s">
        <v>81</v>
      </c>
      <c r="E4906" s="77" t="s">
        <v>120</v>
      </c>
      <c r="F4906" s="77" t="s">
        <v>73</v>
      </c>
      <c r="G4906" s="77" t="s">
        <v>74</v>
      </c>
      <c r="H4906" s="77" t="s">
        <v>108</v>
      </c>
      <c r="I4906" s="77" t="s">
        <v>84</v>
      </c>
      <c r="J4906" s="76">
        <v>5.6700291220540041E-3</v>
      </c>
    </row>
    <row r="4907" spans="1:10" x14ac:dyDescent="0.35">
      <c r="A4907" t="s">
        <v>15</v>
      </c>
      <c r="B4907" t="s">
        <v>38</v>
      </c>
      <c r="C4907" s="77" t="s">
        <v>90</v>
      </c>
      <c r="D4907" t="s">
        <v>81</v>
      </c>
      <c r="E4907" s="77" t="s">
        <v>121</v>
      </c>
      <c r="F4907" s="77" t="s">
        <v>73</v>
      </c>
      <c r="G4907" s="77" t="s">
        <v>74</v>
      </c>
      <c r="H4907" s="77" t="s">
        <v>108</v>
      </c>
      <c r="I4907" s="77" t="s">
        <v>84</v>
      </c>
      <c r="J4907" s="76">
        <f>'SUT_EU27 total'!$K$59</f>
        <v>0</v>
      </c>
    </row>
    <row r="4908" spans="1:10" x14ac:dyDescent="0.35">
      <c r="A4908" t="s">
        <v>15</v>
      </c>
      <c r="B4908" t="s">
        <v>38</v>
      </c>
      <c r="C4908" s="77" t="s">
        <v>90</v>
      </c>
      <c r="D4908" t="s">
        <v>81</v>
      </c>
      <c r="E4908" s="77" t="s">
        <v>117</v>
      </c>
      <c r="F4908" s="77" t="s">
        <v>73</v>
      </c>
      <c r="G4908" s="77" t="s">
        <v>74</v>
      </c>
      <c r="H4908" s="77" t="s">
        <v>108</v>
      </c>
      <c r="I4908" s="77" t="s">
        <v>84</v>
      </c>
      <c r="J4908" s="76">
        <f>'SUT_EU27 total'!$K$61</f>
        <v>1.1930979242119881E-3</v>
      </c>
    </row>
    <row r="4909" spans="1:10" x14ac:dyDescent="0.35">
      <c r="A4909" t="s">
        <v>15</v>
      </c>
      <c r="B4909" t="s">
        <v>38</v>
      </c>
      <c r="C4909" s="77" t="s">
        <v>90</v>
      </c>
      <c r="D4909" t="s">
        <v>81</v>
      </c>
      <c r="E4909" s="77" t="s">
        <v>122</v>
      </c>
      <c r="F4909" s="77" t="s">
        <v>73</v>
      </c>
      <c r="G4909" s="77" t="s">
        <v>74</v>
      </c>
      <c r="H4909" s="77" t="s">
        <v>108</v>
      </c>
      <c r="I4909" s="77" t="s">
        <v>84</v>
      </c>
      <c r="J4909" s="76">
        <f>'SUT_EU27 total'!$K$64</f>
        <v>2.5776238002378116E-3</v>
      </c>
    </row>
    <row r="4910" spans="1:10" x14ac:dyDescent="0.35">
      <c r="A4910" t="s">
        <v>15</v>
      </c>
      <c r="B4910" t="s">
        <v>38</v>
      </c>
      <c r="C4910" s="77" t="s">
        <v>90</v>
      </c>
      <c r="D4910" t="s">
        <v>81</v>
      </c>
      <c r="E4910" s="77" t="s">
        <v>101</v>
      </c>
      <c r="F4910" s="77" t="s">
        <v>73</v>
      </c>
      <c r="G4910" s="77" t="s">
        <v>74</v>
      </c>
      <c r="H4910" s="77" t="s">
        <v>108</v>
      </c>
      <c r="I4910" s="77" t="s">
        <v>84</v>
      </c>
      <c r="J4910" s="76" cm="1">
        <f t="array" ref="J4910:J4912">'SUT_EU27 total'!$K$66:$K$68</f>
        <v>0</v>
      </c>
    </row>
    <row r="4911" spans="1:10" x14ac:dyDescent="0.35">
      <c r="A4911" t="s">
        <v>15</v>
      </c>
      <c r="B4911" t="s">
        <v>38</v>
      </c>
      <c r="C4911" s="77" t="s">
        <v>90</v>
      </c>
      <c r="D4911" t="s">
        <v>81</v>
      </c>
      <c r="E4911" s="77" t="s">
        <v>104</v>
      </c>
      <c r="F4911" s="77" t="s">
        <v>73</v>
      </c>
      <c r="G4911" s="77" t="s">
        <v>74</v>
      </c>
      <c r="H4911" s="77" t="s">
        <v>108</v>
      </c>
      <c r="I4911" s="77" t="s">
        <v>84</v>
      </c>
      <c r="J4911" s="76">
        <v>0</v>
      </c>
    </row>
    <row r="4912" spans="1:10" x14ac:dyDescent="0.35">
      <c r="A4912" t="s">
        <v>15</v>
      </c>
      <c r="B4912" t="s">
        <v>38</v>
      </c>
      <c r="C4912" s="77" t="s">
        <v>90</v>
      </c>
      <c r="D4912" t="s">
        <v>81</v>
      </c>
      <c r="E4912" s="77" t="s">
        <v>106</v>
      </c>
      <c r="F4912" s="77" t="s">
        <v>73</v>
      </c>
      <c r="G4912" s="77" t="s">
        <v>74</v>
      </c>
      <c r="H4912" s="77" t="s">
        <v>108</v>
      </c>
      <c r="I4912" s="77" t="s">
        <v>84</v>
      </c>
      <c r="J4912" s="76">
        <v>0</v>
      </c>
    </row>
    <row r="4913" spans="1:10" x14ac:dyDescent="0.35">
      <c r="A4913" t="s">
        <v>15</v>
      </c>
      <c r="B4913" t="s">
        <v>38</v>
      </c>
      <c r="C4913" s="77" t="s">
        <v>91</v>
      </c>
      <c r="D4913" t="s">
        <v>81</v>
      </c>
      <c r="E4913" s="77" t="s">
        <v>118</v>
      </c>
      <c r="F4913" s="77" t="s">
        <v>73</v>
      </c>
      <c r="G4913" s="77" t="s">
        <v>74</v>
      </c>
      <c r="H4913" s="77" t="s">
        <v>108</v>
      </c>
      <c r="I4913" s="77" t="s">
        <v>84</v>
      </c>
      <c r="J4913" s="76" cm="1">
        <f t="array" ref="J4913:J4915">'SUT_EU27 total'!$K$72:$K$74</f>
        <v>5.3791732332439677E-3</v>
      </c>
    </row>
    <row r="4914" spans="1:10" x14ac:dyDescent="0.35">
      <c r="A4914" t="s">
        <v>15</v>
      </c>
      <c r="B4914" t="s">
        <v>38</v>
      </c>
      <c r="C4914" s="77" t="s">
        <v>91</v>
      </c>
      <c r="D4914" t="s">
        <v>81</v>
      </c>
      <c r="E4914" s="77" t="s">
        <v>119</v>
      </c>
      <c r="F4914" s="77" t="s">
        <v>73</v>
      </c>
      <c r="G4914" s="77" t="s">
        <v>74</v>
      </c>
      <c r="H4914" s="77" t="s">
        <v>108</v>
      </c>
      <c r="I4914" s="77" t="s">
        <v>84</v>
      </c>
      <c r="J4914" s="76">
        <v>6.5526133182607291E-3</v>
      </c>
    </row>
    <row r="4915" spans="1:10" x14ac:dyDescent="0.35">
      <c r="A4915" t="s">
        <v>15</v>
      </c>
      <c r="B4915" t="s">
        <v>38</v>
      </c>
      <c r="C4915" s="77" t="s">
        <v>91</v>
      </c>
      <c r="D4915" t="s">
        <v>81</v>
      </c>
      <c r="E4915" s="77" t="s">
        <v>120</v>
      </c>
      <c r="F4915" s="77" t="s">
        <v>73</v>
      </c>
      <c r="G4915" s="77" t="s">
        <v>74</v>
      </c>
      <c r="H4915" s="77" t="s">
        <v>108</v>
      </c>
      <c r="I4915" s="77" t="s">
        <v>84</v>
      </c>
      <c r="J4915" s="76">
        <v>2.464950959887623E-4</v>
      </c>
    </row>
    <row r="4916" spans="1:10" x14ac:dyDescent="0.35">
      <c r="A4916" t="s">
        <v>15</v>
      </c>
      <c r="B4916" t="s">
        <v>38</v>
      </c>
      <c r="C4916" s="77" t="s">
        <v>91</v>
      </c>
      <c r="D4916" t="s">
        <v>81</v>
      </c>
      <c r="E4916" s="77" t="s">
        <v>121</v>
      </c>
      <c r="F4916" s="77" t="s">
        <v>73</v>
      </c>
      <c r="G4916" s="77" t="s">
        <v>74</v>
      </c>
      <c r="H4916" s="77" t="s">
        <v>108</v>
      </c>
      <c r="I4916" s="77" t="s">
        <v>84</v>
      </c>
      <c r="J4916" s="76">
        <f>'SUT_EU27 total'!$K$76</f>
        <v>0</v>
      </c>
    </row>
    <row r="4917" spans="1:10" x14ac:dyDescent="0.35">
      <c r="A4917" t="s">
        <v>15</v>
      </c>
      <c r="B4917" t="s">
        <v>38</v>
      </c>
      <c r="C4917" s="77" t="s">
        <v>91</v>
      </c>
      <c r="D4917" t="s">
        <v>81</v>
      </c>
      <c r="E4917" s="77" t="s">
        <v>117</v>
      </c>
      <c r="F4917" s="77" t="s">
        <v>73</v>
      </c>
      <c r="G4917" s="77" t="s">
        <v>74</v>
      </c>
      <c r="H4917" s="77" t="s">
        <v>108</v>
      </c>
      <c r="I4917" s="77" t="s">
        <v>84</v>
      </c>
      <c r="J4917" s="76">
        <f>'SUT_EU27 total'!$K$78</f>
        <v>1.1485683451306521E-3</v>
      </c>
    </row>
    <row r="4918" spans="1:10" x14ac:dyDescent="0.35">
      <c r="A4918" t="s">
        <v>15</v>
      </c>
      <c r="B4918" t="s">
        <v>38</v>
      </c>
      <c r="C4918" s="77" t="s">
        <v>91</v>
      </c>
      <c r="D4918" t="s">
        <v>81</v>
      </c>
      <c r="E4918" s="77" t="s">
        <v>122</v>
      </c>
      <c r="F4918" s="77" t="s">
        <v>73</v>
      </c>
      <c r="G4918" s="77" t="s">
        <v>74</v>
      </c>
      <c r="H4918" s="77" t="s">
        <v>108</v>
      </c>
      <c r="I4918" s="77" t="s">
        <v>84</v>
      </c>
      <c r="J4918" s="76">
        <f>'SUT_EU27 total'!$K$81</f>
        <v>0</v>
      </c>
    </row>
    <row r="4919" spans="1:10" x14ac:dyDescent="0.35">
      <c r="A4919" t="s">
        <v>15</v>
      </c>
      <c r="B4919" t="s">
        <v>38</v>
      </c>
      <c r="C4919" s="77" t="s">
        <v>91</v>
      </c>
      <c r="D4919" t="s">
        <v>81</v>
      </c>
      <c r="E4919" s="77" t="s">
        <v>101</v>
      </c>
      <c r="F4919" s="77" t="s">
        <v>73</v>
      </c>
      <c r="G4919" s="77" t="s">
        <v>74</v>
      </c>
      <c r="H4919" s="77" t="s">
        <v>108</v>
      </c>
      <c r="I4919" s="77" t="s">
        <v>84</v>
      </c>
      <c r="J4919" s="76" cm="1">
        <f t="array" ref="J4919:J4921">'SUT_EU27 total'!$K$83:$K$85</f>
        <v>0</v>
      </c>
    </row>
    <row r="4920" spans="1:10" x14ac:dyDescent="0.35">
      <c r="A4920" t="s">
        <v>15</v>
      </c>
      <c r="B4920" t="s">
        <v>38</v>
      </c>
      <c r="C4920" s="77" t="s">
        <v>91</v>
      </c>
      <c r="D4920" t="s">
        <v>81</v>
      </c>
      <c r="E4920" s="77" t="s">
        <v>104</v>
      </c>
      <c r="F4920" s="77" t="s">
        <v>73</v>
      </c>
      <c r="G4920" s="77" t="s">
        <v>74</v>
      </c>
      <c r="H4920" s="77" t="s">
        <v>108</v>
      </c>
      <c r="I4920" s="77" t="s">
        <v>84</v>
      </c>
      <c r="J4920" s="76">
        <v>0</v>
      </c>
    </row>
    <row r="4921" spans="1:10" x14ac:dyDescent="0.35">
      <c r="A4921" t="s">
        <v>15</v>
      </c>
      <c r="B4921" t="s">
        <v>38</v>
      </c>
      <c r="C4921" s="77" t="s">
        <v>91</v>
      </c>
      <c r="D4921" t="s">
        <v>81</v>
      </c>
      <c r="E4921" s="77" t="s">
        <v>106</v>
      </c>
      <c r="F4921" s="77" t="s">
        <v>73</v>
      </c>
      <c r="G4921" s="77" t="s">
        <v>74</v>
      </c>
      <c r="H4921" s="77" t="s">
        <v>108</v>
      </c>
      <c r="I4921" s="77" t="s">
        <v>84</v>
      </c>
      <c r="J4921" s="76">
        <v>0</v>
      </c>
    </row>
    <row r="4922" spans="1:10" x14ac:dyDescent="0.35">
      <c r="A4922" t="s">
        <v>15</v>
      </c>
      <c r="B4922" t="s">
        <v>38</v>
      </c>
      <c r="C4922" s="77" t="s">
        <v>92</v>
      </c>
      <c r="D4922" t="s">
        <v>81</v>
      </c>
      <c r="E4922" s="77" t="s">
        <v>118</v>
      </c>
      <c r="F4922" s="77" t="s">
        <v>73</v>
      </c>
      <c r="G4922" s="77" t="s">
        <v>74</v>
      </c>
      <c r="H4922" s="77" t="s">
        <v>108</v>
      </c>
      <c r="I4922" s="77" t="s">
        <v>84</v>
      </c>
      <c r="J4922" s="76" cm="1">
        <f t="array" ref="J4922:J4924">'SUT_EU27 total'!$K$89:$K$91</f>
        <v>3.3497344343163542E-3</v>
      </c>
    </row>
    <row r="4923" spans="1:10" x14ac:dyDescent="0.35">
      <c r="A4923" t="s">
        <v>15</v>
      </c>
      <c r="B4923" t="s">
        <v>38</v>
      </c>
      <c r="C4923" s="77" t="s">
        <v>92</v>
      </c>
      <c r="D4923" t="s">
        <v>81</v>
      </c>
      <c r="E4923" s="77" t="s">
        <v>119</v>
      </c>
      <c r="F4923" s="77" t="s">
        <v>73</v>
      </c>
      <c r="G4923" s="77" t="s">
        <v>74</v>
      </c>
      <c r="H4923" s="77" t="s">
        <v>108</v>
      </c>
      <c r="I4923" s="77" t="s">
        <v>84</v>
      </c>
      <c r="J4923" s="76">
        <v>6.0269323460777589E-3</v>
      </c>
    </row>
    <row r="4924" spans="1:10" x14ac:dyDescent="0.35">
      <c r="A4924" t="s">
        <v>15</v>
      </c>
      <c r="B4924" t="s">
        <v>38</v>
      </c>
      <c r="C4924" s="77" t="s">
        <v>92</v>
      </c>
      <c r="D4924" t="s">
        <v>81</v>
      </c>
      <c r="E4924" s="77" t="s">
        <v>120</v>
      </c>
      <c r="F4924" s="77" t="s">
        <v>73</v>
      </c>
      <c r="G4924" s="77" t="s">
        <v>74</v>
      </c>
      <c r="H4924" s="77" t="s">
        <v>108</v>
      </c>
      <c r="I4924" s="77" t="s">
        <v>84</v>
      </c>
      <c r="J4924" s="76">
        <v>4.0947713992508196E-3</v>
      </c>
    </row>
    <row r="4925" spans="1:10" x14ac:dyDescent="0.35">
      <c r="A4925" t="s">
        <v>15</v>
      </c>
      <c r="B4925" t="s">
        <v>38</v>
      </c>
      <c r="C4925" s="77" t="s">
        <v>92</v>
      </c>
      <c r="D4925" t="s">
        <v>81</v>
      </c>
      <c r="E4925" s="77" t="s">
        <v>121</v>
      </c>
      <c r="F4925" s="77" t="s">
        <v>73</v>
      </c>
      <c r="G4925" s="77" t="s">
        <v>74</v>
      </c>
      <c r="H4925" s="77" t="s">
        <v>108</v>
      </c>
      <c r="I4925" s="77" t="s">
        <v>84</v>
      </c>
      <c r="J4925" s="76">
        <f>'SUT_EU27 total'!$K$93</f>
        <v>0</v>
      </c>
    </row>
    <row r="4926" spans="1:10" x14ac:dyDescent="0.35">
      <c r="A4926" t="s">
        <v>15</v>
      </c>
      <c r="B4926" t="s">
        <v>38</v>
      </c>
      <c r="C4926" s="77" t="s">
        <v>92</v>
      </c>
      <c r="D4926" t="s">
        <v>81</v>
      </c>
      <c r="E4926" s="77" t="s">
        <v>117</v>
      </c>
      <c r="F4926" s="77" t="s">
        <v>73</v>
      </c>
      <c r="G4926" s="77" t="s">
        <v>74</v>
      </c>
      <c r="H4926" s="77" t="s">
        <v>108</v>
      </c>
      <c r="I4926" s="77" t="s">
        <v>84</v>
      </c>
      <c r="J4926" s="76">
        <f>'SUT_EU27 total'!$K$95</f>
        <v>0</v>
      </c>
    </row>
    <row r="4927" spans="1:10" x14ac:dyDescent="0.35">
      <c r="A4927" t="s">
        <v>15</v>
      </c>
      <c r="B4927" t="s">
        <v>38</v>
      </c>
      <c r="C4927" s="77" t="s">
        <v>92</v>
      </c>
      <c r="D4927" t="s">
        <v>81</v>
      </c>
      <c r="E4927" s="77" t="s">
        <v>122</v>
      </c>
      <c r="F4927" s="77" t="s">
        <v>73</v>
      </c>
      <c r="G4927" s="77" t="s">
        <v>74</v>
      </c>
      <c r="H4927" s="77" t="s">
        <v>108</v>
      </c>
      <c r="I4927" s="77" t="s">
        <v>84</v>
      </c>
      <c r="J4927" s="76">
        <f>'SUT_EU27 total'!$K$98</f>
        <v>0</v>
      </c>
    </row>
    <row r="4928" spans="1:10" x14ac:dyDescent="0.35">
      <c r="A4928" t="s">
        <v>15</v>
      </c>
      <c r="B4928" t="s">
        <v>38</v>
      </c>
      <c r="C4928" s="77" t="s">
        <v>92</v>
      </c>
      <c r="D4928" t="s">
        <v>81</v>
      </c>
      <c r="E4928" s="77" t="s">
        <v>101</v>
      </c>
      <c r="F4928" s="77" t="s">
        <v>73</v>
      </c>
      <c r="G4928" s="77" t="s">
        <v>74</v>
      </c>
      <c r="H4928" s="77" t="s">
        <v>108</v>
      </c>
      <c r="I4928" s="77" t="s">
        <v>84</v>
      </c>
      <c r="J4928" s="76" cm="1">
        <f t="array" ref="J4928:J4930">'SUT_EU27 total'!$K$100:$K$102</f>
        <v>0</v>
      </c>
    </row>
    <row r="4929" spans="1:10" x14ac:dyDescent="0.35">
      <c r="A4929" t="s">
        <v>15</v>
      </c>
      <c r="B4929" t="s">
        <v>38</v>
      </c>
      <c r="C4929" s="77" t="s">
        <v>92</v>
      </c>
      <c r="D4929" t="s">
        <v>81</v>
      </c>
      <c r="E4929" s="77" t="s">
        <v>104</v>
      </c>
      <c r="F4929" s="77" t="s">
        <v>73</v>
      </c>
      <c r="G4929" s="77" t="s">
        <v>74</v>
      </c>
      <c r="H4929" s="77" t="s">
        <v>108</v>
      </c>
      <c r="I4929" s="77" t="s">
        <v>84</v>
      </c>
      <c r="J4929" s="76">
        <v>0</v>
      </c>
    </row>
    <row r="4930" spans="1:10" x14ac:dyDescent="0.35">
      <c r="A4930" t="s">
        <v>15</v>
      </c>
      <c r="B4930" t="s">
        <v>38</v>
      </c>
      <c r="C4930" s="77" t="s">
        <v>92</v>
      </c>
      <c r="D4930" t="s">
        <v>81</v>
      </c>
      <c r="E4930" s="77" t="s">
        <v>106</v>
      </c>
      <c r="F4930" s="77" t="s">
        <v>73</v>
      </c>
      <c r="G4930" s="77" t="s">
        <v>74</v>
      </c>
      <c r="H4930" s="77" t="s">
        <v>108</v>
      </c>
      <c r="I4930" s="77" t="s">
        <v>84</v>
      </c>
      <c r="J4930" s="76">
        <v>0</v>
      </c>
    </row>
    <row r="4931" spans="1:10" x14ac:dyDescent="0.35">
      <c r="A4931" t="s">
        <v>15</v>
      </c>
      <c r="B4931" t="s">
        <v>38</v>
      </c>
      <c r="C4931" s="77" t="s">
        <v>93</v>
      </c>
      <c r="D4931" t="s">
        <v>81</v>
      </c>
      <c r="E4931" s="77" t="s">
        <v>118</v>
      </c>
      <c r="F4931" s="77" t="s">
        <v>73</v>
      </c>
      <c r="G4931" s="77" t="s">
        <v>74</v>
      </c>
      <c r="H4931" s="77" t="s">
        <v>108</v>
      </c>
      <c r="I4931" s="77" t="s">
        <v>84</v>
      </c>
      <c r="J4931" s="76" cm="1">
        <f t="array" ref="J4931:J4933">'SUT_EU27 total'!$K$106:$K$108</f>
        <v>1.4980971667560324E-2</v>
      </c>
    </row>
    <row r="4932" spans="1:10" x14ac:dyDescent="0.35">
      <c r="A4932" t="s">
        <v>15</v>
      </c>
      <c r="B4932" t="s">
        <v>38</v>
      </c>
      <c r="C4932" s="77" t="s">
        <v>93</v>
      </c>
      <c r="D4932" t="s">
        <v>81</v>
      </c>
      <c r="E4932" s="77" t="s">
        <v>119</v>
      </c>
      <c r="F4932" s="77" t="s">
        <v>73</v>
      </c>
      <c r="G4932" s="77" t="s">
        <v>74</v>
      </c>
      <c r="H4932" s="77" t="s">
        <v>108</v>
      </c>
      <c r="I4932" s="77" t="s">
        <v>84</v>
      </c>
      <c r="J4932" s="76">
        <v>4.3405477873147885E-2</v>
      </c>
    </row>
    <row r="4933" spans="1:10" x14ac:dyDescent="0.35">
      <c r="A4933" t="s">
        <v>15</v>
      </c>
      <c r="B4933" t="s">
        <v>38</v>
      </c>
      <c r="C4933" s="77" t="s">
        <v>93</v>
      </c>
      <c r="D4933" t="s">
        <v>81</v>
      </c>
      <c r="E4933" s="77" t="s">
        <v>120</v>
      </c>
      <c r="F4933" s="77" t="s">
        <v>73</v>
      </c>
      <c r="G4933" s="77" t="s">
        <v>74</v>
      </c>
      <c r="H4933" s="77" t="s">
        <v>108</v>
      </c>
      <c r="I4933" s="77" t="s">
        <v>84</v>
      </c>
      <c r="J4933" s="76">
        <v>2.1237093113781802E-2</v>
      </c>
    </row>
    <row r="4934" spans="1:10" x14ac:dyDescent="0.35">
      <c r="A4934" t="s">
        <v>15</v>
      </c>
      <c r="B4934" t="s">
        <v>38</v>
      </c>
      <c r="C4934" s="77" t="s">
        <v>93</v>
      </c>
      <c r="D4934" t="s">
        <v>81</v>
      </c>
      <c r="E4934" s="77" t="s">
        <v>121</v>
      </c>
      <c r="F4934" s="77" t="s">
        <v>73</v>
      </c>
      <c r="G4934" s="77" t="s">
        <v>74</v>
      </c>
      <c r="H4934" s="77" t="s">
        <v>108</v>
      </c>
      <c r="I4934" s="77" t="s">
        <v>84</v>
      </c>
      <c r="J4934" s="76">
        <f>'SUT_EU27 total'!$K$110</f>
        <v>0</v>
      </c>
    </row>
    <row r="4935" spans="1:10" x14ac:dyDescent="0.35">
      <c r="A4935" t="s">
        <v>15</v>
      </c>
      <c r="B4935" t="s">
        <v>38</v>
      </c>
      <c r="C4935" s="77" t="s">
        <v>93</v>
      </c>
      <c r="D4935" t="s">
        <v>81</v>
      </c>
      <c r="E4935" s="77" t="s">
        <v>117</v>
      </c>
      <c r="F4935" s="77" t="s">
        <v>73</v>
      </c>
      <c r="G4935" s="77" t="s">
        <v>74</v>
      </c>
      <c r="H4935" s="77" t="s">
        <v>108</v>
      </c>
      <c r="I4935" s="77" t="s">
        <v>84</v>
      </c>
      <c r="J4935" s="76">
        <f>'SUT_EU27 total'!$K$112</f>
        <v>1.1930984723440377E-3</v>
      </c>
    </row>
    <row r="4936" spans="1:10" x14ac:dyDescent="0.35">
      <c r="A4936" t="s">
        <v>15</v>
      </c>
      <c r="B4936" t="s">
        <v>38</v>
      </c>
      <c r="C4936" s="77" t="s">
        <v>93</v>
      </c>
      <c r="D4936" t="s">
        <v>81</v>
      </c>
      <c r="E4936" s="77" t="s">
        <v>122</v>
      </c>
      <c r="F4936" s="77" t="s">
        <v>73</v>
      </c>
      <c r="G4936" s="77" t="s">
        <v>74</v>
      </c>
      <c r="H4936" s="77" t="s">
        <v>108</v>
      </c>
      <c r="I4936" s="77" t="s">
        <v>84</v>
      </c>
      <c r="J4936" s="76">
        <f>'SUT_EU27 total'!$K$115</f>
        <v>8.7987828585017833E-3</v>
      </c>
    </row>
    <row r="4937" spans="1:10" x14ac:dyDescent="0.35">
      <c r="A4937" t="s">
        <v>15</v>
      </c>
      <c r="B4937" t="s">
        <v>38</v>
      </c>
      <c r="C4937" s="77" t="s">
        <v>93</v>
      </c>
      <c r="D4937" t="s">
        <v>81</v>
      </c>
      <c r="E4937" s="77" t="s">
        <v>101</v>
      </c>
      <c r="F4937" s="77" t="s">
        <v>73</v>
      </c>
      <c r="G4937" s="77" t="s">
        <v>74</v>
      </c>
      <c r="H4937" s="77" t="s">
        <v>108</v>
      </c>
      <c r="I4937" s="77" t="s">
        <v>84</v>
      </c>
      <c r="J4937" s="76" cm="1">
        <f t="array" ref="J4937:J4939">'SUT_EU27 total'!$K$117:$K$119</f>
        <v>0</v>
      </c>
    </row>
    <row r="4938" spans="1:10" x14ac:dyDescent="0.35">
      <c r="A4938" t="s">
        <v>15</v>
      </c>
      <c r="B4938" t="s">
        <v>38</v>
      </c>
      <c r="C4938" s="77" t="s">
        <v>93</v>
      </c>
      <c r="D4938" t="s">
        <v>81</v>
      </c>
      <c r="E4938" s="77" t="s">
        <v>104</v>
      </c>
      <c r="F4938" s="77" t="s">
        <v>73</v>
      </c>
      <c r="G4938" s="77" t="s">
        <v>74</v>
      </c>
      <c r="H4938" s="77" t="s">
        <v>108</v>
      </c>
      <c r="I4938" s="77" t="s">
        <v>84</v>
      </c>
      <c r="J4938" s="76">
        <v>0</v>
      </c>
    </row>
    <row r="4939" spans="1:10" x14ac:dyDescent="0.35">
      <c r="A4939" t="s">
        <v>15</v>
      </c>
      <c r="B4939" t="s">
        <v>38</v>
      </c>
      <c r="C4939" s="77" t="s">
        <v>93</v>
      </c>
      <c r="D4939" t="s">
        <v>81</v>
      </c>
      <c r="E4939" s="77" t="s">
        <v>106</v>
      </c>
      <c r="F4939" s="77" t="s">
        <v>73</v>
      </c>
      <c r="G4939" s="77" t="s">
        <v>74</v>
      </c>
      <c r="H4939" s="77" t="s">
        <v>108</v>
      </c>
      <c r="I4939" s="77" t="s">
        <v>84</v>
      </c>
      <c r="J4939" s="76">
        <v>0</v>
      </c>
    </row>
    <row r="4940" spans="1:10" x14ac:dyDescent="0.35">
      <c r="A4940" t="s">
        <v>15</v>
      </c>
      <c r="B4940" t="s">
        <v>38</v>
      </c>
      <c r="C4940" s="77" t="s">
        <v>73</v>
      </c>
      <c r="D4940" t="s">
        <v>81</v>
      </c>
      <c r="E4940" s="77" t="s">
        <v>119</v>
      </c>
      <c r="F4940" s="77" t="s">
        <v>73</v>
      </c>
      <c r="G4940" s="77" t="s">
        <v>74</v>
      </c>
      <c r="H4940" s="77" t="s">
        <v>123</v>
      </c>
      <c r="I4940" s="77" t="s">
        <v>84</v>
      </c>
      <c r="J4940" s="76">
        <f>'SUT_EU27 total'!$L$22</f>
        <v>1.9500181678711294E-2</v>
      </c>
    </row>
    <row r="4941" spans="1:10" x14ac:dyDescent="0.35">
      <c r="A4941" t="s">
        <v>15</v>
      </c>
      <c r="B4941" t="s">
        <v>38</v>
      </c>
      <c r="C4941" s="77" t="s">
        <v>73</v>
      </c>
      <c r="D4941" t="s">
        <v>81</v>
      </c>
      <c r="E4941" s="77" t="s">
        <v>124</v>
      </c>
      <c r="F4941" s="77" t="s">
        <v>73</v>
      </c>
      <c r="G4941" s="77" t="s">
        <v>74</v>
      </c>
      <c r="H4941" s="77" t="s">
        <v>123</v>
      </c>
      <c r="I4941" s="77" t="s">
        <v>84</v>
      </c>
      <c r="J4941" s="76" cm="1">
        <f t="array" ref="J4941:J4949">'SUT_EU27 total'!$L$26:$L$34</f>
        <v>1.9404661061278542E-3</v>
      </c>
    </row>
    <row r="4942" spans="1:10" x14ac:dyDescent="0.35">
      <c r="A4942" t="s">
        <v>15</v>
      </c>
      <c r="B4942" t="s">
        <v>38</v>
      </c>
      <c r="C4942" s="77" t="s">
        <v>73</v>
      </c>
      <c r="D4942" t="s">
        <v>81</v>
      </c>
      <c r="E4942" s="77" t="s">
        <v>117</v>
      </c>
      <c r="F4942" s="77" t="s">
        <v>73</v>
      </c>
      <c r="G4942" s="77" t="s">
        <v>74</v>
      </c>
      <c r="H4942" s="77" t="s">
        <v>123</v>
      </c>
      <c r="I4942" s="77" t="s">
        <v>84</v>
      </c>
      <c r="J4942" s="76">
        <v>5.8423628191201782E-3</v>
      </c>
    </row>
    <row r="4943" spans="1:10" x14ac:dyDescent="0.35">
      <c r="A4943" t="s">
        <v>15</v>
      </c>
      <c r="B4943" t="s">
        <v>38</v>
      </c>
      <c r="C4943" s="77" t="s">
        <v>73</v>
      </c>
      <c r="D4943" t="s">
        <v>81</v>
      </c>
      <c r="E4943" s="77" t="s">
        <v>82</v>
      </c>
      <c r="F4943" s="77" t="s">
        <v>73</v>
      </c>
      <c r="G4943" s="77" t="s">
        <v>74</v>
      </c>
      <c r="H4943" s="77" t="s">
        <v>123</v>
      </c>
      <c r="I4943" s="77" t="s">
        <v>84</v>
      </c>
      <c r="J4943" s="76">
        <v>4.8981233243967828E-4</v>
      </c>
    </row>
    <row r="4944" spans="1:10" x14ac:dyDescent="0.35">
      <c r="A4944" t="s">
        <v>15</v>
      </c>
      <c r="B4944" t="s">
        <v>38</v>
      </c>
      <c r="C4944" s="77" t="s">
        <v>73</v>
      </c>
      <c r="D4944" t="s">
        <v>81</v>
      </c>
      <c r="E4944" s="77" t="s">
        <v>125</v>
      </c>
      <c r="F4944" s="77" t="s">
        <v>73</v>
      </c>
      <c r="G4944" s="77" t="s">
        <v>74</v>
      </c>
      <c r="H4944" s="77" t="s">
        <v>123</v>
      </c>
      <c r="I4944" s="77" t="s">
        <v>84</v>
      </c>
      <c r="J4944" s="76">
        <v>2.4658201215687387E-3</v>
      </c>
    </row>
    <row r="4945" spans="1:11" x14ac:dyDescent="0.35">
      <c r="A4945" t="s">
        <v>15</v>
      </c>
      <c r="B4945" t="s">
        <v>38</v>
      </c>
      <c r="C4945" s="77" t="s">
        <v>73</v>
      </c>
      <c r="D4945" t="s">
        <v>81</v>
      </c>
      <c r="E4945" s="77" t="s">
        <v>122</v>
      </c>
      <c r="F4945" s="77" t="s">
        <v>73</v>
      </c>
      <c r="G4945" s="77" t="s">
        <v>74</v>
      </c>
      <c r="H4945" s="77" t="s">
        <v>123</v>
      </c>
      <c r="I4945" s="77" t="s">
        <v>84</v>
      </c>
      <c r="J4945" s="76">
        <v>4.922711058263972E-4</v>
      </c>
    </row>
    <row r="4946" spans="1:11" x14ac:dyDescent="0.35">
      <c r="A4946" t="s">
        <v>15</v>
      </c>
      <c r="B4946" t="s">
        <v>38</v>
      </c>
      <c r="C4946" s="77" t="s">
        <v>73</v>
      </c>
      <c r="D4946" t="s">
        <v>81</v>
      </c>
      <c r="E4946" s="77" t="s">
        <v>126</v>
      </c>
      <c r="F4946" s="77" t="s">
        <v>73</v>
      </c>
      <c r="G4946" s="77" t="s">
        <v>74</v>
      </c>
      <c r="H4946" s="77" t="s">
        <v>123</v>
      </c>
      <c r="I4946" s="77" t="s">
        <v>84</v>
      </c>
      <c r="J4946" s="76">
        <v>0</v>
      </c>
    </row>
    <row r="4947" spans="1:11" x14ac:dyDescent="0.35">
      <c r="A4947" t="s">
        <v>15</v>
      </c>
      <c r="B4947" t="s">
        <v>38</v>
      </c>
      <c r="C4947" s="77" t="s">
        <v>73</v>
      </c>
      <c r="D4947" t="s">
        <v>81</v>
      </c>
      <c r="E4947" s="77" t="s">
        <v>101</v>
      </c>
      <c r="F4947" s="77" t="s">
        <v>73</v>
      </c>
      <c r="G4947" s="77" t="s">
        <v>74</v>
      </c>
      <c r="H4947" s="77" t="s">
        <v>123</v>
      </c>
      <c r="I4947" s="77" t="s">
        <v>84</v>
      </c>
      <c r="J4947" s="76">
        <v>3.7860913795851507E-4</v>
      </c>
    </row>
    <row r="4948" spans="1:11" x14ac:dyDescent="0.35">
      <c r="A4948" t="s">
        <v>15</v>
      </c>
      <c r="B4948" t="s">
        <v>38</v>
      </c>
      <c r="C4948" s="77" t="s">
        <v>73</v>
      </c>
      <c r="D4948" t="s">
        <v>81</v>
      </c>
      <c r="E4948" s="77" t="s">
        <v>104</v>
      </c>
      <c r="F4948" s="77" t="s">
        <v>73</v>
      </c>
      <c r="G4948" s="77" t="s">
        <v>74</v>
      </c>
      <c r="H4948" s="77" t="s">
        <v>123</v>
      </c>
      <c r="I4948" s="77" t="s">
        <v>84</v>
      </c>
      <c r="J4948" s="76">
        <v>7.1686251377883477E-4</v>
      </c>
      <c r="K4948" s="72"/>
    </row>
    <row r="4949" spans="1:11" x14ac:dyDescent="0.35">
      <c r="A4949" t="s">
        <v>15</v>
      </c>
      <c r="B4949" t="s">
        <v>38</v>
      </c>
      <c r="C4949" s="77" t="s">
        <v>73</v>
      </c>
      <c r="D4949" t="s">
        <v>81</v>
      </c>
      <c r="E4949" s="77" t="s">
        <v>106</v>
      </c>
      <c r="F4949" s="77" t="s">
        <v>73</v>
      </c>
      <c r="G4949" s="77" t="s">
        <v>74</v>
      </c>
      <c r="H4949" s="77" t="s">
        <v>123</v>
      </c>
      <c r="I4949" s="77" t="s">
        <v>84</v>
      </c>
      <c r="J4949" s="76">
        <v>2.438307869996036E-3</v>
      </c>
    </row>
    <row r="4950" spans="1:11" x14ac:dyDescent="0.35">
      <c r="A4950" t="s">
        <v>15</v>
      </c>
      <c r="B4950" t="s">
        <v>38</v>
      </c>
      <c r="C4950" s="77" t="s">
        <v>88</v>
      </c>
      <c r="D4950" t="s">
        <v>81</v>
      </c>
      <c r="E4950" s="77" t="s">
        <v>119</v>
      </c>
      <c r="F4950" s="77" t="s">
        <v>73</v>
      </c>
      <c r="G4950" s="77" t="s">
        <v>74</v>
      </c>
      <c r="H4950" s="77" t="s">
        <v>123</v>
      </c>
      <c r="I4950" s="77" t="s">
        <v>84</v>
      </c>
      <c r="J4950" s="76">
        <f>'SUT_EU27 total'!$L$39</f>
        <v>0.16108845734587587</v>
      </c>
    </row>
    <row r="4951" spans="1:11" x14ac:dyDescent="0.35">
      <c r="A4951" t="s">
        <v>15</v>
      </c>
      <c r="B4951" t="s">
        <v>38</v>
      </c>
      <c r="C4951" s="77" t="s">
        <v>88</v>
      </c>
      <c r="D4951" t="s">
        <v>81</v>
      </c>
      <c r="E4951" s="77" t="s">
        <v>124</v>
      </c>
      <c r="F4951" s="77" t="s">
        <v>73</v>
      </c>
      <c r="G4951" s="77" t="s">
        <v>74</v>
      </c>
      <c r="H4951" s="77" t="s">
        <v>123</v>
      </c>
      <c r="I4951" s="77" t="s">
        <v>84</v>
      </c>
      <c r="J4951" s="76" cm="1">
        <f t="array" ref="J4951:J4959">'SUT_EU27 total'!$M$43:$M$51</f>
        <v>5.0558836222750793E-4</v>
      </c>
    </row>
    <row r="4952" spans="1:11" x14ac:dyDescent="0.35">
      <c r="A4952" t="s">
        <v>15</v>
      </c>
      <c r="B4952" t="s">
        <v>38</v>
      </c>
      <c r="C4952" s="77" t="s">
        <v>88</v>
      </c>
      <c r="D4952" t="s">
        <v>81</v>
      </c>
      <c r="E4952" s="77" t="s">
        <v>117</v>
      </c>
      <c r="F4952" s="77" t="s">
        <v>73</v>
      </c>
      <c r="G4952" s="77" t="s">
        <v>74</v>
      </c>
      <c r="H4952" s="77" t="s">
        <v>123</v>
      </c>
      <c r="I4952" s="77" t="s">
        <v>84</v>
      </c>
      <c r="J4952" s="76">
        <v>4.8514464106651379E-3</v>
      </c>
    </row>
    <row r="4953" spans="1:11" x14ac:dyDescent="0.35">
      <c r="A4953" t="s">
        <v>15</v>
      </c>
      <c r="B4953" t="s">
        <v>38</v>
      </c>
      <c r="C4953" s="77" t="s">
        <v>88</v>
      </c>
      <c r="D4953" t="s">
        <v>81</v>
      </c>
      <c r="E4953" s="77" t="s">
        <v>82</v>
      </c>
      <c r="F4953" s="77" t="s">
        <v>73</v>
      </c>
      <c r="G4953" s="77" t="s">
        <v>74</v>
      </c>
      <c r="H4953" s="77" t="s">
        <v>123</v>
      </c>
      <c r="I4953" s="77" t="s">
        <v>84</v>
      </c>
      <c r="J4953" s="76">
        <v>1.109418436791091E-2</v>
      </c>
    </row>
    <row r="4954" spans="1:11" x14ac:dyDescent="0.35">
      <c r="A4954" t="s">
        <v>15</v>
      </c>
      <c r="B4954" t="s">
        <v>38</v>
      </c>
      <c r="C4954" s="77" t="s">
        <v>88</v>
      </c>
      <c r="D4954" t="s">
        <v>81</v>
      </c>
      <c r="E4954" s="77" t="s">
        <v>125</v>
      </c>
      <c r="F4954" s="77" t="s">
        <v>73</v>
      </c>
      <c r="G4954" s="77" t="s">
        <v>74</v>
      </c>
      <c r="H4954" s="77" t="s">
        <v>123</v>
      </c>
      <c r="I4954" s="77" t="s">
        <v>84</v>
      </c>
      <c r="J4954" s="76">
        <v>2.890870278990243E-5</v>
      </c>
    </row>
    <row r="4955" spans="1:11" x14ac:dyDescent="0.35">
      <c r="A4955" t="s">
        <v>15</v>
      </c>
      <c r="B4955" t="s">
        <v>38</v>
      </c>
      <c r="C4955" s="77" t="s">
        <v>88</v>
      </c>
      <c r="D4955" t="s">
        <v>81</v>
      </c>
      <c r="E4955" s="77" t="s">
        <v>122</v>
      </c>
      <c r="F4955" s="77" t="s">
        <v>73</v>
      </c>
      <c r="G4955" s="77" t="s">
        <v>74</v>
      </c>
      <c r="H4955" s="77" t="s">
        <v>123</v>
      </c>
      <c r="I4955" s="77" t="s">
        <v>84</v>
      </c>
      <c r="J4955" s="76">
        <v>0</v>
      </c>
    </row>
    <row r="4956" spans="1:11" x14ac:dyDescent="0.35">
      <c r="A4956" t="s">
        <v>15</v>
      </c>
      <c r="B4956" t="s">
        <v>38</v>
      </c>
      <c r="C4956" s="77" t="s">
        <v>88</v>
      </c>
      <c r="D4956" t="s">
        <v>81</v>
      </c>
      <c r="E4956" s="77" t="s">
        <v>126</v>
      </c>
      <c r="F4956" s="77" t="s">
        <v>73</v>
      </c>
      <c r="G4956" s="77" t="s">
        <v>74</v>
      </c>
      <c r="H4956" s="77" t="s">
        <v>123</v>
      </c>
      <c r="I4956" s="77" t="s">
        <v>84</v>
      </c>
      <c r="J4956" s="76">
        <v>2.8514320987501449E-3</v>
      </c>
    </row>
    <row r="4957" spans="1:11" x14ac:dyDescent="0.35">
      <c r="A4957" t="s">
        <v>15</v>
      </c>
      <c r="B4957" t="s">
        <v>38</v>
      </c>
      <c r="C4957" s="77" t="s">
        <v>88</v>
      </c>
      <c r="D4957" t="s">
        <v>81</v>
      </c>
      <c r="E4957" s="77" t="s">
        <v>101</v>
      </c>
      <c r="F4957" s="77" t="s">
        <v>73</v>
      </c>
      <c r="G4957" s="77" t="s">
        <v>74</v>
      </c>
      <c r="H4957" s="77" t="s">
        <v>123</v>
      </c>
      <c r="I4957" s="77" t="s">
        <v>84</v>
      </c>
      <c r="J4957" s="76">
        <v>0</v>
      </c>
    </row>
    <row r="4958" spans="1:11" x14ac:dyDescent="0.35">
      <c r="A4958" t="s">
        <v>15</v>
      </c>
      <c r="B4958" t="s">
        <v>38</v>
      </c>
      <c r="C4958" s="77" t="s">
        <v>88</v>
      </c>
      <c r="D4958" t="s">
        <v>81</v>
      </c>
      <c r="E4958" s="77" t="s">
        <v>104</v>
      </c>
      <c r="F4958" s="77" t="s">
        <v>73</v>
      </c>
      <c r="G4958" s="77" t="s">
        <v>74</v>
      </c>
      <c r="H4958" s="77" t="s">
        <v>123</v>
      </c>
      <c r="I4958" s="77" t="s">
        <v>84</v>
      </c>
      <c r="J4958" s="76">
        <v>0</v>
      </c>
    </row>
    <row r="4959" spans="1:11" x14ac:dyDescent="0.35">
      <c r="A4959" t="s">
        <v>15</v>
      </c>
      <c r="B4959" t="s">
        <v>38</v>
      </c>
      <c r="C4959" s="77" t="s">
        <v>88</v>
      </c>
      <c r="D4959" t="s">
        <v>81</v>
      </c>
      <c r="E4959" s="77" t="s">
        <v>106</v>
      </c>
      <c r="F4959" s="77" t="s">
        <v>73</v>
      </c>
      <c r="G4959" s="77" t="s">
        <v>74</v>
      </c>
      <c r="H4959" s="77" t="s">
        <v>123</v>
      </c>
      <c r="I4959" s="77" t="s">
        <v>84</v>
      </c>
      <c r="J4959" s="76">
        <v>0</v>
      </c>
    </row>
    <row r="4960" spans="1:11" x14ac:dyDescent="0.35">
      <c r="A4960" t="s">
        <v>15</v>
      </c>
      <c r="B4960" t="s">
        <v>38</v>
      </c>
      <c r="C4960" s="77" t="s">
        <v>90</v>
      </c>
      <c r="D4960" t="s">
        <v>81</v>
      </c>
      <c r="E4960" s="77" t="s">
        <v>119</v>
      </c>
      <c r="F4960" s="77" t="s">
        <v>73</v>
      </c>
      <c r="G4960" s="77" t="s">
        <v>74</v>
      </c>
      <c r="H4960" s="77" t="s">
        <v>123</v>
      </c>
      <c r="I4960" s="77" t="s">
        <v>84</v>
      </c>
      <c r="J4960" s="76">
        <f>'SUT_EU27 total'!$M$56</f>
        <v>2.949251079979006E-2</v>
      </c>
    </row>
    <row r="4961" spans="1:10" x14ac:dyDescent="0.35">
      <c r="A4961" t="s">
        <v>15</v>
      </c>
      <c r="B4961" t="s">
        <v>38</v>
      </c>
      <c r="C4961" s="77" t="s">
        <v>90</v>
      </c>
      <c r="D4961" t="s">
        <v>81</v>
      </c>
      <c r="E4961" s="77" t="s">
        <v>124</v>
      </c>
      <c r="F4961" s="77" t="s">
        <v>73</v>
      </c>
      <c r="G4961" s="77" t="s">
        <v>74</v>
      </c>
      <c r="H4961" s="77" t="s">
        <v>123</v>
      </c>
      <c r="I4961" s="77" t="s">
        <v>84</v>
      </c>
      <c r="J4961" s="76" cm="1">
        <f t="array" ref="J4961:J4969">'SUT_EU27 total'!$L$60:$L$68</f>
        <v>2.1047443073980527E-5</v>
      </c>
    </row>
    <row r="4962" spans="1:10" x14ac:dyDescent="0.35">
      <c r="A4962" t="s">
        <v>15</v>
      </c>
      <c r="B4962" t="s">
        <v>38</v>
      </c>
      <c r="C4962" s="77" t="s">
        <v>90</v>
      </c>
      <c r="D4962" t="s">
        <v>81</v>
      </c>
      <c r="E4962" s="77" t="s">
        <v>117</v>
      </c>
      <c r="F4962" s="77" t="s">
        <v>73</v>
      </c>
      <c r="G4962" s="77" t="s">
        <v>74</v>
      </c>
      <c r="H4962" s="77" t="s">
        <v>123</v>
      </c>
      <c r="I4962" s="77" t="s">
        <v>84</v>
      </c>
      <c r="J4962" s="76">
        <v>5.8414015621608938E-3</v>
      </c>
    </row>
    <row r="4963" spans="1:10" x14ac:dyDescent="0.35">
      <c r="A4963" t="s">
        <v>15</v>
      </c>
      <c r="B4963" t="s">
        <v>38</v>
      </c>
      <c r="C4963" s="77" t="s">
        <v>90</v>
      </c>
      <c r="D4963" t="s">
        <v>81</v>
      </c>
      <c r="E4963" s="77" t="s">
        <v>82</v>
      </c>
      <c r="F4963" s="77" t="s">
        <v>73</v>
      </c>
      <c r="G4963" s="77" t="s">
        <v>74</v>
      </c>
      <c r="H4963" s="77" t="s">
        <v>123</v>
      </c>
      <c r="I4963" s="77" t="s">
        <v>84</v>
      </c>
      <c r="J4963" s="76">
        <v>1.4521138379047227E-3</v>
      </c>
    </row>
    <row r="4964" spans="1:10" x14ac:dyDescent="0.35">
      <c r="A4964" t="s">
        <v>15</v>
      </c>
      <c r="B4964" t="s">
        <v>38</v>
      </c>
      <c r="C4964" s="77" t="s">
        <v>90</v>
      </c>
      <c r="D4964" t="s">
        <v>81</v>
      </c>
      <c r="E4964" s="77" t="s">
        <v>125</v>
      </c>
      <c r="F4964" s="77" t="s">
        <v>73</v>
      </c>
      <c r="G4964" s="77" t="s">
        <v>74</v>
      </c>
      <c r="H4964" s="77" t="s">
        <v>123</v>
      </c>
      <c r="I4964" s="77" t="s">
        <v>84</v>
      </c>
      <c r="J4964" s="76">
        <v>6.5130870114372285E-5</v>
      </c>
    </row>
    <row r="4965" spans="1:10" x14ac:dyDescent="0.35">
      <c r="A4965" t="s">
        <v>15</v>
      </c>
      <c r="B4965" t="s">
        <v>38</v>
      </c>
      <c r="C4965" s="77" t="s">
        <v>90</v>
      </c>
      <c r="D4965" t="s">
        <v>81</v>
      </c>
      <c r="E4965" s="77" t="s">
        <v>122</v>
      </c>
      <c r="F4965" s="77" t="s">
        <v>73</v>
      </c>
      <c r="G4965" s="77" t="s">
        <v>74</v>
      </c>
      <c r="H4965" s="77" t="s">
        <v>123</v>
      </c>
      <c r="I4965" s="77" t="s">
        <v>84</v>
      </c>
      <c r="J4965" s="76">
        <v>7.9476813317479189E-4</v>
      </c>
    </row>
    <row r="4966" spans="1:10" x14ac:dyDescent="0.35">
      <c r="A4966" t="s">
        <v>15</v>
      </c>
      <c r="B4966" t="s">
        <v>38</v>
      </c>
      <c r="C4966" s="77" t="s">
        <v>90</v>
      </c>
      <c r="D4966" t="s">
        <v>81</v>
      </c>
      <c r="E4966" s="77" t="s">
        <v>126</v>
      </c>
      <c r="F4966" s="77" t="s">
        <v>73</v>
      </c>
      <c r="G4966" s="77" t="s">
        <v>74</v>
      </c>
      <c r="H4966" s="77" t="s">
        <v>123</v>
      </c>
      <c r="I4966" s="77" t="s">
        <v>84</v>
      </c>
      <c r="J4966" s="76">
        <v>8.4821183458843076E-3</v>
      </c>
    </row>
    <row r="4967" spans="1:10" x14ac:dyDescent="0.35">
      <c r="A4967" t="s">
        <v>15</v>
      </c>
      <c r="B4967" t="s">
        <v>38</v>
      </c>
      <c r="C4967" s="77" t="s">
        <v>90</v>
      </c>
      <c r="D4967" t="s">
        <v>81</v>
      </c>
      <c r="E4967" s="77" t="s">
        <v>101</v>
      </c>
      <c r="F4967" s="77" t="s">
        <v>73</v>
      </c>
      <c r="G4967" s="77" t="s">
        <v>74</v>
      </c>
      <c r="H4967" s="77" t="s">
        <v>123</v>
      </c>
      <c r="I4967" s="77" t="s">
        <v>84</v>
      </c>
      <c r="J4967" s="76">
        <v>0</v>
      </c>
    </row>
    <row r="4968" spans="1:10" x14ac:dyDescent="0.35">
      <c r="A4968" t="s">
        <v>15</v>
      </c>
      <c r="B4968" t="s">
        <v>38</v>
      </c>
      <c r="C4968" s="77" t="s">
        <v>90</v>
      </c>
      <c r="D4968" t="s">
        <v>81</v>
      </c>
      <c r="E4968" s="77" t="s">
        <v>104</v>
      </c>
      <c r="F4968" s="77" t="s">
        <v>73</v>
      </c>
      <c r="G4968" s="77" t="s">
        <v>74</v>
      </c>
      <c r="H4968" s="77" t="s">
        <v>123</v>
      </c>
      <c r="I4968" s="77" t="s">
        <v>84</v>
      </c>
      <c r="J4968" s="76">
        <v>0</v>
      </c>
    </row>
    <row r="4969" spans="1:10" x14ac:dyDescent="0.35">
      <c r="A4969" t="s">
        <v>15</v>
      </c>
      <c r="B4969" t="s">
        <v>38</v>
      </c>
      <c r="C4969" s="77" t="s">
        <v>90</v>
      </c>
      <c r="D4969" t="s">
        <v>81</v>
      </c>
      <c r="E4969" s="77" t="s">
        <v>106</v>
      </c>
      <c r="F4969" s="77" t="s">
        <v>73</v>
      </c>
      <c r="G4969" s="77" t="s">
        <v>74</v>
      </c>
      <c r="H4969" s="77" t="s">
        <v>123</v>
      </c>
      <c r="I4969" s="77" t="s">
        <v>84</v>
      </c>
      <c r="J4969" s="76">
        <v>0</v>
      </c>
    </row>
    <row r="4970" spans="1:10" x14ac:dyDescent="0.35">
      <c r="A4970" t="s">
        <v>15</v>
      </c>
      <c r="B4970" t="s">
        <v>38</v>
      </c>
      <c r="C4970" s="77" t="s">
        <v>91</v>
      </c>
      <c r="D4970" t="s">
        <v>81</v>
      </c>
      <c r="E4970" s="77" t="s">
        <v>119</v>
      </c>
      <c r="F4970" s="77" t="s">
        <v>73</v>
      </c>
      <c r="G4970" s="77" t="s">
        <v>74</v>
      </c>
      <c r="H4970" s="77" t="s">
        <v>123</v>
      </c>
      <c r="I4970" s="77" t="s">
        <v>84</v>
      </c>
      <c r="J4970" s="76">
        <f>'SUT_EU27 total'!$L$73</f>
        <v>0.15097500908393557</v>
      </c>
    </row>
    <row r="4971" spans="1:10" x14ac:dyDescent="0.35">
      <c r="A4971" t="s">
        <v>15</v>
      </c>
      <c r="B4971" t="s">
        <v>38</v>
      </c>
      <c r="C4971" s="77" t="s">
        <v>91</v>
      </c>
      <c r="D4971" t="s">
        <v>81</v>
      </c>
      <c r="E4971" s="77" t="s">
        <v>124</v>
      </c>
      <c r="F4971" s="77" t="s">
        <v>73</v>
      </c>
      <c r="G4971" s="77" t="s">
        <v>74</v>
      </c>
      <c r="H4971" s="77" t="s">
        <v>123</v>
      </c>
      <c r="I4971" s="77" t="s">
        <v>84</v>
      </c>
      <c r="J4971" s="76" cm="1">
        <f t="array" ref="J4971:J4979">'SUT_EU27 total'!$L$77:$L$85</f>
        <v>6.7728942399646885E-5</v>
      </c>
    </row>
    <row r="4972" spans="1:10" x14ac:dyDescent="0.35">
      <c r="A4972" t="s">
        <v>15</v>
      </c>
      <c r="B4972" t="s">
        <v>38</v>
      </c>
      <c r="C4972" s="77" t="s">
        <v>91</v>
      </c>
      <c r="D4972" t="s">
        <v>81</v>
      </c>
      <c r="E4972" s="77" t="s">
        <v>117</v>
      </c>
      <c r="F4972" s="77" t="s">
        <v>73</v>
      </c>
      <c r="G4972" s="77" t="s">
        <v>74</v>
      </c>
      <c r="H4972" s="77" t="s">
        <v>123</v>
      </c>
      <c r="I4972" s="77" t="s">
        <v>84</v>
      </c>
      <c r="J4972" s="76">
        <v>5.6233849622410815E-3</v>
      </c>
    </row>
    <row r="4973" spans="1:10" x14ac:dyDescent="0.35">
      <c r="A4973" t="s">
        <v>15</v>
      </c>
      <c r="B4973" t="s">
        <v>38</v>
      </c>
      <c r="C4973" s="77" t="s">
        <v>91</v>
      </c>
      <c r="D4973" t="s">
        <v>81</v>
      </c>
      <c r="E4973" s="77" t="s">
        <v>82</v>
      </c>
      <c r="F4973" s="77" t="s">
        <v>73</v>
      </c>
      <c r="G4973" s="77" t="s">
        <v>74</v>
      </c>
      <c r="H4973" s="77" t="s">
        <v>123</v>
      </c>
      <c r="I4973" s="77" t="s">
        <v>84</v>
      </c>
      <c r="J4973" s="76">
        <v>1.8068055269127655E-3</v>
      </c>
    </row>
    <row r="4974" spans="1:10" x14ac:dyDescent="0.35">
      <c r="A4974" t="s">
        <v>15</v>
      </c>
      <c r="B4974" t="s">
        <v>38</v>
      </c>
      <c r="C4974" s="77" t="s">
        <v>91</v>
      </c>
      <c r="D4974" t="s">
        <v>81</v>
      </c>
      <c r="E4974" s="77" t="s">
        <v>125</v>
      </c>
      <c r="F4974" s="77" t="s">
        <v>73</v>
      </c>
      <c r="G4974" s="77" t="s">
        <v>74</v>
      </c>
      <c r="H4974" s="77" t="s">
        <v>123</v>
      </c>
      <c r="I4974" s="77" t="s">
        <v>84</v>
      </c>
      <c r="J4974" s="76">
        <v>5.6492118062760293E-6</v>
      </c>
    </row>
    <row r="4975" spans="1:10" x14ac:dyDescent="0.35">
      <c r="A4975" t="s">
        <v>15</v>
      </c>
      <c r="B4975" t="s">
        <v>38</v>
      </c>
      <c r="C4975" s="77" t="s">
        <v>91</v>
      </c>
      <c r="D4975" t="s">
        <v>81</v>
      </c>
      <c r="E4975" s="77" t="s">
        <v>122</v>
      </c>
      <c r="F4975" s="77" t="s">
        <v>73</v>
      </c>
      <c r="G4975" s="77" t="s">
        <v>74</v>
      </c>
      <c r="H4975" s="77" t="s">
        <v>123</v>
      </c>
      <c r="I4975" s="77" t="s">
        <v>84</v>
      </c>
      <c r="J4975" s="76">
        <v>0</v>
      </c>
    </row>
    <row r="4976" spans="1:10" x14ac:dyDescent="0.35">
      <c r="A4976" t="s">
        <v>15</v>
      </c>
      <c r="B4976" t="s">
        <v>38</v>
      </c>
      <c r="C4976" s="77" t="s">
        <v>91</v>
      </c>
      <c r="D4976" t="s">
        <v>81</v>
      </c>
      <c r="E4976" s="77" t="s">
        <v>126</v>
      </c>
      <c r="F4976" s="77" t="s">
        <v>73</v>
      </c>
      <c r="G4976" s="77" t="s">
        <v>74</v>
      </c>
      <c r="H4976" s="77" t="s">
        <v>123</v>
      </c>
      <c r="I4976" s="77" t="s">
        <v>84</v>
      </c>
      <c r="J4976" s="76">
        <v>8.1093795177776388E-4</v>
      </c>
    </row>
    <row r="4977" spans="1:10" x14ac:dyDescent="0.35">
      <c r="A4977" t="s">
        <v>15</v>
      </c>
      <c r="B4977" t="s">
        <v>38</v>
      </c>
      <c r="C4977" s="77" t="s">
        <v>91</v>
      </c>
      <c r="D4977" t="s">
        <v>81</v>
      </c>
      <c r="E4977" s="77" t="s">
        <v>101</v>
      </c>
      <c r="F4977" s="77" t="s">
        <v>73</v>
      </c>
      <c r="G4977" s="77" t="s">
        <v>74</v>
      </c>
      <c r="H4977" s="77" t="s">
        <v>123</v>
      </c>
      <c r="I4977" s="77" t="s">
        <v>84</v>
      </c>
      <c r="J4977" s="76">
        <v>0</v>
      </c>
    </row>
    <row r="4978" spans="1:10" x14ac:dyDescent="0.35">
      <c r="A4978" t="s">
        <v>15</v>
      </c>
      <c r="B4978" t="s">
        <v>38</v>
      </c>
      <c r="C4978" s="77" t="s">
        <v>91</v>
      </c>
      <c r="D4978" t="s">
        <v>81</v>
      </c>
      <c r="E4978" s="77" t="s">
        <v>104</v>
      </c>
      <c r="F4978" s="77" t="s">
        <v>73</v>
      </c>
      <c r="G4978" s="77" t="s">
        <v>74</v>
      </c>
      <c r="H4978" s="77" t="s">
        <v>123</v>
      </c>
      <c r="I4978" s="77" t="s">
        <v>84</v>
      </c>
      <c r="J4978" s="76">
        <v>0</v>
      </c>
    </row>
    <row r="4979" spans="1:10" x14ac:dyDescent="0.35">
      <c r="A4979" t="s">
        <v>15</v>
      </c>
      <c r="B4979" t="s">
        <v>38</v>
      </c>
      <c r="C4979" s="77" t="s">
        <v>91</v>
      </c>
      <c r="D4979" t="s">
        <v>81</v>
      </c>
      <c r="E4979" s="77" t="s">
        <v>106</v>
      </c>
      <c r="F4979" s="77" t="s">
        <v>73</v>
      </c>
      <c r="G4979" s="77" t="s">
        <v>74</v>
      </c>
      <c r="H4979" s="77" t="s">
        <v>123</v>
      </c>
      <c r="I4979" s="77" t="s">
        <v>84</v>
      </c>
      <c r="J4979" s="76">
        <v>0</v>
      </c>
    </row>
    <row r="4980" spans="1:10" x14ac:dyDescent="0.35">
      <c r="A4980" t="s">
        <v>15</v>
      </c>
      <c r="B4980" t="s">
        <v>38</v>
      </c>
      <c r="C4980" s="77" t="s">
        <v>92</v>
      </c>
      <c r="D4980" t="s">
        <v>81</v>
      </c>
      <c r="E4980" s="77" t="s">
        <v>119</v>
      </c>
      <c r="F4980" s="77" t="s">
        <v>73</v>
      </c>
      <c r="G4980" s="77" t="s">
        <v>74</v>
      </c>
      <c r="H4980" s="77" t="s">
        <v>123</v>
      </c>
      <c r="I4980" s="77" t="s">
        <v>84</v>
      </c>
      <c r="J4980" s="76">
        <f>'SUT_EU27 total'!$L$90</f>
        <v>0.13886309499777949</v>
      </c>
    </row>
    <row r="4981" spans="1:10" x14ac:dyDescent="0.35">
      <c r="A4981" t="s">
        <v>15</v>
      </c>
      <c r="B4981" t="s">
        <v>38</v>
      </c>
      <c r="C4981" s="77" t="s">
        <v>92</v>
      </c>
      <c r="D4981" t="s">
        <v>81</v>
      </c>
      <c r="E4981" s="77" t="s">
        <v>124</v>
      </c>
      <c r="F4981" s="77" t="s">
        <v>73</v>
      </c>
      <c r="G4981" s="77" t="s">
        <v>74</v>
      </c>
      <c r="H4981" s="77" t="s">
        <v>123</v>
      </c>
      <c r="I4981" s="77" t="s">
        <v>84</v>
      </c>
      <c r="J4981" s="76" cm="1">
        <f t="array" ref="J4981:J4989">'SUT_EU27 total'!$L$94:$L$102</f>
        <v>9.2968907089085616E-5</v>
      </c>
    </row>
    <row r="4982" spans="1:10" x14ac:dyDescent="0.35">
      <c r="A4982" t="s">
        <v>15</v>
      </c>
      <c r="B4982" t="s">
        <v>38</v>
      </c>
      <c r="C4982" s="77" t="s">
        <v>92</v>
      </c>
      <c r="D4982" t="s">
        <v>81</v>
      </c>
      <c r="E4982" s="77" t="s">
        <v>117</v>
      </c>
      <c r="F4982" s="77" t="s">
        <v>73</v>
      </c>
      <c r="G4982" s="77" t="s">
        <v>74</v>
      </c>
      <c r="H4982" s="77" t="s">
        <v>123</v>
      </c>
      <c r="I4982" s="77" t="s">
        <v>84</v>
      </c>
      <c r="J4982" s="76">
        <v>0</v>
      </c>
    </row>
    <row r="4983" spans="1:10" x14ac:dyDescent="0.35">
      <c r="A4983" t="s">
        <v>15</v>
      </c>
      <c r="B4983" t="s">
        <v>38</v>
      </c>
      <c r="C4983" s="77" t="s">
        <v>92</v>
      </c>
      <c r="D4983" t="s">
        <v>81</v>
      </c>
      <c r="E4983" s="77" t="s">
        <v>82</v>
      </c>
      <c r="F4983" s="77" t="s">
        <v>73</v>
      </c>
      <c r="G4983" s="77" t="s">
        <v>74</v>
      </c>
      <c r="H4983" s="77" t="s">
        <v>123</v>
      </c>
      <c r="I4983" s="77" t="s">
        <v>84</v>
      </c>
      <c r="J4983" s="76">
        <v>1.1251392039595793E-3</v>
      </c>
    </row>
    <row r="4984" spans="1:10" x14ac:dyDescent="0.35">
      <c r="A4984" t="s">
        <v>15</v>
      </c>
      <c r="B4984" t="s">
        <v>38</v>
      </c>
      <c r="C4984" s="77" t="s">
        <v>92</v>
      </c>
      <c r="D4984" t="s">
        <v>81</v>
      </c>
      <c r="E4984" s="77" t="s">
        <v>125</v>
      </c>
      <c r="F4984" s="77" t="s">
        <v>73</v>
      </c>
      <c r="G4984" s="77" t="s">
        <v>74</v>
      </c>
      <c r="H4984" s="77" t="s">
        <v>123</v>
      </c>
      <c r="I4984" s="77" t="s">
        <v>84</v>
      </c>
      <c r="J4984" s="76">
        <v>5.0048817841215026E-7</v>
      </c>
    </row>
    <row r="4985" spans="1:10" x14ac:dyDescent="0.35">
      <c r="A4985" t="s">
        <v>15</v>
      </c>
      <c r="B4985" t="s">
        <v>38</v>
      </c>
      <c r="C4985" s="77" t="s">
        <v>92</v>
      </c>
      <c r="D4985" t="s">
        <v>81</v>
      </c>
      <c r="E4985" s="77" t="s">
        <v>122</v>
      </c>
      <c r="F4985" s="77" t="s">
        <v>73</v>
      </c>
      <c r="G4985" s="77" t="s">
        <v>74</v>
      </c>
      <c r="H4985" s="77" t="s">
        <v>123</v>
      </c>
      <c r="I4985" s="77" t="s">
        <v>84</v>
      </c>
      <c r="J4985" s="76">
        <v>0</v>
      </c>
    </row>
    <row r="4986" spans="1:10" x14ac:dyDescent="0.35">
      <c r="A4986" t="s">
        <v>15</v>
      </c>
      <c r="B4986" t="s">
        <v>38</v>
      </c>
      <c r="C4986" s="77" t="s">
        <v>92</v>
      </c>
      <c r="D4986" t="s">
        <v>81</v>
      </c>
      <c r="E4986" s="77" t="s">
        <v>126</v>
      </c>
      <c r="F4986" s="77" t="s">
        <v>73</v>
      </c>
      <c r="G4986" s="77" t="s">
        <v>74</v>
      </c>
      <c r="H4986" s="77" t="s">
        <v>123</v>
      </c>
      <c r="I4986" s="77" t="s">
        <v>84</v>
      </c>
      <c r="J4986" s="76">
        <v>0</v>
      </c>
    </row>
    <row r="4987" spans="1:10" x14ac:dyDescent="0.35">
      <c r="A4987" t="s">
        <v>15</v>
      </c>
      <c r="B4987" t="s">
        <v>38</v>
      </c>
      <c r="C4987" s="77" t="s">
        <v>92</v>
      </c>
      <c r="D4987" t="s">
        <v>81</v>
      </c>
      <c r="E4987" s="77" t="s">
        <v>101</v>
      </c>
      <c r="F4987" s="77" t="s">
        <v>73</v>
      </c>
      <c r="G4987" s="77" t="s">
        <v>74</v>
      </c>
      <c r="H4987" s="77" t="s">
        <v>123</v>
      </c>
      <c r="I4987" s="77" t="s">
        <v>84</v>
      </c>
      <c r="J4987" s="76">
        <v>0</v>
      </c>
    </row>
    <row r="4988" spans="1:10" x14ac:dyDescent="0.35">
      <c r="A4988" t="s">
        <v>15</v>
      </c>
      <c r="B4988" t="s">
        <v>38</v>
      </c>
      <c r="C4988" s="77" t="s">
        <v>92</v>
      </c>
      <c r="D4988" t="s">
        <v>81</v>
      </c>
      <c r="E4988" s="77" t="s">
        <v>104</v>
      </c>
      <c r="F4988" s="77" t="s">
        <v>73</v>
      </c>
      <c r="G4988" s="77" t="s">
        <v>74</v>
      </c>
      <c r="H4988" s="77" t="s">
        <v>123</v>
      </c>
      <c r="I4988" s="77" t="s">
        <v>84</v>
      </c>
      <c r="J4988" s="76">
        <v>0</v>
      </c>
    </row>
    <row r="4989" spans="1:10" x14ac:dyDescent="0.35">
      <c r="A4989" t="s">
        <v>15</v>
      </c>
      <c r="B4989" t="s">
        <v>38</v>
      </c>
      <c r="C4989" s="77" t="s">
        <v>92</v>
      </c>
      <c r="D4989" t="s">
        <v>81</v>
      </c>
      <c r="E4989" s="77" t="s">
        <v>106</v>
      </c>
      <c r="F4989" s="77" t="s">
        <v>73</v>
      </c>
      <c r="G4989" s="77" t="s">
        <v>74</v>
      </c>
      <c r="H4989" s="77" t="s">
        <v>123</v>
      </c>
      <c r="I4989" s="77" t="s">
        <v>84</v>
      </c>
      <c r="J4989" s="76">
        <v>0</v>
      </c>
    </row>
    <row r="4990" spans="1:10" x14ac:dyDescent="0.35">
      <c r="A4990" t="s">
        <v>15</v>
      </c>
      <c r="B4990" t="s">
        <v>38</v>
      </c>
      <c r="C4990" s="77" t="s">
        <v>93</v>
      </c>
      <c r="D4990" t="s">
        <v>81</v>
      </c>
      <c r="E4990" s="77" t="s">
        <v>119</v>
      </c>
      <c r="F4990" s="77" t="s">
        <v>73</v>
      </c>
      <c r="G4990" s="77" t="s">
        <v>74</v>
      </c>
      <c r="H4990" s="77" t="s">
        <v>123</v>
      </c>
      <c r="I4990" s="77" t="s">
        <v>84</v>
      </c>
      <c r="J4990" s="76">
        <f>'SUT_EU27 total'!$L$107</f>
        <v>1.0000807460939076</v>
      </c>
    </row>
    <row r="4991" spans="1:10" x14ac:dyDescent="0.35">
      <c r="A4991" t="s">
        <v>15</v>
      </c>
      <c r="B4991" t="s">
        <v>38</v>
      </c>
      <c r="C4991" s="77" t="s">
        <v>93</v>
      </c>
      <c r="D4991" t="s">
        <v>81</v>
      </c>
      <c r="E4991" s="77" t="s">
        <v>124</v>
      </c>
      <c r="F4991" s="77" t="s">
        <v>73</v>
      </c>
      <c r="G4991" s="77" t="s">
        <v>74</v>
      </c>
      <c r="H4991" s="77" t="s">
        <v>123</v>
      </c>
      <c r="I4991" s="77" t="s">
        <v>84</v>
      </c>
      <c r="J4991" s="76" cm="1">
        <f t="array" ref="J4991:J4999">'SUT_EU27 total'!$L$111:$L$119</f>
        <v>3.7052409430862396E-4</v>
      </c>
    </row>
    <row r="4992" spans="1:10" x14ac:dyDescent="0.35">
      <c r="A4992" t="s">
        <v>15</v>
      </c>
      <c r="B4992" t="s">
        <v>38</v>
      </c>
      <c r="C4992" s="77" t="s">
        <v>93</v>
      </c>
      <c r="D4992" t="s">
        <v>81</v>
      </c>
      <c r="E4992" s="77" t="s">
        <v>117</v>
      </c>
      <c r="F4992" s="77" t="s">
        <v>73</v>
      </c>
      <c r="G4992" s="77" t="s">
        <v>74</v>
      </c>
      <c r="H4992" s="77" t="s">
        <v>123</v>
      </c>
      <c r="I4992" s="77" t="s">
        <v>84</v>
      </c>
      <c r="J4992" s="76">
        <v>5.8414042458127093E-3</v>
      </c>
    </row>
    <row r="4993" spans="1:10" x14ac:dyDescent="0.35">
      <c r="A4993" t="s">
        <v>15</v>
      </c>
      <c r="B4993" t="s">
        <v>38</v>
      </c>
      <c r="C4993" s="77" t="s">
        <v>93</v>
      </c>
      <c r="D4993" t="s">
        <v>81</v>
      </c>
      <c r="E4993" s="77" t="s">
        <v>82</v>
      </c>
      <c r="F4993" s="77" t="s">
        <v>73</v>
      </c>
      <c r="G4993" s="77" t="s">
        <v>74</v>
      </c>
      <c r="H4993" s="77" t="s">
        <v>123</v>
      </c>
      <c r="I4993" s="77" t="s">
        <v>84</v>
      </c>
      <c r="J4993" s="76">
        <v>5.0319447308723453E-3</v>
      </c>
    </row>
    <row r="4994" spans="1:10" x14ac:dyDescent="0.35">
      <c r="A4994" t="s">
        <v>15</v>
      </c>
      <c r="B4994" t="s">
        <v>38</v>
      </c>
      <c r="C4994" s="77" t="s">
        <v>93</v>
      </c>
      <c r="D4994" t="s">
        <v>81</v>
      </c>
      <c r="E4994" s="77" t="s">
        <v>125</v>
      </c>
      <c r="F4994" s="77" t="s">
        <v>73</v>
      </c>
      <c r="G4994" s="77" t="s">
        <v>74</v>
      </c>
      <c r="H4994" s="77" t="s">
        <v>123</v>
      </c>
      <c r="I4994" s="77" t="s">
        <v>84</v>
      </c>
      <c r="J4994" s="76">
        <v>4.336096678710085E-4</v>
      </c>
    </row>
    <row r="4995" spans="1:10" x14ac:dyDescent="0.35">
      <c r="A4995" t="s">
        <v>15</v>
      </c>
      <c r="B4995" t="s">
        <v>38</v>
      </c>
      <c r="C4995" s="77" t="s">
        <v>93</v>
      </c>
      <c r="D4995" t="s">
        <v>81</v>
      </c>
      <c r="E4995" s="77" t="s">
        <v>122</v>
      </c>
      <c r="F4995" s="77" t="s">
        <v>73</v>
      </c>
      <c r="G4995" s="77" t="s">
        <v>74</v>
      </c>
      <c r="H4995" s="77" t="s">
        <v>123</v>
      </c>
      <c r="I4995" s="77" t="s">
        <v>84</v>
      </c>
      <c r="J4995" s="76">
        <v>2.7129607609988112E-3</v>
      </c>
    </row>
    <row r="4996" spans="1:10" x14ac:dyDescent="0.35">
      <c r="A4996" t="s">
        <v>15</v>
      </c>
      <c r="B4996" t="s">
        <v>38</v>
      </c>
      <c r="C4996" s="77" t="s">
        <v>93</v>
      </c>
      <c r="D4996" t="s">
        <v>81</v>
      </c>
      <c r="E4996" s="77" t="s">
        <v>126</v>
      </c>
      <c r="F4996" s="77" t="s">
        <v>73</v>
      </c>
      <c r="G4996" s="77" t="s">
        <v>74</v>
      </c>
      <c r="H4996" s="77" t="s">
        <v>123</v>
      </c>
      <c r="I4996" s="77" t="s">
        <v>84</v>
      </c>
      <c r="J4996" s="76">
        <v>4.3855511603587784E-2</v>
      </c>
    </row>
    <row r="4997" spans="1:10" x14ac:dyDescent="0.35">
      <c r="A4997" t="s">
        <v>15</v>
      </c>
      <c r="B4997" t="s">
        <v>38</v>
      </c>
      <c r="C4997" s="77" t="s">
        <v>93</v>
      </c>
      <c r="D4997" t="s">
        <v>81</v>
      </c>
      <c r="E4997" s="77" t="s">
        <v>101</v>
      </c>
      <c r="F4997" s="77" t="s">
        <v>73</v>
      </c>
      <c r="G4997" s="77" t="s">
        <v>74</v>
      </c>
      <c r="H4997" s="77" t="s">
        <v>123</v>
      </c>
      <c r="I4997" s="77" t="s">
        <v>84</v>
      </c>
      <c r="J4997" s="76">
        <v>0</v>
      </c>
    </row>
    <row r="4998" spans="1:10" x14ac:dyDescent="0.35">
      <c r="A4998" t="s">
        <v>15</v>
      </c>
      <c r="B4998" t="s">
        <v>38</v>
      </c>
      <c r="C4998" s="77" t="s">
        <v>93</v>
      </c>
      <c r="D4998" t="s">
        <v>81</v>
      </c>
      <c r="E4998" s="77" t="s">
        <v>104</v>
      </c>
      <c r="F4998" s="77" t="s">
        <v>73</v>
      </c>
      <c r="G4998" s="77" t="s">
        <v>74</v>
      </c>
      <c r="H4998" s="77" t="s">
        <v>123</v>
      </c>
      <c r="I4998" s="77" t="s">
        <v>84</v>
      </c>
      <c r="J4998" s="76">
        <v>0</v>
      </c>
    </row>
    <row r="4999" spans="1:10" x14ac:dyDescent="0.35">
      <c r="A4999" t="s">
        <v>15</v>
      </c>
      <c r="B4999" t="s">
        <v>38</v>
      </c>
      <c r="C4999" s="77" t="s">
        <v>93</v>
      </c>
      <c r="D4999" t="s">
        <v>81</v>
      </c>
      <c r="E4999" s="77" t="s">
        <v>106</v>
      </c>
      <c r="F4999" s="77" t="s">
        <v>73</v>
      </c>
      <c r="G4999" s="77" t="s">
        <v>74</v>
      </c>
      <c r="H4999" s="77" t="s">
        <v>123</v>
      </c>
      <c r="I4999" s="77" t="s">
        <v>84</v>
      </c>
      <c r="J4999" s="76">
        <v>0</v>
      </c>
    </row>
    <row r="5000" spans="1:10" x14ac:dyDescent="0.35">
      <c r="A5000" t="s">
        <v>15</v>
      </c>
      <c r="B5000" t="s">
        <v>38</v>
      </c>
      <c r="C5000" s="77" t="s">
        <v>73</v>
      </c>
      <c r="D5000" t="s">
        <v>81</v>
      </c>
      <c r="E5000" s="77" t="s">
        <v>119</v>
      </c>
      <c r="F5000" s="77" t="s">
        <v>73</v>
      </c>
      <c r="G5000" s="77" t="s">
        <v>74</v>
      </c>
      <c r="H5000" s="77" t="s">
        <v>127</v>
      </c>
      <c r="I5000" s="77" t="s">
        <v>84</v>
      </c>
      <c r="J5000" s="76">
        <f>'SUT_EU27 total'!$M$22</f>
        <v>1.9500181678711294E-2</v>
      </c>
    </row>
    <row r="5001" spans="1:10" x14ac:dyDescent="0.35">
      <c r="A5001" t="s">
        <v>15</v>
      </c>
      <c r="B5001" t="s">
        <v>38</v>
      </c>
      <c r="C5001" s="77" t="s">
        <v>73</v>
      </c>
      <c r="D5001" t="s">
        <v>81</v>
      </c>
      <c r="E5001" s="77" t="s">
        <v>124</v>
      </c>
      <c r="F5001" s="77" t="s">
        <v>73</v>
      </c>
      <c r="G5001" s="77" t="s">
        <v>74</v>
      </c>
      <c r="H5001" s="77" t="s">
        <v>127</v>
      </c>
      <c r="I5001" s="77" t="s">
        <v>84</v>
      </c>
      <c r="J5001" s="76" cm="1">
        <f t="array" ref="J5001:J5009">'SUT_EU27 total'!$M$26:$M$34</f>
        <v>1.9404661061278542E-3</v>
      </c>
    </row>
    <row r="5002" spans="1:10" x14ac:dyDescent="0.35">
      <c r="A5002" t="s">
        <v>15</v>
      </c>
      <c r="B5002" t="s">
        <v>38</v>
      </c>
      <c r="C5002" s="77" t="s">
        <v>73</v>
      </c>
      <c r="D5002" t="s">
        <v>81</v>
      </c>
      <c r="E5002" s="77" t="s">
        <v>117</v>
      </c>
      <c r="F5002" s="77" t="s">
        <v>73</v>
      </c>
      <c r="G5002" s="77" t="s">
        <v>74</v>
      </c>
      <c r="H5002" s="77" t="s">
        <v>127</v>
      </c>
      <c r="I5002" s="77" t="s">
        <v>84</v>
      </c>
      <c r="J5002" s="76">
        <v>5.8423628191201782E-3</v>
      </c>
    </row>
    <row r="5003" spans="1:10" x14ac:dyDescent="0.35">
      <c r="A5003" t="s">
        <v>15</v>
      </c>
      <c r="B5003" t="s">
        <v>38</v>
      </c>
      <c r="C5003" s="77" t="s">
        <v>73</v>
      </c>
      <c r="D5003" t="s">
        <v>81</v>
      </c>
      <c r="E5003" s="77" t="s">
        <v>82</v>
      </c>
      <c r="F5003" s="77" t="s">
        <v>73</v>
      </c>
      <c r="G5003" s="77" t="s">
        <v>74</v>
      </c>
      <c r="H5003" s="77" t="s">
        <v>127</v>
      </c>
      <c r="I5003" s="77" t="s">
        <v>84</v>
      </c>
      <c r="J5003" s="76">
        <v>4.8981233243967828E-4</v>
      </c>
    </row>
    <row r="5004" spans="1:10" x14ac:dyDescent="0.35">
      <c r="A5004" t="s">
        <v>15</v>
      </c>
      <c r="B5004" t="s">
        <v>38</v>
      </c>
      <c r="C5004" s="77" t="s">
        <v>73</v>
      </c>
      <c r="D5004" t="s">
        <v>81</v>
      </c>
      <c r="E5004" s="77" t="s">
        <v>125</v>
      </c>
      <c r="F5004" s="77" t="s">
        <v>73</v>
      </c>
      <c r="G5004" s="77" t="s">
        <v>74</v>
      </c>
      <c r="H5004" s="77" t="s">
        <v>127</v>
      </c>
      <c r="I5004" s="77" t="s">
        <v>84</v>
      </c>
      <c r="J5004" s="76">
        <v>2.4658201215687387E-3</v>
      </c>
    </row>
    <row r="5005" spans="1:10" x14ac:dyDescent="0.35">
      <c r="A5005" t="s">
        <v>15</v>
      </c>
      <c r="B5005" t="s">
        <v>38</v>
      </c>
      <c r="C5005" s="77" t="s">
        <v>73</v>
      </c>
      <c r="D5005" t="s">
        <v>81</v>
      </c>
      <c r="E5005" s="77" t="s">
        <v>122</v>
      </c>
      <c r="F5005" s="77" t="s">
        <v>73</v>
      </c>
      <c r="G5005" s="77" t="s">
        <v>74</v>
      </c>
      <c r="H5005" s="77" t="s">
        <v>127</v>
      </c>
      <c r="I5005" s="77" t="s">
        <v>84</v>
      </c>
      <c r="J5005" s="76">
        <v>4.922711058263972E-4</v>
      </c>
    </row>
    <row r="5006" spans="1:10" x14ac:dyDescent="0.35">
      <c r="A5006" t="s">
        <v>15</v>
      </c>
      <c r="B5006" t="s">
        <v>38</v>
      </c>
      <c r="C5006" s="77" t="s">
        <v>73</v>
      </c>
      <c r="D5006" t="s">
        <v>81</v>
      </c>
      <c r="E5006" s="77" t="s">
        <v>126</v>
      </c>
      <c r="F5006" s="77" t="s">
        <v>73</v>
      </c>
      <c r="G5006" s="77" t="s">
        <v>74</v>
      </c>
      <c r="H5006" s="77" t="s">
        <v>127</v>
      </c>
      <c r="I5006" s="77" t="s">
        <v>84</v>
      </c>
      <c r="J5006" s="76">
        <v>0</v>
      </c>
    </row>
    <row r="5007" spans="1:10" x14ac:dyDescent="0.35">
      <c r="A5007" t="s">
        <v>15</v>
      </c>
      <c r="B5007" t="s">
        <v>38</v>
      </c>
      <c r="C5007" s="77" t="s">
        <v>73</v>
      </c>
      <c r="D5007" t="s">
        <v>81</v>
      </c>
      <c r="E5007" s="77" t="s">
        <v>101</v>
      </c>
      <c r="F5007" s="77" t="s">
        <v>73</v>
      </c>
      <c r="G5007" s="77" t="s">
        <v>74</v>
      </c>
      <c r="H5007" s="77" t="s">
        <v>127</v>
      </c>
      <c r="I5007" s="77" t="s">
        <v>84</v>
      </c>
      <c r="J5007" s="76">
        <v>3.6586167200000007E-4</v>
      </c>
    </row>
    <row r="5008" spans="1:10" x14ac:dyDescent="0.35">
      <c r="A5008" t="s">
        <v>15</v>
      </c>
      <c r="B5008" t="s">
        <v>38</v>
      </c>
      <c r="C5008" s="77" t="s">
        <v>73</v>
      </c>
      <c r="D5008" t="s">
        <v>81</v>
      </c>
      <c r="E5008" s="77" t="s">
        <v>104</v>
      </c>
      <c r="F5008" s="77" t="s">
        <v>73</v>
      </c>
      <c r="G5008" s="77" t="s">
        <v>74</v>
      </c>
      <c r="H5008" s="77" t="s">
        <v>127</v>
      </c>
      <c r="I5008" s="77" t="s">
        <v>84</v>
      </c>
      <c r="J5008" s="76">
        <v>6.9272632800000005E-4</v>
      </c>
    </row>
    <row r="5009" spans="1:10" x14ac:dyDescent="0.35">
      <c r="A5009" t="s">
        <v>15</v>
      </c>
      <c r="B5009" t="s">
        <v>38</v>
      </c>
      <c r="C5009" s="77" t="s">
        <v>73</v>
      </c>
      <c r="D5009" t="s">
        <v>81</v>
      </c>
      <c r="E5009" s="77" t="s">
        <v>106</v>
      </c>
      <c r="F5009" s="77" t="s">
        <v>73</v>
      </c>
      <c r="G5009" s="77" t="s">
        <v>74</v>
      </c>
      <c r="H5009" s="77" t="s">
        <v>127</v>
      </c>
      <c r="I5009" s="77" t="s">
        <v>84</v>
      </c>
      <c r="J5009" s="76">
        <v>2.3562119999999999E-3</v>
      </c>
    </row>
    <row r="5010" spans="1:10" x14ac:dyDescent="0.35">
      <c r="A5010" t="s">
        <v>15</v>
      </c>
      <c r="B5010" t="s">
        <v>38</v>
      </c>
      <c r="C5010" s="77" t="s">
        <v>88</v>
      </c>
      <c r="D5010" t="s">
        <v>81</v>
      </c>
      <c r="E5010" s="77" t="s">
        <v>119</v>
      </c>
      <c r="F5010" s="77" t="s">
        <v>73</v>
      </c>
      <c r="G5010" s="77" t="s">
        <v>74</v>
      </c>
      <c r="H5010" s="77" t="s">
        <v>127</v>
      </c>
      <c r="I5010" s="77" t="s">
        <v>84</v>
      </c>
      <c r="J5010" s="76">
        <f>'SUT_EU27 total'!$M$39</f>
        <v>0.16108845734587587</v>
      </c>
    </row>
    <row r="5011" spans="1:10" x14ac:dyDescent="0.35">
      <c r="A5011" t="s">
        <v>15</v>
      </c>
      <c r="B5011" t="s">
        <v>38</v>
      </c>
      <c r="C5011" s="77" t="s">
        <v>88</v>
      </c>
      <c r="D5011" t="s">
        <v>81</v>
      </c>
      <c r="E5011" s="77" t="s">
        <v>124</v>
      </c>
      <c r="F5011" s="77" t="s">
        <v>73</v>
      </c>
      <c r="G5011" s="77" t="s">
        <v>74</v>
      </c>
      <c r="H5011" s="77" t="s">
        <v>127</v>
      </c>
      <c r="I5011" s="77" t="s">
        <v>84</v>
      </c>
      <c r="J5011" s="76" cm="1">
        <f t="array" ref="J5011:J5019">'SUT_EU27 total'!$L$43:$L$51</f>
        <v>5.0558836222750793E-4</v>
      </c>
    </row>
    <row r="5012" spans="1:10" x14ac:dyDescent="0.35">
      <c r="A5012" t="s">
        <v>15</v>
      </c>
      <c r="B5012" t="s">
        <v>38</v>
      </c>
      <c r="C5012" s="77" t="s">
        <v>88</v>
      </c>
      <c r="D5012" t="s">
        <v>81</v>
      </c>
      <c r="E5012" s="77" t="s">
        <v>117</v>
      </c>
      <c r="F5012" s="77" t="s">
        <v>73</v>
      </c>
      <c r="G5012" s="77" t="s">
        <v>74</v>
      </c>
      <c r="H5012" s="77" t="s">
        <v>127</v>
      </c>
      <c r="I5012" s="77" t="s">
        <v>84</v>
      </c>
      <c r="J5012" s="76">
        <v>4.8514464106651379E-3</v>
      </c>
    </row>
    <row r="5013" spans="1:10" x14ac:dyDescent="0.35">
      <c r="A5013" t="s">
        <v>15</v>
      </c>
      <c r="B5013" t="s">
        <v>38</v>
      </c>
      <c r="C5013" s="77" t="s">
        <v>88</v>
      </c>
      <c r="D5013" t="s">
        <v>81</v>
      </c>
      <c r="E5013" s="77" t="s">
        <v>82</v>
      </c>
      <c r="F5013" s="77" t="s">
        <v>73</v>
      </c>
      <c r="G5013" s="77" t="s">
        <v>74</v>
      </c>
      <c r="H5013" s="77" t="s">
        <v>127</v>
      </c>
      <c r="I5013" s="77" t="s">
        <v>84</v>
      </c>
      <c r="J5013" s="76">
        <v>1.109418436791091E-2</v>
      </c>
    </row>
    <row r="5014" spans="1:10" x14ac:dyDescent="0.35">
      <c r="A5014" t="s">
        <v>15</v>
      </c>
      <c r="B5014" t="s">
        <v>38</v>
      </c>
      <c r="C5014" s="77" t="s">
        <v>88</v>
      </c>
      <c r="D5014" t="s">
        <v>81</v>
      </c>
      <c r="E5014" s="77" t="s">
        <v>125</v>
      </c>
      <c r="F5014" s="77" t="s">
        <v>73</v>
      </c>
      <c r="G5014" s="77" t="s">
        <v>74</v>
      </c>
      <c r="H5014" s="77" t="s">
        <v>127</v>
      </c>
      <c r="I5014" s="77" t="s">
        <v>84</v>
      </c>
      <c r="J5014" s="76">
        <v>2.890870278990243E-5</v>
      </c>
    </row>
    <row r="5015" spans="1:10" x14ac:dyDescent="0.35">
      <c r="A5015" t="s">
        <v>15</v>
      </c>
      <c r="B5015" t="s">
        <v>38</v>
      </c>
      <c r="C5015" s="77" t="s">
        <v>88</v>
      </c>
      <c r="D5015" t="s">
        <v>81</v>
      </c>
      <c r="E5015" s="77" t="s">
        <v>122</v>
      </c>
      <c r="F5015" s="77" t="s">
        <v>73</v>
      </c>
      <c r="G5015" s="77" t="s">
        <v>74</v>
      </c>
      <c r="H5015" s="77" t="s">
        <v>127</v>
      </c>
      <c r="I5015" s="77" t="s">
        <v>84</v>
      </c>
      <c r="J5015" s="76">
        <v>0</v>
      </c>
    </row>
    <row r="5016" spans="1:10" x14ac:dyDescent="0.35">
      <c r="A5016" t="s">
        <v>15</v>
      </c>
      <c r="B5016" t="s">
        <v>38</v>
      </c>
      <c r="C5016" s="77" t="s">
        <v>88</v>
      </c>
      <c r="D5016" t="s">
        <v>81</v>
      </c>
      <c r="E5016" s="77" t="s">
        <v>126</v>
      </c>
      <c r="F5016" s="77" t="s">
        <v>73</v>
      </c>
      <c r="G5016" s="77" t="s">
        <v>74</v>
      </c>
      <c r="H5016" s="77" t="s">
        <v>127</v>
      </c>
      <c r="I5016" s="77" t="s">
        <v>84</v>
      </c>
      <c r="J5016" s="76">
        <v>2.8514320987501449E-3</v>
      </c>
    </row>
    <row r="5017" spans="1:10" x14ac:dyDescent="0.35">
      <c r="A5017" t="s">
        <v>15</v>
      </c>
      <c r="B5017" t="s">
        <v>38</v>
      </c>
      <c r="C5017" s="77" t="s">
        <v>88</v>
      </c>
      <c r="D5017" t="s">
        <v>81</v>
      </c>
      <c r="E5017" s="77" t="s">
        <v>101</v>
      </c>
      <c r="F5017" s="77" t="s">
        <v>73</v>
      </c>
      <c r="G5017" s="77" t="s">
        <v>74</v>
      </c>
      <c r="H5017" s="77" t="s">
        <v>127</v>
      </c>
      <c r="I5017" s="77" t="s">
        <v>84</v>
      </c>
      <c r="J5017" s="76">
        <v>0</v>
      </c>
    </row>
    <row r="5018" spans="1:10" x14ac:dyDescent="0.35">
      <c r="A5018" t="s">
        <v>15</v>
      </c>
      <c r="B5018" t="s">
        <v>38</v>
      </c>
      <c r="C5018" s="77" t="s">
        <v>88</v>
      </c>
      <c r="D5018" t="s">
        <v>81</v>
      </c>
      <c r="E5018" s="77" t="s">
        <v>104</v>
      </c>
      <c r="F5018" s="77" t="s">
        <v>73</v>
      </c>
      <c r="G5018" s="77" t="s">
        <v>74</v>
      </c>
      <c r="H5018" s="77" t="s">
        <v>127</v>
      </c>
      <c r="I5018" s="77" t="s">
        <v>84</v>
      </c>
      <c r="J5018" s="76">
        <v>0</v>
      </c>
    </row>
    <row r="5019" spans="1:10" x14ac:dyDescent="0.35">
      <c r="A5019" t="s">
        <v>15</v>
      </c>
      <c r="B5019" t="s">
        <v>38</v>
      </c>
      <c r="C5019" s="77" t="s">
        <v>88</v>
      </c>
      <c r="D5019" t="s">
        <v>81</v>
      </c>
      <c r="E5019" s="77" t="s">
        <v>106</v>
      </c>
      <c r="F5019" s="77" t="s">
        <v>73</v>
      </c>
      <c r="G5019" s="77" t="s">
        <v>74</v>
      </c>
      <c r="H5019" s="77" t="s">
        <v>127</v>
      </c>
      <c r="I5019" s="77" t="s">
        <v>84</v>
      </c>
      <c r="J5019" s="76">
        <v>0</v>
      </c>
    </row>
    <row r="5020" spans="1:10" x14ac:dyDescent="0.35">
      <c r="A5020" t="s">
        <v>15</v>
      </c>
      <c r="B5020" t="s">
        <v>38</v>
      </c>
      <c r="C5020" s="77" t="s">
        <v>90</v>
      </c>
      <c r="D5020" t="s">
        <v>81</v>
      </c>
      <c r="E5020" s="77" t="s">
        <v>119</v>
      </c>
      <c r="F5020" s="77" t="s">
        <v>73</v>
      </c>
      <c r="G5020" s="77" t="s">
        <v>74</v>
      </c>
      <c r="H5020" s="77" t="s">
        <v>127</v>
      </c>
      <c r="I5020" s="77" t="s">
        <v>84</v>
      </c>
      <c r="J5020" s="76">
        <f>'SUT_EU27 total'!$M$56</f>
        <v>2.949251079979006E-2</v>
      </c>
    </row>
    <row r="5021" spans="1:10" x14ac:dyDescent="0.35">
      <c r="A5021" t="s">
        <v>15</v>
      </c>
      <c r="B5021" t="s">
        <v>38</v>
      </c>
      <c r="C5021" s="77" t="s">
        <v>90</v>
      </c>
      <c r="D5021" t="s">
        <v>81</v>
      </c>
      <c r="E5021" s="77" t="s">
        <v>124</v>
      </c>
      <c r="F5021" s="77" t="s">
        <v>73</v>
      </c>
      <c r="G5021" s="77" t="s">
        <v>74</v>
      </c>
      <c r="H5021" s="77" t="s">
        <v>127</v>
      </c>
      <c r="I5021" s="77" t="s">
        <v>84</v>
      </c>
      <c r="J5021" s="76" cm="1">
        <f t="array" ref="J5021:J5029">'SUT_EU27 total'!$M$60:$M$68</f>
        <v>2.1047443073980527E-5</v>
      </c>
    </row>
    <row r="5022" spans="1:10" x14ac:dyDescent="0.35">
      <c r="A5022" t="s">
        <v>15</v>
      </c>
      <c r="B5022" t="s">
        <v>38</v>
      </c>
      <c r="C5022" s="77" t="s">
        <v>90</v>
      </c>
      <c r="D5022" t="s">
        <v>81</v>
      </c>
      <c r="E5022" s="77" t="s">
        <v>117</v>
      </c>
      <c r="F5022" s="77" t="s">
        <v>73</v>
      </c>
      <c r="G5022" s="77" t="s">
        <v>74</v>
      </c>
      <c r="H5022" s="77" t="s">
        <v>127</v>
      </c>
      <c r="I5022" s="77" t="s">
        <v>84</v>
      </c>
      <c r="J5022" s="76">
        <v>5.8414015621608938E-3</v>
      </c>
    </row>
    <row r="5023" spans="1:10" x14ac:dyDescent="0.35">
      <c r="A5023" t="s">
        <v>15</v>
      </c>
      <c r="B5023" t="s">
        <v>38</v>
      </c>
      <c r="C5023" s="77" t="s">
        <v>90</v>
      </c>
      <c r="D5023" t="s">
        <v>81</v>
      </c>
      <c r="E5023" s="77" t="s">
        <v>82</v>
      </c>
      <c r="F5023" s="77" t="s">
        <v>73</v>
      </c>
      <c r="G5023" s="77" t="s">
        <v>74</v>
      </c>
      <c r="H5023" s="77" t="s">
        <v>127</v>
      </c>
      <c r="I5023" s="77" t="s">
        <v>84</v>
      </c>
      <c r="J5023" s="76">
        <v>1.4521138379047227E-3</v>
      </c>
    </row>
    <row r="5024" spans="1:10" x14ac:dyDescent="0.35">
      <c r="A5024" t="s">
        <v>15</v>
      </c>
      <c r="B5024" t="s">
        <v>38</v>
      </c>
      <c r="C5024" s="77" t="s">
        <v>90</v>
      </c>
      <c r="D5024" t="s">
        <v>81</v>
      </c>
      <c r="E5024" s="77" t="s">
        <v>125</v>
      </c>
      <c r="F5024" s="77" t="s">
        <v>73</v>
      </c>
      <c r="G5024" s="77" t="s">
        <v>74</v>
      </c>
      <c r="H5024" s="77" t="s">
        <v>127</v>
      </c>
      <c r="I5024" s="77" t="s">
        <v>84</v>
      </c>
      <c r="J5024" s="76">
        <v>6.5130870114372285E-5</v>
      </c>
    </row>
    <row r="5025" spans="1:10" x14ac:dyDescent="0.35">
      <c r="A5025" t="s">
        <v>15</v>
      </c>
      <c r="B5025" t="s">
        <v>38</v>
      </c>
      <c r="C5025" s="77" t="s">
        <v>90</v>
      </c>
      <c r="D5025" t="s">
        <v>81</v>
      </c>
      <c r="E5025" s="77" t="s">
        <v>122</v>
      </c>
      <c r="F5025" s="77" t="s">
        <v>73</v>
      </c>
      <c r="G5025" s="77" t="s">
        <v>74</v>
      </c>
      <c r="H5025" s="77" t="s">
        <v>127</v>
      </c>
      <c r="I5025" s="77" t="s">
        <v>84</v>
      </c>
      <c r="J5025" s="76">
        <v>7.9476813317479189E-4</v>
      </c>
    </row>
    <row r="5026" spans="1:10" x14ac:dyDescent="0.35">
      <c r="A5026" t="s">
        <v>15</v>
      </c>
      <c r="B5026" t="s">
        <v>38</v>
      </c>
      <c r="C5026" s="77" t="s">
        <v>90</v>
      </c>
      <c r="D5026" t="s">
        <v>81</v>
      </c>
      <c r="E5026" s="77" t="s">
        <v>126</v>
      </c>
      <c r="F5026" s="77" t="s">
        <v>73</v>
      </c>
      <c r="G5026" s="77" t="s">
        <v>74</v>
      </c>
      <c r="H5026" s="77" t="s">
        <v>127</v>
      </c>
      <c r="I5026" s="77" t="s">
        <v>84</v>
      </c>
      <c r="J5026" s="76">
        <v>8.4821183458843076E-3</v>
      </c>
    </row>
    <row r="5027" spans="1:10" x14ac:dyDescent="0.35">
      <c r="A5027" t="s">
        <v>15</v>
      </c>
      <c r="B5027" t="s">
        <v>38</v>
      </c>
      <c r="C5027" s="77" t="s">
        <v>90</v>
      </c>
      <c r="D5027" t="s">
        <v>81</v>
      </c>
      <c r="E5027" s="77" t="s">
        <v>101</v>
      </c>
      <c r="F5027" s="77" t="s">
        <v>73</v>
      </c>
      <c r="G5027" s="77" t="s">
        <v>74</v>
      </c>
      <c r="H5027" s="77" t="s">
        <v>127</v>
      </c>
      <c r="I5027" s="77" t="s">
        <v>84</v>
      </c>
      <c r="J5027" s="76">
        <v>0</v>
      </c>
    </row>
    <row r="5028" spans="1:10" x14ac:dyDescent="0.35">
      <c r="A5028" t="s">
        <v>15</v>
      </c>
      <c r="B5028" t="s">
        <v>38</v>
      </c>
      <c r="C5028" s="77" t="s">
        <v>90</v>
      </c>
      <c r="D5028" t="s">
        <v>81</v>
      </c>
      <c r="E5028" s="77" t="s">
        <v>104</v>
      </c>
      <c r="F5028" s="77" t="s">
        <v>73</v>
      </c>
      <c r="G5028" s="77" t="s">
        <v>74</v>
      </c>
      <c r="H5028" s="77" t="s">
        <v>127</v>
      </c>
      <c r="I5028" s="77" t="s">
        <v>84</v>
      </c>
      <c r="J5028" s="76">
        <v>0</v>
      </c>
    </row>
    <row r="5029" spans="1:10" x14ac:dyDescent="0.35">
      <c r="A5029" t="s">
        <v>15</v>
      </c>
      <c r="B5029" t="s">
        <v>38</v>
      </c>
      <c r="C5029" s="77" t="s">
        <v>90</v>
      </c>
      <c r="D5029" t="s">
        <v>81</v>
      </c>
      <c r="E5029" s="77" t="s">
        <v>106</v>
      </c>
      <c r="F5029" s="77" t="s">
        <v>73</v>
      </c>
      <c r="G5029" s="77" t="s">
        <v>74</v>
      </c>
      <c r="H5029" s="77" t="s">
        <v>127</v>
      </c>
      <c r="I5029" s="77" t="s">
        <v>84</v>
      </c>
      <c r="J5029" s="76">
        <v>0</v>
      </c>
    </row>
    <row r="5030" spans="1:10" x14ac:dyDescent="0.35">
      <c r="A5030" t="s">
        <v>15</v>
      </c>
      <c r="B5030" t="s">
        <v>38</v>
      </c>
      <c r="C5030" s="77" t="s">
        <v>91</v>
      </c>
      <c r="D5030" t="s">
        <v>81</v>
      </c>
      <c r="E5030" s="77" t="s">
        <v>119</v>
      </c>
      <c r="F5030" s="77" t="s">
        <v>73</v>
      </c>
      <c r="G5030" s="77" t="s">
        <v>74</v>
      </c>
      <c r="H5030" s="77" t="s">
        <v>127</v>
      </c>
      <c r="I5030" s="77" t="s">
        <v>84</v>
      </c>
      <c r="J5030" s="76">
        <f>'SUT_EU27 total'!$M$73</f>
        <v>0.15097500908393557</v>
      </c>
    </row>
    <row r="5031" spans="1:10" x14ac:dyDescent="0.35">
      <c r="A5031" t="s">
        <v>15</v>
      </c>
      <c r="B5031" t="s">
        <v>38</v>
      </c>
      <c r="C5031" s="77" t="s">
        <v>91</v>
      </c>
      <c r="D5031" t="s">
        <v>81</v>
      </c>
      <c r="E5031" s="77" t="s">
        <v>124</v>
      </c>
      <c r="F5031" s="77" t="s">
        <v>73</v>
      </c>
      <c r="G5031" s="77" t="s">
        <v>74</v>
      </c>
      <c r="H5031" s="77" t="s">
        <v>127</v>
      </c>
      <c r="I5031" s="77" t="s">
        <v>84</v>
      </c>
      <c r="J5031" s="76" cm="1">
        <f t="array" ref="J5031:J5039">'SUT_EU27 total'!$M$77:$M$85</f>
        <v>6.7728942399646885E-5</v>
      </c>
    </row>
    <row r="5032" spans="1:10" x14ac:dyDescent="0.35">
      <c r="A5032" t="s">
        <v>15</v>
      </c>
      <c r="B5032" t="s">
        <v>38</v>
      </c>
      <c r="C5032" s="77" t="s">
        <v>91</v>
      </c>
      <c r="D5032" t="s">
        <v>81</v>
      </c>
      <c r="E5032" s="77" t="s">
        <v>117</v>
      </c>
      <c r="F5032" s="77" t="s">
        <v>73</v>
      </c>
      <c r="G5032" s="77" t="s">
        <v>74</v>
      </c>
      <c r="H5032" s="77" t="s">
        <v>127</v>
      </c>
      <c r="I5032" s="77" t="s">
        <v>84</v>
      </c>
      <c r="J5032" s="76">
        <v>5.6233849622410815E-3</v>
      </c>
    </row>
    <row r="5033" spans="1:10" x14ac:dyDescent="0.35">
      <c r="A5033" t="s">
        <v>15</v>
      </c>
      <c r="B5033" t="s">
        <v>38</v>
      </c>
      <c r="C5033" s="77" t="s">
        <v>91</v>
      </c>
      <c r="D5033" t="s">
        <v>81</v>
      </c>
      <c r="E5033" s="77" t="s">
        <v>82</v>
      </c>
      <c r="F5033" s="77" t="s">
        <v>73</v>
      </c>
      <c r="G5033" s="77" t="s">
        <v>74</v>
      </c>
      <c r="H5033" s="77" t="s">
        <v>127</v>
      </c>
      <c r="I5033" s="77" t="s">
        <v>84</v>
      </c>
      <c r="J5033" s="76">
        <v>1.8068055269127655E-3</v>
      </c>
    </row>
    <row r="5034" spans="1:10" x14ac:dyDescent="0.35">
      <c r="A5034" t="s">
        <v>15</v>
      </c>
      <c r="B5034" t="s">
        <v>38</v>
      </c>
      <c r="C5034" s="77" t="s">
        <v>91</v>
      </c>
      <c r="D5034" t="s">
        <v>81</v>
      </c>
      <c r="E5034" s="77" t="s">
        <v>125</v>
      </c>
      <c r="F5034" s="77" t="s">
        <v>73</v>
      </c>
      <c r="G5034" s="77" t="s">
        <v>74</v>
      </c>
      <c r="H5034" s="77" t="s">
        <v>127</v>
      </c>
      <c r="I5034" s="77" t="s">
        <v>84</v>
      </c>
      <c r="J5034" s="76">
        <v>5.6492118062760293E-6</v>
      </c>
    </row>
    <row r="5035" spans="1:10" x14ac:dyDescent="0.35">
      <c r="A5035" t="s">
        <v>15</v>
      </c>
      <c r="B5035" t="s">
        <v>38</v>
      </c>
      <c r="C5035" s="77" t="s">
        <v>91</v>
      </c>
      <c r="D5035" t="s">
        <v>81</v>
      </c>
      <c r="E5035" s="77" t="s">
        <v>122</v>
      </c>
      <c r="F5035" s="77" t="s">
        <v>73</v>
      </c>
      <c r="G5035" s="77" t="s">
        <v>74</v>
      </c>
      <c r="H5035" s="77" t="s">
        <v>127</v>
      </c>
      <c r="I5035" s="77" t="s">
        <v>84</v>
      </c>
      <c r="J5035" s="76">
        <v>0</v>
      </c>
    </row>
    <row r="5036" spans="1:10" x14ac:dyDescent="0.35">
      <c r="A5036" t="s">
        <v>15</v>
      </c>
      <c r="B5036" t="s">
        <v>38</v>
      </c>
      <c r="C5036" s="77" t="s">
        <v>91</v>
      </c>
      <c r="D5036" t="s">
        <v>81</v>
      </c>
      <c r="E5036" s="77" t="s">
        <v>126</v>
      </c>
      <c r="F5036" s="77" t="s">
        <v>73</v>
      </c>
      <c r="G5036" s="77" t="s">
        <v>74</v>
      </c>
      <c r="H5036" s="77" t="s">
        <v>127</v>
      </c>
      <c r="I5036" s="77" t="s">
        <v>84</v>
      </c>
      <c r="J5036" s="76">
        <v>8.1093795177776388E-4</v>
      </c>
    </row>
    <row r="5037" spans="1:10" x14ac:dyDescent="0.35">
      <c r="A5037" t="s">
        <v>15</v>
      </c>
      <c r="B5037" t="s">
        <v>38</v>
      </c>
      <c r="C5037" s="77" t="s">
        <v>91</v>
      </c>
      <c r="D5037" t="s">
        <v>81</v>
      </c>
      <c r="E5037" s="77" t="s">
        <v>101</v>
      </c>
      <c r="F5037" s="77" t="s">
        <v>73</v>
      </c>
      <c r="G5037" s="77" t="s">
        <v>74</v>
      </c>
      <c r="H5037" s="77" t="s">
        <v>127</v>
      </c>
      <c r="I5037" s="77" t="s">
        <v>84</v>
      </c>
      <c r="J5037" s="76">
        <v>0</v>
      </c>
    </row>
    <row r="5038" spans="1:10" x14ac:dyDescent="0.35">
      <c r="A5038" t="s">
        <v>15</v>
      </c>
      <c r="B5038" t="s">
        <v>38</v>
      </c>
      <c r="C5038" s="77" t="s">
        <v>91</v>
      </c>
      <c r="D5038" t="s">
        <v>81</v>
      </c>
      <c r="E5038" s="77" t="s">
        <v>104</v>
      </c>
      <c r="F5038" s="77" t="s">
        <v>73</v>
      </c>
      <c r="G5038" s="77" t="s">
        <v>74</v>
      </c>
      <c r="H5038" s="77" t="s">
        <v>127</v>
      </c>
      <c r="I5038" s="77" t="s">
        <v>84</v>
      </c>
      <c r="J5038" s="76">
        <v>0</v>
      </c>
    </row>
    <row r="5039" spans="1:10" x14ac:dyDescent="0.35">
      <c r="A5039" t="s">
        <v>15</v>
      </c>
      <c r="B5039" t="s">
        <v>38</v>
      </c>
      <c r="C5039" s="77" t="s">
        <v>91</v>
      </c>
      <c r="D5039" t="s">
        <v>81</v>
      </c>
      <c r="E5039" s="77" t="s">
        <v>106</v>
      </c>
      <c r="F5039" s="77" t="s">
        <v>73</v>
      </c>
      <c r="G5039" s="77" t="s">
        <v>74</v>
      </c>
      <c r="H5039" s="77" t="s">
        <v>127</v>
      </c>
      <c r="I5039" s="77" t="s">
        <v>84</v>
      </c>
      <c r="J5039" s="76">
        <v>0</v>
      </c>
    </row>
    <row r="5040" spans="1:10" x14ac:dyDescent="0.35">
      <c r="A5040" t="s">
        <v>15</v>
      </c>
      <c r="B5040" t="s">
        <v>38</v>
      </c>
      <c r="C5040" s="77" t="s">
        <v>92</v>
      </c>
      <c r="D5040" t="s">
        <v>81</v>
      </c>
      <c r="E5040" s="77" t="s">
        <v>119</v>
      </c>
      <c r="F5040" s="77" t="s">
        <v>73</v>
      </c>
      <c r="G5040" s="77" t="s">
        <v>74</v>
      </c>
      <c r="H5040" s="77" t="s">
        <v>127</v>
      </c>
      <c r="I5040" s="77" t="s">
        <v>84</v>
      </c>
      <c r="J5040" s="76">
        <f>'SUT_EU27 total'!$M$90</f>
        <v>0.13886309499777949</v>
      </c>
    </row>
    <row r="5041" spans="1:10" x14ac:dyDescent="0.35">
      <c r="A5041" t="s">
        <v>15</v>
      </c>
      <c r="B5041" t="s">
        <v>38</v>
      </c>
      <c r="C5041" s="77" t="s">
        <v>92</v>
      </c>
      <c r="D5041" t="s">
        <v>81</v>
      </c>
      <c r="E5041" s="77" t="s">
        <v>124</v>
      </c>
      <c r="F5041" s="77" t="s">
        <v>73</v>
      </c>
      <c r="G5041" s="77" t="s">
        <v>74</v>
      </c>
      <c r="H5041" s="77" t="s">
        <v>127</v>
      </c>
      <c r="I5041" s="77" t="s">
        <v>84</v>
      </c>
      <c r="J5041" s="76" cm="1">
        <f t="array" ref="J5041:J5049">'SUT_EU27 total'!$M$94:$M$102</f>
        <v>9.2968907089085616E-5</v>
      </c>
    </row>
    <row r="5042" spans="1:10" x14ac:dyDescent="0.35">
      <c r="A5042" t="s">
        <v>15</v>
      </c>
      <c r="B5042" t="s">
        <v>38</v>
      </c>
      <c r="C5042" s="77" t="s">
        <v>92</v>
      </c>
      <c r="D5042" t="s">
        <v>81</v>
      </c>
      <c r="E5042" s="77" t="s">
        <v>117</v>
      </c>
      <c r="F5042" s="77" t="s">
        <v>73</v>
      </c>
      <c r="G5042" s="77" t="s">
        <v>74</v>
      </c>
      <c r="H5042" s="77" t="s">
        <v>127</v>
      </c>
      <c r="I5042" s="77" t="s">
        <v>84</v>
      </c>
      <c r="J5042" s="76">
        <v>0</v>
      </c>
    </row>
    <row r="5043" spans="1:10" x14ac:dyDescent="0.35">
      <c r="A5043" t="s">
        <v>15</v>
      </c>
      <c r="B5043" t="s">
        <v>38</v>
      </c>
      <c r="C5043" s="77" t="s">
        <v>92</v>
      </c>
      <c r="D5043" t="s">
        <v>81</v>
      </c>
      <c r="E5043" s="77" t="s">
        <v>82</v>
      </c>
      <c r="F5043" s="77" t="s">
        <v>73</v>
      </c>
      <c r="G5043" s="77" t="s">
        <v>74</v>
      </c>
      <c r="H5043" s="77" t="s">
        <v>127</v>
      </c>
      <c r="I5043" s="77" t="s">
        <v>84</v>
      </c>
      <c r="J5043" s="76">
        <v>1.1251392039595793E-3</v>
      </c>
    </row>
    <row r="5044" spans="1:10" x14ac:dyDescent="0.35">
      <c r="A5044" t="s">
        <v>15</v>
      </c>
      <c r="B5044" t="s">
        <v>38</v>
      </c>
      <c r="C5044" s="77" t="s">
        <v>92</v>
      </c>
      <c r="D5044" t="s">
        <v>81</v>
      </c>
      <c r="E5044" s="77" t="s">
        <v>125</v>
      </c>
      <c r="F5044" s="77" t="s">
        <v>73</v>
      </c>
      <c r="G5044" s="77" t="s">
        <v>74</v>
      </c>
      <c r="H5044" s="77" t="s">
        <v>127</v>
      </c>
      <c r="I5044" s="77" t="s">
        <v>84</v>
      </c>
      <c r="J5044" s="76">
        <v>5.0048817841215026E-7</v>
      </c>
    </row>
    <row r="5045" spans="1:10" x14ac:dyDescent="0.35">
      <c r="A5045" t="s">
        <v>15</v>
      </c>
      <c r="B5045" t="s">
        <v>38</v>
      </c>
      <c r="C5045" s="77" t="s">
        <v>92</v>
      </c>
      <c r="D5045" t="s">
        <v>81</v>
      </c>
      <c r="E5045" s="77" t="s">
        <v>122</v>
      </c>
      <c r="F5045" s="77" t="s">
        <v>73</v>
      </c>
      <c r="G5045" s="77" t="s">
        <v>74</v>
      </c>
      <c r="H5045" s="77" t="s">
        <v>127</v>
      </c>
      <c r="I5045" s="77" t="s">
        <v>84</v>
      </c>
      <c r="J5045" s="76">
        <v>0</v>
      </c>
    </row>
    <row r="5046" spans="1:10" x14ac:dyDescent="0.35">
      <c r="A5046" t="s">
        <v>15</v>
      </c>
      <c r="B5046" t="s">
        <v>38</v>
      </c>
      <c r="C5046" s="77" t="s">
        <v>92</v>
      </c>
      <c r="D5046" t="s">
        <v>81</v>
      </c>
      <c r="E5046" s="77" t="s">
        <v>126</v>
      </c>
      <c r="F5046" s="77" t="s">
        <v>73</v>
      </c>
      <c r="G5046" s="77" t="s">
        <v>74</v>
      </c>
      <c r="H5046" s="77" t="s">
        <v>127</v>
      </c>
      <c r="I5046" s="77" t="s">
        <v>84</v>
      </c>
      <c r="J5046" s="76">
        <v>0</v>
      </c>
    </row>
    <row r="5047" spans="1:10" x14ac:dyDescent="0.35">
      <c r="A5047" t="s">
        <v>15</v>
      </c>
      <c r="B5047" t="s">
        <v>38</v>
      </c>
      <c r="C5047" s="77" t="s">
        <v>92</v>
      </c>
      <c r="D5047" t="s">
        <v>81</v>
      </c>
      <c r="E5047" s="77" t="s">
        <v>101</v>
      </c>
      <c r="F5047" s="77" t="s">
        <v>73</v>
      </c>
      <c r="G5047" s="77" t="s">
        <v>74</v>
      </c>
      <c r="H5047" s="77" t="s">
        <v>127</v>
      </c>
      <c r="I5047" s="77" t="s">
        <v>84</v>
      </c>
      <c r="J5047" s="76">
        <v>0</v>
      </c>
    </row>
    <row r="5048" spans="1:10" x14ac:dyDescent="0.35">
      <c r="A5048" t="s">
        <v>15</v>
      </c>
      <c r="B5048" t="s">
        <v>38</v>
      </c>
      <c r="C5048" s="77" t="s">
        <v>92</v>
      </c>
      <c r="D5048" t="s">
        <v>81</v>
      </c>
      <c r="E5048" s="77" t="s">
        <v>104</v>
      </c>
      <c r="F5048" s="77" t="s">
        <v>73</v>
      </c>
      <c r="G5048" s="77" t="s">
        <v>74</v>
      </c>
      <c r="H5048" s="77" t="s">
        <v>127</v>
      </c>
      <c r="I5048" s="77" t="s">
        <v>84</v>
      </c>
      <c r="J5048" s="76">
        <v>0</v>
      </c>
    </row>
    <row r="5049" spans="1:10" x14ac:dyDescent="0.35">
      <c r="A5049" t="s">
        <v>15</v>
      </c>
      <c r="B5049" t="s">
        <v>38</v>
      </c>
      <c r="C5049" s="77" t="s">
        <v>92</v>
      </c>
      <c r="D5049" t="s">
        <v>81</v>
      </c>
      <c r="E5049" s="77" t="s">
        <v>106</v>
      </c>
      <c r="F5049" s="77" t="s">
        <v>73</v>
      </c>
      <c r="G5049" s="77" t="s">
        <v>74</v>
      </c>
      <c r="H5049" s="77" t="s">
        <v>127</v>
      </c>
      <c r="I5049" s="77" t="s">
        <v>84</v>
      </c>
      <c r="J5049" s="76">
        <v>0</v>
      </c>
    </row>
    <row r="5050" spans="1:10" x14ac:dyDescent="0.35">
      <c r="A5050" t="s">
        <v>15</v>
      </c>
      <c r="B5050" t="s">
        <v>38</v>
      </c>
      <c r="C5050" s="77" t="s">
        <v>93</v>
      </c>
      <c r="D5050" t="s">
        <v>81</v>
      </c>
      <c r="E5050" s="77" t="s">
        <v>119</v>
      </c>
      <c r="F5050" s="77" t="s">
        <v>73</v>
      </c>
      <c r="G5050" s="77" t="s">
        <v>74</v>
      </c>
      <c r="H5050" s="77" t="s">
        <v>127</v>
      </c>
      <c r="I5050" s="77" t="s">
        <v>84</v>
      </c>
      <c r="J5050" s="76">
        <f>'SUT_EU27 total'!$M$107</f>
        <v>1.0000807460939076</v>
      </c>
    </row>
    <row r="5051" spans="1:10" x14ac:dyDescent="0.35">
      <c r="A5051" t="s">
        <v>15</v>
      </c>
      <c r="B5051" t="s">
        <v>38</v>
      </c>
      <c r="C5051" s="77" t="s">
        <v>93</v>
      </c>
      <c r="D5051" t="s">
        <v>81</v>
      </c>
      <c r="E5051" s="77" t="s">
        <v>124</v>
      </c>
      <c r="F5051" s="77" t="s">
        <v>73</v>
      </c>
      <c r="G5051" s="77" t="s">
        <v>74</v>
      </c>
      <c r="H5051" s="77" t="s">
        <v>127</v>
      </c>
      <c r="I5051" s="77" t="s">
        <v>84</v>
      </c>
      <c r="J5051" s="76" cm="1">
        <f t="array" ref="J5051:J5059">'SUT_EU27 total'!$M$111:$M$119</f>
        <v>3.7052409430862396E-4</v>
      </c>
    </row>
    <row r="5052" spans="1:10" x14ac:dyDescent="0.35">
      <c r="A5052" t="s">
        <v>15</v>
      </c>
      <c r="B5052" t="s">
        <v>38</v>
      </c>
      <c r="C5052" s="77" t="s">
        <v>93</v>
      </c>
      <c r="D5052" t="s">
        <v>81</v>
      </c>
      <c r="E5052" s="77" t="s">
        <v>117</v>
      </c>
      <c r="F5052" s="77" t="s">
        <v>73</v>
      </c>
      <c r="G5052" s="77" t="s">
        <v>74</v>
      </c>
      <c r="H5052" s="77" t="s">
        <v>127</v>
      </c>
      <c r="I5052" s="77" t="s">
        <v>84</v>
      </c>
      <c r="J5052" s="76">
        <v>5.8414042458127093E-3</v>
      </c>
    </row>
    <row r="5053" spans="1:10" x14ac:dyDescent="0.35">
      <c r="A5053" t="s">
        <v>15</v>
      </c>
      <c r="B5053" t="s">
        <v>38</v>
      </c>
      <c r="C5053" s="77" t="s">
        <v>93</v>
      </c>
      <c r="D5053" t="s">
        <v>81</v>
      </c>
      <c r="E5053" s="77" t="s">
        <v>82</v>
      </c>
      <c r="F5053" s="77" t="s">
        <v>73</v>
      </c>
      <c r="G5053" s="77" t="s">
        <v>74</v>
      </c>
      <c r="H5053" s="77" t="s">
        <v>127</v>
      </c>
      <c r="I5053" s="77" t="s">
        <v>84</v>
      </c>
      <c r="J5053" s="76">
        <v>5.0319447308723453E-3</v>
      </c>
    </row>
    <row r="5054" spans="1:10" x14ac:dyDescent="0.35">
      <c r="A5054" t="s">
        <v>15</v>
      </c>
      <c r="B5054" t="s">
        <v>38</v>
      </c>
      <c r="C5054" s="77" t="s">
        <v>93</v>
      </c>
      <c r="D5054" t="s">
        <v>81</v>
      </c>
      <c r="E5054" s="77" t="s">
        <v>125</v>
      </c>
      <c r="F5054" s="77" t="s">
        <v>73</v>
      </c>
      <c r="G5054" s="77" t="s">
        <v>74</v>
      </c>
      <c r="H5054" s="77" t="s">
        <v>127</v>
      </c>
      <c r="I5054" s="77" t="s">
        <v>84</v>
      </c>
      <c r="J5054" s="76">
        <v>4.336096678710085E-4</v>
      </c>
    </row>
    <row r="5055" spans="1:10" x14ac:dyDescent="0.35">
      <c r="A5055" t="s">
        <v>15</v>
      </c>
      <c r="B5055" t="s">
        <v>38</v>
      </c>
      <c r="C5055" s="77" t="s">
        <v>93</v>
      </c>
      <c r="D5055" t="s">
        <v>81</v>
      </c>
      <c r="E5055" s="77" t="s">
        <v>122</v>
      </c>
      <c r="F5055" s="77" t="s">
        <v>73</v>
      </c>
      <c r="G5055" s="77" t="s">
        <v>74</v>
      </c>
      <c r="H5055" s="77" t="s">
        <v>127</v>
      </c>
      <c r="I5055" s="77" t="s">
        <v>84</v>
      </c>
      <c r="J5055" s="76">
        <v>2.7129607609988112E-3</v>
      </c>
    </row>
    <row r="5056" spans="1:10" x14ac:dyDescent="0.35">
      <c r="A5056" t="s">
        <v>15</v>
      </c>
      <c r="B5056" t="s">
        <v>38</v>
      </c>
      <c r="C5056" s="77" t="s">
        <v>93</v>
      </c>
      <c r="D5056" t="s">
        <v>81</v>
      </c>
      <c r="E5056" s="77" t="s">
        <v>126</v>
      </c>
      <c r="F5056" s="77" t="s">
        <v>73</v>
      </c>
      <c r="G5056" s="77" t="s">
        <v>74</v>
      </c>
      <c r="H5056" s="77" t="s">
        <v>127</v>
      </c>
      <c r="I5056" s="77" t="s">
        <v>84</v>
      </c>
      <c r="J5056" s="76">
        <v>4.3855511603587784E-2</v>
      </c>
    </row>
    <row r="5057" spans="1:10" x14ac:dyDescent="0.35">
      <c r="A5057" t="s">
        <v>15</v>
      </c>
      <c r="B5057" t="s">
        <v>38</v>
      </c>
      <c r="C5057" s="77" t="s">
        <v>93</v>
      </c>
      <c r="D5057" t="s">
        <v>81</v>
      </c>
      <c r="E5057" s="77" t="s">
        <v>101</v>
      </c>
      <c r="F5057" s="77" t="s">
        <v>73</v>
      </c>
      <c r="G5057" s="77" t="s">
        <v>74</v>
      </c>
      <c r="H5057" s="77" t="s">
        <v>127</v>
      </c>
      <c r="I5057" s="77" t="s">
        <v>84</v>
      </c>
      <c r="J5057" s="76">
        <v>0</v>
      </c>
    </row>
    <row r="5058" spans="1:10" x14ac:dyDescent="0.35">
      <c r="A5058" t="s">
        <v>15</v>
      </c>
      <c r="B5058" t="s">
        <v>38</v>
      </c>
      <c r="C5058" s="77" t="s">
        <v>93</v>
      </c>
      <c r="D5058" t="s">
        <v>81</v>
      </c>
      <c r="E5058" s="77" t="s">
        <v>104</v>
      </c>
      <c r="F5058" s="77" t="s">
        <v>73</v>
      </c>
      <c r="G5058" s="77" t="s">
        <v>74</v>
      </c>
      <c r="H5058" s="77" t="s">
        <v>127</v>
      </c>
      <c r="I5058" s="77" t="s">
        <v>84</v>
      </c>
      <c r="J5058" s="76">
        <v>0</v>
      </c>
    </row>
    <row r="5059" spans="1:10" x14ac:dyDescent="0.35">
      <c r="A5059" t="s">
        <v>15</v>
      </c>
      <c r="B5059" t="s">
        <v>38</v>
      </c>
      <c r="C5059" s="77" t="s">
        <v>93</v>
      </c>
      <c r="D5059" t="s">
        <v>81</v>
      </c>
      <c r="E5059" s="77" t="s">
        <v>106</v>
      </c>
      <c r="F5059" s="77" t="s">
        <v>73</v>
      </c>
      <c r="G5059" s="77" t="s">
        <v>74</v>
      </c>
      <c r="H5059" s="77" t="s">
        <v>127</v>
      </c>
      <c r="I5059" s="77" t="s">
        <v>84</v>
      </c>
      <c r="J5059" s="76">
        <v>0</v>
      </c>
    </row>
    <row r="5060" spans="1:10" x14ac:dyDescent="0.35">
      <c r="A5060" t="s">
        <v>15</v>
      </c>
      <c r="B5060" t="s">
        <v>38</v>
      </c>
      <c r="C5060" s="77" t="s">
        <v>73</v>
      </c>
      <c r="D5060" t="s">
        <v>81</v>
      </c>
      <c r="E5060" s="77" t="s">
        <v>82</v>
      </c>
      <c r="F5060" s="77" t="s">
        <v>73</v>
      </c>
      <c r="G5060" s="77" t="s">
        <v>74</v>
      </c>
      <c r="H5060" s="77" t="s">
        <v>128</v>
      </c>
      <c r="I5060" s="77" t="s">
        <v>84</v>
      </c>
      <c r="J5060" s="76">
        <f>'SUT_EU27 total'!$N$28</f>
        <v>1.4658301341380521E-2</v>
      </c>
    </row>
    <row r="5061" spans="1:10" x14ac:dyDescent="0.35">
      <c r="A5061" t="s">
        <v>15</v>
      </c>
      <c r="B5061" t="s">
        <v>38</v>
      </c>
      <c r="C5061" s="77" t="s">
        <v>73</v>
      </c>
      <c r="D5061" t="s">
        <v>81</v>
      </c>
      <c r="E5061" s="77" t="s">
        <v>86</v>
      </c>
      <c r="F5061" s="77" t="s">
        <v>73</v>
      </c>
      <c r="G5061" s="77" t="s">
        <v>74</v>
      </c>
      <c r="H5061" s="77" t="s">
        <v>128</v>
      </c>
      <c r="I5061" s="77" t="s">
        <v>84</v>
      </c>
      <c r="J5061" s="76">
        <f>'SUT_EU27 total'!$N$35</f>
        <v>3.0740776778828832E-3</v>
      </c>
    </row>
    <row r="5062" spans="1:10" x14ac:dyDescent="0.35">
      <c r="A5062" t="s">
        <v>15</v>
      </c>
      <c r="B5062" t="s">
        <v>38</v>
      </c>
      <c r="C5062" s="77" t="s">
        <v>88</v>
      </c>
      <c r="D5062" t="s">
        <v>81</v>
      </c>
      <c r="E5062" s="77" t="s">
        <v>82</v>
      </c>
      <c r="F5062" s="77" t="s">
        <v>73</v>
      </c>
      <c r="G5062" s="77" t="s">
        <v>74</v>
      </c>
      <c r="H5062" s="77" t="s">
        <v>128</v>
      </c>
      <c r="I5062" s="77" t="s">
        <v>84</v>
      </c>
      <c r="J5062" s="76">
        <f>'SUT_EU27 total'!$N$45</f>
        <v>9.2276548594747033E-3</v>
      </c>
    </row>
    <row r="5063" spans="1:10" x14ac:dyDescent="0.35">
      <c r="A5063" t="s">
        <v>15</v>
      </c>
      <c r="B5063" t="s">
        <v>38</v>
      </c>
      <c r="C5063" s="77" t="s">
        <v>88</v>
      </c>
      <c r="D5063" t="s">
        <v>81</v>
      </c>
      <c r="E5063" s="77" t="s">
        <v>86</v>
      </c>
      <c r="F5063" s="77" t="s">
        <v>73</v>
      </c>
      <c r="G5063" s="77" t="s">
        <v>74</v>
      </c>
      <c r="H5063" s="77" t="s">
        <v>128</v>
      </c>
      <c r="I5063" s="77" t="s">
        <v>84</v>
      </c>
      <c r="J5063" s="76">
        <f>'SUT_EU27 total'!$N$52</f>
        <v>6.9627451701437512E-2</v>
      </c>
    </row>
    <row r="5064" spans="1:10" x14ac:dyDescent="0.35">
      <c r="A5064" t="s">
        <v>15</v>
      </c>
      <c r="B5064" t="s">
        <v>38</v>
      </c>
      <c r="C5064" s="77" t="s">
        <v>90</v>
      </c>
      <c r="D5064" t="s">
        <v>81</v>
      </c>
      <c r="E5064" s="77" t="s">
        <v>82</v>
      </c>
      <c r="F5064" s="77" t="s">
        <v>73</v>
      </c>
      <c r="G5064" s="77" t="s">
        <v>74</v>
      </c>
      <c r="H5064" s="77" t="s">
        <v>128</v>
      </c>
      <c r="I5064" s="77" t="s">
        <v>84</v>
      </c>
      <c r="J5064" s="76">
        <f>'SUT_EU27 total'!$N$62</f>
        <v>2.2200107734217647E-6</v>
      </c>
    </row>
    <row r="5065" spans="1:10" x14ac:dyDescent="0.35">
      <c r="A5065" t="s">
        <v>15</v>
      </c>
      <c r="B5065" t="s">
        <v>38</v>
      </c>
      <c r="C5065" s="77" t="s">
        <v>90</v>
      </c>
      <c r="D5065" t="s">
        <v>81</v>
      </c>
      <c r="E5065" s="77" t="s">
        <v>86</v>
      </c>
      <c r="F5065" s="77" t="s">
        <v>73</v>
      </c>
      <c r="G5065" s="77" t="s">
        <v>74</v>
      </c>
      <c r="H5065" s="77" t="s">
        <v>128</v>
      </c>
      <c r="I5065" s="77" t="s">
        <v>84</v>
      </c>
      <c r="J5065" s="76">
        <f>'SUT_EU27 total'!$N$69</f>
        <v>9.1135123377023061E-3</v>
      </c>
    </row>
    <row r="5066" spans="1:10" x14ac:dyDescent="0.35">
      <c r="A5066" t="s">
        <v>15</v>
      </c>
      <c r="B5066" t="s">
        <v>38</v>
      </c>
      <c r="C5066" s="77" t="s">
        <v>91</v>
      </c>
      <c r="D5066" t="s">
        <v>81</v>
      </c>
      <c r="E5066" s="77" t="s">
        <v>82</v>
      </c>
      <c r="F5066" s="77" t="s">
        <v>73</v>
      </c>
      <c r="G5066" s="77" t="s">
        <v>74</v>
      </c>
      <c r="H5066" s="77" t="s">
        <v>128</v>
      </c>
      <c r="I5066" s="77" t="s">
        <v>84</v>
      </c>
      <c r="J5066" s="76">
        <f>'SUT_EU27 total'!$N$79</f>
        <v>4.3195382907628159E-4</v>
      </c>
    </row>
    <row r="5067" spans="1:10" x14ac:dyDescent="0.35">
      <c r="A5067" t="s">
        <v>15</v>
      </c>
      <c r="B5067" t="s">
        <v>38</v>
      </c>
      <c r="C5067" s="77" t="s">
        <v>91</v>
      </c>
      <c r="D5067" t="s">
        <v>81</v>
      </c>
      <c r="E5067" s="77" t="s">
        <v>86</v>
      </c>
      <c r="F5067" s="77" t="s">
        <v>73</v>
      </c>
      <c r="G5067" s="77" t="s">
        <v>74</v>
      </c>
      <c r="H5067" s="77" t="s">
        <v>128</v>
      </c>
      <c r="I5067" s="77" t="s">
        <v>84</v>
      </c>
      <c r="J5067" s="76">
        <f>'SUT_EU27 total'!$N$86</f>
        <v>1.1339568587203704E-2</v>
      </c>
    </row>
    <row r="5068" spans="1:10" x14ac:dyDescent="0.35">
      <c r="A5068" t="s">
        <v>15</v>
      </c>
      <c r="B5068" t="s">
        <v>38</v>
      </c>
      <c r="C5068" s="77" t="s">
        <v>92</v>
      </c>
      <c r="D5068" t="s">
        <v>81</v>
      </c>
      <c r="E5068" s="77" t="s">
        <v>82</v>
      </c>
      <c r="F5068" s="77" t="s">
        <v>73</v>
      </c>
      <c r="G5068" s="77" t="s">
        <v>74</v>
      </c>
      <c r="H5068" s="77" t="s">
        <v>128</v>
      </c>
      <c r="I5068" s="77" t="s">
        <v>84</v>
      </c>
      <c r="J5068" s="76">
        <f>'SUT_EU27 total'!$N$96</f>
        <v>5.9963902402539811E-4</v>
      </c>
    </row>
    <row r="5069" spans="1:10" x14ac:dyDescent="0.35">
      <c r="A5069" t="s">
        <v>15</v>
      </c>
      <c r="B5069" t="s">
        <v>38</v>
      </c>
      <c r="C5069" s="77" t="s">
        <v>92</v>
      </c>
      <c r="D5069" t="s">
        <v>81</v>
      </c>
      <c r="E5069" s="77" t="s">
        <v>86</v>
      </c>
      <c r="F5069" s="77" t="s">
        <v>73</v>
      </c>
      <c r="G5069" s="77" t="s">
        <v>74</v>
      </c>
      <c r="H5069" s="77" t="s">
        <v>128</v>
      </c>
      <c r="I5069" s="77" t="s">
        <v>84</v>
      </c>
      <c r="J5069" s="76">
        <f>'SUT_EU27 total'!$N$103</f>
        <v>7.0614092017150581E-3</v>
      </c>
    </row>
    <row r="5070" spans="1:10" x14ac:dyDescent="0.35">
      <c r="A5070" t="s">
        <v>15</v>
      </c>
      <c r="B5070" t="s">
        <v>38</v>
      </c>
      <c r="C5070" s="77" t="s">
        <v>93</v>
      </c>
      <c r="D5070" t="s">
        <v>81</v>
      </c>
      <c r="E5070" s="77" t="s">
        <v>82</v>
      </c>
      <c r="F5070" s="77" t="s">
        <v>73</v>
      </c>
      <c r="G5070" s="77" t="s">
        <v>74</v>
      </c>
      <c r="H5070" s="77" t="s">
        <v>128</v>
      </c>
      <c r="I5070" s="77" t="s">
        <v>84</v>
      </c>
      <c r="J5070" s="76">
        <f>'SUT_EU27 total'!$N$113</f>
        <v>2.4854239602480213E-3</v>
      </c>
    </row>
    <row r="5071" spans="1:10" x14ac:dyDescent="0.35">
      <c r="A5071" t="s">
        <v>15</v>
      </c>
      <c r="B5071" t="s">
        <v>38</v>
      </c>
      <c r="C5071" s="77" t="s">
        <v>93</v>
      </c>
      <c r="D5071" t="s">
        <v>81</v>
      </c>
      <c r="E5071" s="77" t="s">
        <v>86</v>
      </c>
      <c r="F5071" s="77" t="s">
        <v>73</v>
      </c>
      <c r="G5071" s="77" t="s">
        <v>74</v>
      </c>
      <c r="H5071" s="77" t="s">
        <v>128</v>
      </c>
      <c r="I5071" s="77" t="s">
        <v>84</v>
      </c>
      <c r="J5071" s="76">
        <f>'SUT_EU27 total'!$N$120</f>
        <v>3.1580644155014347E-2</v>
      </c>
    </row>
    <row r="5072" spans="1:10" x14ac:dyDescent="0.35">
      <c r="A5072" t="s">
        <v>15</v>
      </c>
      <c r="B5072" t="s">
        <v>38</v>
      </c>
      <c r="C5072" s="77" t="s">
        <v>73</v>
      </c>
      <c r="D5072" t="s">
        <v>81</v>
      </c>
      <c r="E5072" s="77" t="s">
        <v>82</v>
      </c>
      <c r="F5072" s="77" t="s">
        <v>73</v>
      </c>
      <c r="G5072" s="77" t="s">
        <v>74</v>
      </c>
      <c r="H5072" s="77" t="s">
        <v>129</v>
      </c>
      <c r="I5072" s="77" t="s">
        <v>84</v>
      </c>
      <c r="J5072" s="76">
        <f>'SUT_EU27 total'!$O$28</f>
        <v>1.4658301341380521E-2</v>
      </c>
    </row>
    <row r="5073" spans="1:10" x14ac:dyDescent="0.35">
      <c r="A5073" t="s">
        <v>15</v>
      </c>
      <c r="B5073" t="s">
        <v>38</v>
      </c>
      <c r="C5073" s="77" t="s">
        <v>73</v>
      </c>
      <c r="D5073" t="s">
        <v>81</v>
      </c>
      <c r="E5073" s="77" t="s">
        <v>86</v>
      </c>
      <c r="F5073" s="77" t="s">
        <v>73</v>
      </c>
      <c r="G5073" s="77" t="s">
        <v>74</v>
      </c>
      <c r="H5073" s="77" t="s">
        <v>129</v>
      </c>
      <c r="I5073" s="77" t="s">
        <v>84</v>
      </c>
      <c r="J5073" s="76">
        <f>'SUT_EU27 total'!$O$35</f>
        <v>3.0740776778828832E-3</v>
      </c>
    </row>
    <row r="5074" spans="1:10" x14ac:dyDescent="0.35">
      <c r="A5074" t="s">
        <v>15</v>
      </c>
      <c r="B5074" t="s">
        <v>38</v>
      </c>
      <c r="C5074" s="77" t="s">
        <v>88</v>
      </c>
      <c r="D5074" t="s">
        <v>81</v>
      </c>
      <c r="E5074" s="77" t="s">
        <v>82</v>
      </c>
      <c r="F5074" s="77" t="s">
        <v>73</v>
      </c>
      <c r="G5074" s="77" t="s">
        <v>74</v>
      </c>
      <c r="H5074" s="77" t="s">
        <v>129</v>
      </c>
      <c r="I5074" s="77" t="s">
        <v>84</v>
      </c>
      <c r="J5074" s="76">
        <f>'SUT_EU27 total'!$O$45</f>
        <v>9.2276548594747033E-3</v>
      </c>
    </row>
    <row r="5075" spans="1:10" x14ac:dyDescent="0.35">
      <c r="A5075" t="s">
        <v>15</v>
      </c>
      <c r="B5075" t="s">
        <v>38</v>
      </c>
      <c r="C5075" s="77" t="s">
        <v>88</v>
      </c>
      <c r="D5075" t="s">
        <v>81</v>
      </c>
      <c r="E5075" s="77" t="s">
        <v>86</v>
      </c>
      <c r="F5075" s="77" t="s">
        <v>73</v>
      </c>
      <c r="G5075" s="77" t="s">
        <v>74</v>
      </c>
      <c r="H5075" s="77" t="s">
        <v>129</v>
      </c>
      <c r="I5075" s="77" t="s">
        <v>84</v>
      </c>
      <c r="J5075" s="76">
        <f>'SUT_EU27 total'!$O$52</f>
        <v>6.9627451701437512E-2</v>
      </c>
    </row>
    <row r="5076" spans="1:10" x14ac:dyDescent="0.35">
      <c r="A5076" t="s">
        <v>15</v>
      </c>
      <c r="B5076" t="s">
        <v>38</v>
      </c>
      <c r="C5076" s="77" t="s">
        <v>90</v>
      </c>
      <c r="D5076" t="s">
        <v>81</v>
      </c>
      <c r="E5076" s="77" t="s">
        <v>82</v>
      </c>
      <c r="F5076" s="77" t="s">
        <v>73</v>
      </c>
      <c r="G5076" s="77" t="s">
        <v>74</v>
      </c>
      <c r="H5076" s="77" t="s">
        <v>129</v>
      </c>
      <c r="I5076" s="77" t="s">
        <v>84</v>
      </c>
      <c r="J5076" s="76">
        <f>'SUT_EU27 total'!$O$62</f>
        <v>2.2200107734217647E-6</v>
      </c>
    </row>
    <row r="5077" spans="1:10" x14ac:dyDescent="0.35">
      <c r="A5077" t="s">
        <v>15</v>
      </c>
      <c r="B5077" t="s">
        <v>38</v>
      </c>
      <c r="C5077" s="77" t="s">
        <v>90</v>
      </c>
      <c r="D5077" t="s">
        <v>81</v>
      </c>
      <c r="E5077" s="77" t="s">
        <v>86</v>
      </c>
      <c r="F5077" s="77" t="s">
        <v>73</v>
      </c>
      <c r="G5077" s="77" t="s">
        <v>74</v>
      </c>
      <c r="H5077" s="77" t="s">
        <v>129</v>
      </c>
      <c r="I5077" s="77" t="s">
        <v>84</v>
      </c>
      <c r="J5077" s="76">
        <f>'SUT_EU27 total'!$O$69</f>
        <v>9.1135123377023061E-3</v>
      </c>
    </row>
    <row r="5078" spans="1:10" x14ac:dyDescent="0.35">
      <c r="A5078" t="s">
        <v>15</v>
      </c>
      <c r="B5078" t="s">
        <v>38</v>
      </c>
      <c r="C5078" s="77" t="s">
        <v>91</v>
      </c>
      <c r="D5078" t="s">
        <v>81</v>
      </c>
      <c r="E5078" s="77" t="s">
        <v>82</v>
      </c>
      <c r="F5078" s="77" t="s">
        <v>73</v>
      </c>
      <c r="G5078" s="77" t="s">
        <v>74</v>
      </c>
      <c r="H5078" s="77" t="s">
        <v>129</v>
      </c>
      <c r="I5078" s="77" t="s">
        <v>84</v>
      </c>
      <c r="J5078" s="76">
        <f>'SUT_EU27 total'!$O$79</f>
        <v>4.3195382907628159E-4</v>
      </c>
    </row>
    <row r="5079" spans="1:10" x14ac:dyDescent="0.35">
      <c r="A5079" t="s">
        <v>15</v>
      </c>
      <c r="B5079" t="s">
        <v>38</v>
      </c>
      <c r="C5079" s="77" t="s">
        <v>91</v>
      </c>
      <c r="D5079" t="s">
        <v>81</v>
      </c>
      <c r="E5079" s="77" t="s">
        <v>86</v>
      </c>
      <c r="F5079" s="77" t="s">
        <v>73</v>
      </c>
      <c r="G5079" s="77" t="s">
        <v>74</v>
      </c>
      <c r="H5079" s="77" t="s">
        <v>129</v>
      </c>
      <c r="I5079" s="77" t="s">
        <v>84</v>
      </c>
      <c r="J5079" s="76">
        <f>'SUT_EU27 total'!$O$86</f>
        <v>1.1339568587203704E-2</v>
      </c>
    </row>
    <row r="5080" spans="1:10" x14ac:dyDescent="0.35">
      <c r="A5080" t="s">
        <v>15</v>
      </c>
      <c r="B5080" t="s">
        <v>38</v>
      </c>
      <c r="C5080" s="77" t="s">
        <v>92</v>
      </c>
      <c r="D5080" t="s">
        <v>81</v>
      </c>
      <c r="E5080" s="77" t="s">
        <v>82</v>
      </c>
      <c r="F5080" s="77" t="s">
        <v>73</v>
      </c>
      <c r="G5080" s="77" t="s">
        <v>74</v>
      </c>
      <c r="H5080" s="77" t="s">
        <v>129</v>
      </c>
      <c r="I5080" s="77" t="s">
        <v>84</v>
      </c>
      <c r="J5080" s="76">
        <f>'SUT_EU27 total'!$O$96</f>
        <v>5.9963902402539811E-4</v>
      </c>
    </row>
    <row r="5081" spans="1:10" x14ac:dyDescent="0.35">
      <c r="A5081" t="s">
        <v>15</v>
      </c>
      <c r="B5081" t="s">
        <v>38</v>
      </c>
      <c r="C5081" s="77" t="s">
        <v>92</v>
      </c>
      <c r="D5081" t="s">
        <v>81</v>
      </c>
      <c r="E5081" s="77" t="s">
        <v>86</v>
      </c>
      <c r="F5081" s="77" t="s">
        <v>73</v>
      </c>
      <c r="G5081" s="77" t="s">
        <v>74</v>
      </c>
      <c r="H5081" s="77" t="s">
        <v>129</v>
      </c>
      <c r="I5081" s="77" t="s">
        <v>84</v>
      </c>
      <c r="J5081" s="76">
        <f>'SUT_EU27 total'!$O$103</f>
        <v>7.0614092017150581E-3</v>
      </c>
    </row>
    <row r="5082" spans="1:10" x14ac:dyDescent="0.35">
      <c r="A5082" t="s">
        <v>15</v>
      </c>
      <c r="B5082" t="s">
        <v>38</v>
      </c>
      <c r="C5082" s="77" t="s">
        <v>93</v>
      </c>
      <c r="D5082" t="s">
        <v>81</v>
      </c>
      <c r="E5082" s="77" t="s">
        <v>82</v>
      </c>
      <c r="F5082" s="77" t="s">
        <v>73</v>
      </c>
      <c r="G5082" s="77" t="s">
        <v>74</v>
      </c>
      <c r="H5082" s="77" t="s">
        <v>129</v>
      </c>
      <c r="I5082" s="77" t="s">
        <v>84</v>
      </c>
      <c r="J5082" s="76">
        <f>'SUT_EU27 total'!$O$113</f>
        <v>2.4854239602480213E-3</v>
      </c>
    </row>
    <row r="5083" spans="1:10" x14ac:dyDescent="0.35">
      <c r="A5083" t="s">
        <v>15</v>
      </c>
      <c r="B5083" t="s">
        <v>38</v>
      </c>
      <c r="C5083" s="77" t="s">
        <v>93</v>
      </c>
      <c r="D5083" t="s">
        <v>81</v>
      </c>
      <c r="E5083" s="77" t="s">
        <v>86</v>
      </c>
      <c r="F5083" s="77" t="s">
        <v>73</v>
      </c>
      <c r="G5083" s="77" t="s">
        <v>74</v>
      </c>
      <c r="H5083" s="77" t="s">
        <v>129</v>
      </c>
      <c r="I5083" s="77" t="s">
        <v>84</v>
      </c>
      <c r="J5083" s="76">
        <f>'SUT_EU27 total'!$O$120</f>
        <v>3.1580644155014347E-2</v>
      </c>
    </row>
    <row r="5084" spans="1:10" x14ac:dyDescent="0.35">
      <c r="A5084" t="s">
        <v>15</v>
      </c>
      <c r="B5084" t="s">
        <v>38</v>
      </c>
      <c r="C5084" s="77" t="s">
        <v>73</v>
      </c>
      <c r="D5084" t="s">
        <v>81</v>
      </c>
      <c r="E5084" s="77" t="s">
        <v>82</v>
      </c>
      <c r="F5084" s="77" t="s">
        <v>73</v>
      </c>
      <c r="G5084" s="77" t="s">
        <v>74</v>
      </c>
      <c r="H5084" s="77" t="s">
        <v>130</v>
      </c>
      <c r="I5084" s="77" t="s">
        <v>84</v>
      </c>
      <c r="J5084" s="76">
        <f>'SUT_EU27 total'!$Q$28</f>
        <v>7.0611384178638645E-2</v>
      </c>
    </row>
    <row r="5085" spans="1:10" x14ac:dyDescent="0.35">
      <c r="A5085" t="s">
        <v>15</v>
      </c>
      <c r="B5085" t="s">
        <v>38</v>
      </c>
      <c r="C5085" s="77" t="s">
        <v>88</v>
      </c>
      <c r="D5085" t="s">
        <v>81</v>
      </c>
      <c r="E5085" s="77" t="s">
        <v>82</v>
      </c>
      <c r="F5085" s="77" t="s">
        <v>73</v>
      </c>
      <c r="G5085" s="77" t="s">
        <v>74</v>
      </c>
      <c r="H5085" s="77" t="s">
        <v>130</v>
      </c>
      <c r="I5085" s="77" t="s">
        <v>84</v>
      </c>
      <c r="J5085" s="76">
        <f>'SUT_EU27 total'!$Q$45</f>
        <v>4.4451090694311274E-2</v>
      </c>
    </row>
    <row r="5086" spans="1:10" x14ac:dyDescent="0.35">
      <c r="A5086" t="s">
        <v>15</v>
      </c>
      <c r="B5086" t="s">
        <v>38</v>
      </c>
      <c r="C5086" s="77" t="s">
        <v>90</v>
      </c>
      <c r="D5086" t="s">
        <v>81</v>
      </c>
      <c r="E5086" s="77" t="s">
        <v>82</v>
      </c>
      <c r="F5086" s="77" t="s">
        <v>73</v>
      </c>
      <c r="G5086" s="77" t="s">
        <v>74</v>
      </c>
      <c r="H5086" s="77" t="s">
        <v>130</v>
      </c>
      <c r="I5086" s="77" t="s">
        <v>84</v>
      </c>
      <c r="J5086" s="76">
        <f>'SUT_EU27 total'!$Q$62</f>
        <v>1.0694147292515508E-5</v>
      </c>
    </row>
    <row r="5087" spans="1:10" x14ac:dyDescent="0.35">
      <c r="A5087" t="s">
        <v>15</v>
      </c>
      <c r="B5087" t="s">
        <v>38</v>
      </c>
      <c r="C5087" s="77" t="s">
        <v>91</v>
      </c>
      <c r="D5087" t="s">
        <v>81</v>
      </c>
      <c r="E5087" s="77" t="s">
        <v>82</v>
      </c>
      <c r="F5087" s="77" t="s">
        <v>73</v>
      </c>
      <c r="G5087" s="77" t="s">
        <v>74</v>
      </c>
      <c r="H5087" s="77" t="s">
        <v>130</v>
      </c>
      <c r="I5087" s="77" t="s">
        <v>84</v>
      </c>
      <c r="J5087" s="76">
        <f>'SUT_EU27 total'!$Q$79</f>
        <v>2.0807907452574416E-3</v>
      </c>
    </row>
    <row r="5088" spans="1:10" x14ac:dyDescent="0.35">
      <c r="A5088" t="s">
        <v>15</v>
      </c>
      <c r="B5088" t="s">
        <v>38</v>
      </c>
      <c r="C5088" s="77" t="s">
        <v>92</v>
      </c>
      <c r="D5088" t="s">
        <v>81</v>
      </c>
      <c r="E5088" s="77" t="s">
        <v>82</v>
      </c>
      <c r="F5088" s="77" t="s">
        <v>73</v>
      </c>
      <c r="G5088" s="77" t="s">
        <v>74</v>
      </c>
      <c r="H5088" s="77" t="s">
        <v>130</v>
      </c>
      <c r="I5088" s="77" t="s">
        <v>84</v>
      </c>
      <c r="J5088" s="76">
        <f>'SUT_EU27 total'!$Q$96</f>
        <v>2.8885571737041122E-3</v>
      </c>
    </row>
    <row r="5089" spans="1:10" x14ac:dyDescent="0.35">
      <c r="A5089" t="s">
        <v>15</v>
      </c>
      <c r="B5089" t="s">
        <v>38</v>
      </c>
      <c r="C5089" s="77" t="s">
        <v>93</v>
      </c>
      <c r="D5089" t="s">
        <v>81</v>
      </c>
      <c r="E5089" s="77" t="s">
        <v>82</v>
      </c>
      <c r="F5089" s="77" t="s">
        <v>73</v>
      </c>
      <c r="G5089" s="77" t="s">
        <v>74</v>
      </c>
      <c r="H5089" s="77" t="s">
        <v>130</v>
      </c>
      <c r="I5089" s="77" t="s">
        <v>84</v>
      </c>
      <c r="J5089" s="76">
        <f>'SUT_EU27 total'!$Q$113</f>
        <v>1.1972685102906883E-2</v>
      </c>
    </row>
    <row r="5090" spans="1:10" x14ac:dyDescent="0.35">
      <c r="A5090" t="s">
        <v>15</v>
      </c>
      <c r="B5090" t="s">
        <v>38</v>
      </c>
      <c r="C5090" s="77" t="s">
        <v>73</v>
      </c>
      <c r="D5090" s="77" t="s">
        <v>81</v>
      </c>
      <c r="E5090" s="77" t="s">
        <v>96</v>
      </c>
      <c r="F5090" s="77" t="s">
        <v>73</v>
      </c>
      <c r="G5090" s="77" t="s">
        <v>74</v>
      </c>
      <c r="H5090" s="77" t="s">
        <v>130</v>
      </c>
      <c r="I5090" s="77" t="s">
        <v>84</v>
      </c>
      <c r="J5090" s="65" cm="1">
        <f t="array" ref="J5090:J5091">Sensitivity!J84:J85</f>
        <v>0</v>
      </c>
    </row>
    <row r="5091" spans="1:10" x14ac:dyDescent="0.35">
      <c r="A5091" t="s">
        <v>15</v>
      </c>
      <c r="B5091" t="s">
        <v>38</v>
      </c>
      <c r="C5091" s="77" t="s">
        <v>73</v>
      </c>
      <c r="D5091" s="77" t="s">
        <v>81</v>
      </c>
      <c r="E5091" s="77" t="s">
        <v>99</v>
      </c>
      <c r="F5091" s="77" t="s">
        <v>73</v>
      </c>
      <c r="G5091" s="77" t="s">
        <v>74</v>
      </c>
      <c r="H5091" s="77" t="s">
        <v>130</v>
      </c>
      <c r="I5091" s="77" t="s">
        <v>84</v>
      </c>
      <c r="J5091" s="65">
        <v>9.0622182146077552</v>
      </c>
    </row>
    <row r="5092" spans="1:10" x14ac:dyDescent="0.35">
      <c r="A5092" t="s">
        <v>15</v>
      </c>
      <c r="B5092" t="s">
        <v>38</v>
      </c>
      <c r="C5092" s="77" t="s">
        <v>73</v>
      </c>
      <c r="D5092" t="s">
        <v>81</v>
      </c>
      <c r="E5092" s="77" t="s">
        <v>131</v>
      </c>
      <c r="F5092" s="77" t="s">
        <v>73</v>
      </c>
      <c r="G5092" s="77" t="s">
        <v>74</v>
      </c>
      <c r="H5092" s="77" t="s">
        <v>112</v>
      </c>
      <c r="I5092" s="77" t="s">
        <v>84</v>
      </c>
      <c r="J5092" s="76">
        <f>'SUT_EU27 total'!$R$24</f>
        <v>4.0146105919003111E-8</v>
      </c>
    </row>
    <row r="5093" spans="1:10" x14ac:dyDescent="0.35">
      <c r="A5093" t="s">
        <v>15</v>
      </c>
      <c r="B5093" t="s">
        <v>38</v>
      </c>
      <c r="C5093" s="77" t="s">
        <v>73</v>
      </c>
      <c r="D5093" t="s">
        <v>81</v>
      </c>
      <c r="E5093" s="77" t="s">
        <v>122</v>
      </c>
      <c r="F5093" s="77" t="s">
        <v>73</v>
      </c>
      <c r="G5093" s="77" t="s">
        <v>74</v>
      </c>
      <c r="H5093" s="77" t="s">
        <v>112</v>
      </c>
      <c r="I5093" s="77" t="s">
        <v>84</v>
      </c>
      <c r="J5093" s="76">
        <f>'SUT_EU27 total'!$R$30</f>
        <v>3.9708116569218732E-4</v>
      </c>
    </row>
    <row r="5094" spans="1:10" x14ac:dyDescent="0.35">
      <c r="A5094" t="s">
        <v>15</v>
      </c>
      <c r="B5094" t="s">
        <v>38</v>
      </c>
      <c r="C5094" s="77" t="s">
        <v>73</v>
      </c>
      <c r="D5094" t="s">
        <v>81</v>
      </c>
      <c r="E5094" s="77" t="s">
        <v>101</v>
      </c>
      <c r="F5094" s="77" t="s">
        <v>73</v>
      </c>
      <c r="G5094" s="77" t="s">
        <v>74</v>
      </c>
      <c r="H5094" s="77" t="s">
        <v>112</v>
      </c>
      <c r="I5094" s="77" t="s">
        <v>84</v>
      </c>
      <c r="J5094" s="76" cm="1">
        <f t="array" ref="J5094:J5096">'SUT_EU27 total'!$R$32:$R$34</f>
        <v>1.2183459827918709E-7</v>
      </c>
    </row>
    <row r="5095" spans="1:10" x14ac:dyDescent="0.35">
      <c r="A5095" t="s">
        <v>15</v>
      </c>
      <c r="B5095" t="s">
        <v>38</v>
      </c>
      <c r="C5095" s="77" t="s">
        <v>73</v>
      </c>
      <c r="D5095" t="s">
        <v>81</v>
      </c>
      <c r="E5095" s="77" t="s">
        <v>104</v>
      </c>
      <c r="F5095" s="77" t="s">
        <v>73</v>
      </c>
      <c r="G5095" s="77" t="s">
        <v>74</v>
      </c>
      <c r="H5095" s="77" t="s">
        <v>112</v>
      </c>
      <c r="I5095" s="77" t="s">
        <v>84</v>
      </c>
      <c r="J5095" s="76">
        <v>2.3068290654205609E-7</v>
      </c>
    </row>
    <row r="5096" spans="1:10" x14ac:dyDescent="0.35">
      <c r="A5096" t="s">
        <v>15</v>
      </c>
      <c r="B5096" t="s">
        <v>38</v>
      </c>
      <c r="C5096" s="77" t="s">
        <v>73</v>
      </c>
      <c r="D5096" t="s">
        <v>81</v>
      </c>
      <c r="E5096" s="77" t="s">
        <v>106</v>
      </c>
      <c r="F5096" s="77" t="s">
        <v>73</v>
      </c>
      <c r="G5096" s="77" t="s">
        <v>74</v>
      </c>
      <c r="H5096" s="77" t="s">
        <v>112</v>
      </c>
      <c r="I5096" s="77" t="s">
        <v>84</v>
      </c>
      <c r="J5096" s="76">
        <v>7.8463573653760568E-7</v>
      </c>
    </row>
    <row r="5097" spans="1:10" x14ac:dyDescent="0.35">
      <c r="A5097" t="s">
        <v>15</v>
      </c>
      <c r="B5097" t="s">
        <v>38</v>
      </c>
      <c r="C5097" s="77" t="s">
        <v>88</v>
      </c>
      <c r="D5097" t="s">
        <v>81</v>
      </c>
      <c r="E5097" s="77" t="s">
        <v>131</v>
      </c>
      <c r="F5097" s="77" t="s">
        <v>73</v>
      </c>
      <c r="G5097" s="77" t="s">
        <v>74</v>
      </c>
      <c r="H5097" s="77" t="s">
        <v>112</v>
      </c>
      <c r="I5097" s="77" t="s">
        <v>84</v>
      </c>
      <c r="J5097" s="76">
        <f>'SUT_EU27 total'!$R$41</f>
        <v>0</v>
      </c>
    </row>
    <row r="5098" spans="1:10" x14ac:dyDescent="0.35">
      <c r="A5098" t="s">
        <v>15</v>
      </c>
      <c r="B5098" t="s">
        <v>38</v>
      </c>
      <c r="C5098" s="77" t="s">
        <v>88</v>
      </c>
      <c r="D5098" t="s">
        <v>81</v>
      </c>
      <c r="E5098" s="77" t="s">
        <v>122</v>
      </c>
      <c r="F5098" s="77" t="s">
        <v>73</v>
      </c>
      <c r="G5098" s="77" t="s">
        <v>74</v>
      </c>
      <c r="H5098" s="77" t="s">
        <v>112</v>
      </c>
      <c r="I5098" s="77" t="s">
        <v>84</v>
      </c>
      <c r="J5098" s="76">
        <f>'SUT_EU27 total'!$R$47</f>
        <v>0</v>
      </c>
    </row>
    <row r="5099" spans="1:10" x14ac:dyDescent="0.35">
      <c r="A5099" t="s">
        <v>15</v>
      </c>
      <c r="B5099" t="s">
        <v>38</v>
      </c>
      <c r="C5099" s="77" t="s">
        <v>88</v>
      </c>
      <c r="D5099" t="s">
        <v>81</v>
      </c>
      <c r="E5099" s="77" t="s">
        <v>101</v>
      </c>
      <c r="F5099" s="77" t="s">
        <v>73</v>
      </c>
      <c r="G5099" s="77" t="s">
        <v>74</v>
      </c>
      <c r="H5099" s="77" t="s">
        <v>112</v>
      </c>
      <c r="I5099" s="77" t="s">
        <v>84</v>
      </c>
      <c r="J5099" s="76" cm="1">
        <f t="array" ref="J5099:J5101">'SUT_EU27 total'!$R$49:$R$51</f>
        <v>0</v>
      </c>
    </row>
    <row r="5100" spans="1:10" x14ac:dyDescent="0.35">
      <c r="A5100" t="s">
        <v>15</v>
      </c>
      <c r="B5100" t="s">
        <v>38</v>
      </c>
      <c r="C5100" s="77" t="s">
        <v>88</v>
      </c>
      <c r="D5100" t="s">
        <v>81</v>
      </c>
      <c r="E5100" s="77" t="s">
        <v>104</v>
      </c>
      <c r="F5100" s="77" t="s">
        <v>73</v>
      </c>
      <c r="G5100" s="77" t="s">
        <v>74</v>
      </c>
      <c r="H5100" s="77" t="s">
        <v>112</v>
      </c>
      <c r="I5100" s="77" t="s">
        <v>84</v>
      </c>
      <c r="J5100" s="76">
        <v>0</v>
      </c>
    </row>
    <row r="5101" spans="1:10" x14ac:dyDescent="0.35">
      <c r="A5101" t="s">
        <v>15</v>
      </c>
      <c r="B5101" t="s">
        <v>38</v>
      </c>
      <c r="C5101" s="77" t="s">
        <v>88</v>
      </c>
      <c r="D5101" t="s">
        <v>81</v>
      </c>
      <c r="E5101" s="77" t="s">
        <v>106</v>
      </c>
      <c r="F5101" s="77" t="s">
        <v>73</v>
      </c>
      <c r="G5101" s="77" t="s">
        <v>74</v>
      </c>
      <c r="H5101" s="77" t="s">
        <v>112</v>
      </c>
      <c r="I5101" s="77" t="s">
        <v>84</v>
      </c>
      <c r="J5101" s="76">
        <v>0</v>
      </c>
    </row>
    <row r="5102" spans="1:10" x14ac:dyDescent="0.35">
      <c r="A5102" t="s">
        <v>15</v>
      </c>
      <c r="B5102" t="s">
        <v>38</v>
      </c>
      <c r="C5102" s="77" t="s">
        <v>90</v>
      </c>
      <c r="D5102" t="s">
        <v>81</v>
      </c>
      <c r="E5102" s="77" t="s">
        <v>131</v>
      </c>
      <c r="F5102" s="77" t="s">
        <v>73</v>
      </c>
      <c r="G5102" s="77" t="s">
        <v>74</v>
      </c>
      <c r="H5102" s="77" t="s">
        <v>112</v>
      </c>
      <c r="I5102" s="77" t="s">
        <v>84</v>
      </c>
      <c r="J5102" s="76">
        <f>'SUT_EU27 total'!$R$58</f>
        <v>0</v>
      </c>
    </row>
    <row r="5103" spans="1:10" x14ac:dyDescent="0.35">
      <c r="A5103" t="s">
        <v>15</v>
      </c>
      <c r="B5103" t="s">
        <v>38</v>
      </c>
      <c r="C5103" s="77" t="s">
        <v>90</v>
      </c>
      <c r="D5103" t="s">
        <v>81</v>
      </c>
      <c r="E5103" s="77" t="s">
        <v>122</v>
      </c>
      <c r="F5103" s="77" t="s">
        <v>73</v>
      </c>
      <c r="G5103" s="77" t="s">
        <v>74</v>
      </c>
      <c r="H5103" s="77" t="s">
        <v>112</v>
      </c>
      <c r="I5103" s="77" t="s">
        <v>84</v>
      </c>
      <c r="J5103" s="76">
        <f>'SUT_EU27 total'!$R$64</f>
        <v>6.4108466461028498E-4</v>
      </c>
    </row>
    <row r="5104" spans="1:10" x14ac:dyDescent="0.35">
      <c r="A5104" t="s">
        <v>15</v>
      </c>
      <c r="B5104" t="s">
        <v>38</v>
      </c>
      <c r="C5104" s="77" t="s">
        <v>90</v>
      </c>
      <c r="D5104" t="s">
        <v>81</v>
      </c>
      <c r="E5104" s="77" t="s">
        <v>101</v>
      </c>
      <c r="F5104" s="77" t="s">
        <v>73</v>
      </c>
      <c r="G5104" s="77" t="s">
        <v>74</v>
      </c>
      <c r="H5104" s="77" t="s">
        <v>112</v>
      </c>
      <c r="I5104" s="77" t="s">
        <v>84</v>
      </c>
      <c r="J5104" s="76" cm="1">
        <f t="array" ref="J5104:J5106">'SUT_EU27 total'!$R$66:$R$68</f>
        <v>0</v>
      </c>
    </row>
    <row r="5105" spans="1:10" x14ac:dyDescent="0.35">
      <c r="A5105" t="s">
        <v>15</v>
      </c>
      <c r="B5105" t="s">
        <v>38</v>
      </c>
      <c r="C5105" s="77" t="s">
        <v>90</v>
      </c>
      <c r="D5105" t="s">
        <v>81</v>
      </c>
      <c r="E5105" s="77" t="s">
        <v>104</v>
      </c>
      <c r="F5105" s="77" t="s">
        <v>73</v>
      </c>
      <c r="G5105" s="77" t="s">
        <v>74</v>
      </c>
      <c r="H5105" s="77" t="s">
        <v>112</v>
      </c>
      <c r="I5105" s="77" t="s">
        <v>84</v>
      </c>
      <c r="J5105" s="76">
        <v>0</v>
      </c>
    </row>
    <row r="5106" spans="1:10" x14ac:dyDescent="0.35">
      <c r="A5106" t="s">
        <v>15</v>
      </c>
      <c r="B5106" t="s">
        <v>38</v>
      </c>
      <c r="C5106" s="77" t="s">
        <v>90</v>
      </c>
      <c r="D5106" t="s">
        <v>81</v>
      </c>
      <c r="E5106" s="77" t="s">
        <v>106</v>
      </c>
      <c r="F5106" s="77" t="s">
        <v>73</v>
      </c>
      <c r="G5106" s="77" t="s">
        <v>74</v>
      </c>
      <c r="H5106" s="77" t="s">
        <v>112</v>
      </c>
      <c r="I5106" s="77" t="s">
        <v>84</v>
      </c>
      <c r="J5106" s="76">
        <v>0</v>
      </c>
    </row>
    <row r="5107" spans="1:10" x14ac:dyDescent="0.35">
      <c r="A5107" t="s">
        <v>15</v>
      </c>
      <c r="B5107" t="s">
        <v>38</v>
      </c>
      <c r="C5107" s="77" t="s">
        <v>91</v>
      </c>
      <c r="D5107" t="s">
        <v>81</v>
      </c>
      <c r="E5107" s="77" t="s">
        <v>131</v>
      </c>
      <c r="F5107" s="77" t="s">
        <v>73</v>
      </c>
      <c r="G5107" s="77" t="s">
        <v>74</v>
      </c>
      <c r="H5107" s="77" t="s">
        <v>112</v>
      </c>
      <c r="I5107" s="77" t="s">
        <v>84</v>
      </c>
      <c r="J5107" s="76">
        <f>'SUT_EU27 total'!$R$75</f>
        <v>0</v>
      </c>
    </row>
    <row r="5108" spans="1:10" x14ac:dyDescent="0.35">
      <c r="A5108" t="s">
        <v>15</v>
      </c>
      <c r="B5108" t="s">
        <v>38</v>
      </c>
      <c r="C5108" s="77" t="s">
        <v>91</v>
      </c>
      <c r="D5108" t="s">
        <v>81</v>
      </c>
      <c r="E5108" s="77" t="s">
        <v>122</v>
      </c>
      <c r="F5108" s="77" t="s">
        <v>73</v>
      </c>
      <c r="G5108" s="77" t="s">
        <v>74</v>
      </c>
      <c r="H5108" s="77" t="s">
        <v>112</v>
      </c>
      <c r="I5108" s="77" t="s">
        <v>84</v>
      </c>
      <c r="J5108" s="76">
        <f>'SUT_EU27 total'!$R$81</f>
        <v>0</v>
      </c>
    </row>
    <row r="5109" spans="1:10" x14ac:dyDescent="0.35">
      <c r="A5109" t="s">
        <v>15</v>
      </c>
      <c r="B5109" t="s">
        <v>38</v>
      </c>
      <c r="C5109" s="77" t="s">
        <v>91</v>
      </c>
      <c r="D5109" t="s">
        <v>81</v>
      </c>
      <c r="E5109" s="77" t="s">
        <v>101</v>
      </c>
      <c r="F5109" s="77" t="s">
        <v>73</v>
      </c>
      <c r="G5109" s="77" t="s">
        <v>74</v>
      </c>
      <c r="H5109" s="77" t="s">
        <v>112</v>
      </c>
      <c r="I5109" s="77" t="s">
        <v>84</v>
      </c>
      <c r="J5109" s="76" cm="1">
        <f t="array" ref="J5109:J5111">'SUT_EU27 total'!$R$83:$R$85</f>
        <v>0</v>
      </c>
    </row>
    <row r="5110" spans="1:10" x14ac:dyDescent="0.35">
      <c r="A5110" t="s">
        <v>15</v>
      </c>
      <c r="B5110" t="s">
        <v>38</v>
      </c>
      <c r="C5110" s="77" t="s">
        <v>91</v>
      </c>
      <c r="D5110" t="s">
        <v>81</v>
      </c>
      <c r="E5110" s="77" t="s">
        <v>104</v>
      </c>
      <c r="F5110" s="77" t="s">
        <v>73</v>
      </c>
      <c r="G5110" s="77" t="s">
        <v>74</v>
      </c>
      <c r="H5110" s="77" t="s">
        <v>112</v>
      </c>
      <c r="I5110" s="77" t="s">
        <v>84</v>
      </c>
      <c r="J5110" s="76">
        <v>0</v>
      </c>
    </row>
    <row r="5111" spans="1:10" x14ac:dyDescent="0.35">
      <c r="A5111" t="s">
        <v>15</v>
      </c>
      <c r="B5111" t="s">
        <v>38</v>
      </c>
      <c r="C5111" s="77" t="s">
        <v>91</v>
      </c>
      <c r="D5111" t="s">
        <v>81</v>
      </c>
      <c r="E5111" s="77" t="s">
        <v>106</v>
      </c>
      <c r="F5111" s="77" t="s">
        <v>73</v>
      </c>
      <c r="G5111" s="77" t="s">
        <v>74</v>
      </c>
      <c r="H5111" s="77" t="s">
        <v>112</v>
      </c>
      <c r="I5111" s="77" t="s">
        <v>84</v>
      </c>
      <c r="J5111" s="76">
        <v>0</v>
      </c>
    </row>
    <row r="5112" spans="1:10" x14ac:dyDescent="0.35">
      <c r="A5112" t="s">
        <v>15</v>
      </c>
      <c r="B5112" t="s">
        <v>38</v>
      </c>
      <c r="C5112" s="77" t="s">
        <v>92</v>
      </c>
      <c r="D5112" t="s">
        <v>81</v>
      </c>
      <c r="E5112" s="77" t="s">
        <v>131</v>
      </c>
      <c r="F5112" s="77" t="s">
        <v>73</v>
      </c>
      <c r="G5112" s="77" t="s">
        <v>74</v>
      </c>
      <c r="H5112" s="77" t="s">
        <v>112</v>
      </c>
      <c r="I5112" s="77" t="s">
        <v>84</v>
      </c>
      <c r="J5112" s="76">
        <f>'SUT_EU27 total'!$R$92</f>
        <v>0</v>
      </c>
    </row>
    <row r="5113" spans="1:10" x14ac:dyDescent="0.35">
      <c r="A5113" t="s">
        <v>15</v>
      </c>
      <c r="B5113" t="s">
        <v>38</v>
      </c>
      <c r="C5113" s="77" t="s">
        <v>92</v>
      </c>
      <c r="D5113" t="s">
        <v>81</v>
      </c>
      <c r="E5113" s="77" t="s">
        <v>122</v>
      </c>
      <c r="F5113" s="77" t="s">
        <v>73</v>
      </c>
      <c r="G5113" s="77" t="s">
        <v>74</v>
      </c>
      <c r="H5113" s="77" t="s">
        <v>112</v>
      </c>
      <c r="I5113" s="77" t="s">
        <v>84</v>
      </c>
      <c r="J5113" s="76">
        <f>'SUT_EU27 total'!$R$98</f>
        <v>0</v>
      </c>
    </row>
    <row r="5114" spans="1:10" x14ac:dyDescent="0.35">
      <c r="A5114" t="s">
        <v>15</v>
      </c>
      <c r="B5114" t="s">
        <v>38</v>
      </c>
      <c r="C5114" s="77" t="s">
        <v>92</v>
      </c>
      <c r="D5114" t="s">
        <v>81</v>
      </c>
      <c r="E5114" s="77" t="s">
        <v>101</v>
      </c>
      <c r="F5114" s="77" t="s">
        <v>73</v>
      </c>
      <c r="G5114" s="77" t="s">
        <v>74</v>
      </c>
      <c r="H5114" s="77" t="s">
        <v>112</v>
      </c>
      <c r="I5114" s="77" t="s">
        <v>84</v>
      </c>
      <c r="J5114" s="76" cm="1">
        <f t="array" ref="J5114:J5116">'SUT_EU27 total'!$R$100:$R$102</f>
        <v>0</v>
      </c>
    </row>
    <row r="5115" spans="1:10" x14ac:dyDescent="0.35">
      <c r="A5115" t="s">
        <v>15</v>
      </c>
      <c r="B5115" t="s">
        <v>38</v>
      </c>
      <c r="C5115" s="77" t="s">
        <v>92</v>
      </c>
      <c r="D5115" t="s">
        <v>81</v>
      </c>
      <c r="E5115" s="77" t="s">
        <v>104</v>
      </c>
      <c r="F5115" s="77" t="s">
        <v>73</v>
      </c>
      <c r="G5115" s="77" t="s">
        <v>74</v>
      </c>
      <c r="H5115" s="77" t="s">
        <v>112</v>
      </c>
      <c r="I5115" s="77" t="s">
        <v>84</v>
      </c>
      <c r="J5115" s="76">
        <v>0</v>
      </c>
    </row>
    <row r="5116" spans="1:10" x14ac:dyDescent="0.35">
      <c r="A5116" t="s">
        <v>15</v>
      </c>
      <c r="B5116" t="s">
        <v>38</v>
      </c>
      <c r="C5116" s="77" t="s">
        <v>92</v>
      </c>
      <c r="D5116" t="s">
        <v>81</v>
      </c>
      <c r="E5116" s="77" t="s">
        <v>106</v>
      </c>
      <c r="F5116" s="77" t="s">
        <v>73</v>
      </c>
      <c r="G5116" s="77" t="s">
        <v>74</v>
      </c>
      <c r="H5116" s="77" t="s">
        <v>112</v>
      </c>
      <c r="I5116" s="77" t="s">
        <v>84</v>
      </c>
      <c r="J5116" s="76">
        <v>0</v>
      </c>
    </row>
    <row r="5117" spans="1:10" x14ac:dyDescent="0.35">
      <c r="A5117" t="s">
        <v>15</v>
      </c>
      <c r="B5117" t="s">
        <v>38</v>
      </c>
      <c r="C5117" s="77" t="s">
        <v>93</v>
      </c>
      <c r="D5117" t="s">
        <v>81</v>
      </c>
      <c r="E5117" s="77" t="s">
        <v>131</v>
      </c>
      <c r="F5117" s="77" t="s">
        <v>73</v>
      </c>
      <c r="G5117" s="77" t="s">
        <v>74</v>
      </c>
      <c r="H5117" s="77" t="s">
        <v>112</v>
      </c>
      <c r="I5117" s="77" t="s">
        <v>84</v>
      </c>
      <c r="J5117" s="76">
        <f>'SUT_EU27 total'!$R$109</f>
        <v>0</v>
      </c>
    </row>
    <row r="5118" spans="1:10" x14ac:dyDescent="0.35">
      <c r="A5118" t="s">
        <v>15</v>
      </c>
      <c r="B5118" t="s">
        <v>38</v>
      </c>
      <c r="C5118" s="77" t="s">
        <v>93</v>
      </c>
      <c r="D5118" t="s">
        <v>81</v>
      </c>
      <c r="E5118" s="77" t="s">
        <v>122</v>
      </c>
      <c r="F5118" s="77" t="s">
        <v>73</v>
      </c>
      <c r="G5118" s="77" t="s">
        <v>74</v>
      </c>
      <c r="H5118" s="77" t="s">
        <v>112</v>
      </c>
      <c r="I5118" s="77" t="s">
        <v>84</v>
      </c>
      <c r="J5118" s="76">
        <f>'SUT_EU27 total'!$R$115</f>
        <v>2.188358424259166E-3</v>
      </c>
    </row>
    <row r="5119" spans="1:10" x14ac:dyDescent="0.35">
      <c r="A5119" t="s">
        <v>15</v>
      </c>
      <c r="B5119" t="s">
        <v>38</v>
      </c>
      <c r="C5119" s="77" t="s">
        <v>93</v>
      </c>
      <c r="D5119" t="s">
        <v>81</v>
      </c>
      <c r="E5119" s="77" t="s">
        <v>101</v>
      </c>
      <c r="F5119" s="77" t="s">
        <v>73</v>
      </c>
      <c r="G5119" s="77" t="s">
        <v>74</v>
      </c>
      <c r="H5119" s="77" t="s">
        <v>112</v>
      </c>
      <c r="I5119" s="77" t="s">
        <v>84</v>
      </c>
      <c r="J5119" s="76" cm="1">
        <f t="array" ref="J5119:J5121">'SUT_EU27 total'!$R$117:$R$119</f>
        <v>0</v>
      </c>
    </row>
    <row r="5120" spans="1:10" x14ac:dyDescent="0.35">
      <c r="A5120" t="s">
        <v>15</v>
      </c>
      <c r="B5120" t="s">
        <v>38</v>
      </c>
      <c r="C5120" s="77" t="s">
        <v>93</v>
      </c>
      <c r="D5120" t="s">
        <v>81</v>
      </c>
      <c r="E5120" s="77" t="s">
        <v>104</v>
      </c>
      <c r="F5120" s="77" t="s">
        <v>73</v>
      </c>
      <c r="G5120" s="77" t="s">
        <v>74</v>
      </c>
      <c r="H5120" s="77" t="s">
        <v>112</v>
      </c>
      <c r="I5120" s="77" t="s">
        <v>84</v>
      </c>
      <c r="J5120" s="76">
        <v>0</v>
      </c>
    </row>
    <row r="5121" spans="1:10" x14ac:dyDescent="0.35">
      <c r="A5121" t="s">
        <v>15</v>
      </c>
      <c r="B5121" t="s">
        <v>38</v>
      </c>
      <c r="C5121" s="77" t="s">
        <v>93</v>
      </c>
      <c r="D5121" t="s">
        <v>81</v>
      </c>
      <c r="E5121" s="77" t="s">
        <v>106</v>
      </c>
      <c r="F5121" s="77" t="s">
        <v>73</v>
      </c>
      <c r="G5121" s="77" t="s">
        <v>74</v>
      </c>
      <c r="H5121" s="77" t="s">
        <v>112</v>
      </c>
      <c r="I5121" s="77" t="s">
        <v>84</v>
      </c>
      <c r="J5121" s="76">
        <v>0</v>
      </c>
    </row>
    <row r="5122" spans="1:10" x14ac:dyDescent="0.35">
      <c r="A5122" t="s">
        <v>15</v>
      </c>
      <c r="B5122" t="s">
        <v>38</v>
      </c>
      <c r="C5122" s="77" t="s">
        <v>73</v>
      </c>
      <c r="D5122" t="s">
        <v>81</v>
      </c>
      <c r="E5122" s="77" t="s">
        <v>131</v>
      </c>
      <c r="F5122" s="77" t="s">
        <v>73</v>
      </c>
      <c r="G5122" s="77" t="s">
        <v>74</v>
      </c>
      <c r="H5122" s="77" t="s">
        <v>113</v>
      </c>
      <c r="I5122" s="77" t="s">
        <v>84</v>
      </c>
      <c r="J5122" s="76">
        <f>'SUT_EU27 total'!$S$24</f>
        <v>5.0294789999999994E-8</v>
      </c>
    </row>
    <row r="5123" spans="1:10" x14ac:dyDescent="0.35">
      <c r="A5123" t="s">
        <v>15</v>
      </c>
      <c r="B5123" t="s">
        <v>38</v>
      </c>
      <c r="C5123" s="77" t="s">
        <v>73</v>
      </c>
      <c r="D5123" t="s">
        <v>81</v>
      </c>
      <c r="E5123" s="77" t="s">
        <v>101</v>
      </c>
      <c r="F5123" s="77" t="s">
        <v>73</v>
      </c>
      <c r="G5123" s="77" t="s">
        <v>74</v>
      </c>
      <c r="H5123" s="77" t="s">
        <v>113</v>
      </c>
      <c r="I5123" s="77" t="s">
        <v>84</v>
      </c>
      <c r="J5123" s="76" cm="1">
        <f t="array" ref="J5123:J5125">'SUT_EU27 total'!$S$32:$S$34</f>
        <v>1.7883556705882356E-5</v>
      </c>
    </row>
    <row r="5124" spans="1:10" x14ac:dyDescent="0.35">
      <c r="A5124" t="s">
        <v>15</v>
      </c>
      <c r="B5124" t="s">
        <v>38</v>
      </c>
      <c r="C5124" s="77" t="s">
        <v>73</v>
      </c>
      <c r="D5124" t="s">
        <v>81</v>
      </c>
      <c r="E5124" s="77" t="s">
        <v>104</v>
      </c>
      <c r="F5124" s="77" t="s">
        <v>73</v>
      </c>
      <c r="G5124" s="77" t="s">
        <v>74</v>
      </c>
      <c r="H5124" s="77" t="s">
        <v>113</v>
      </c>
      <c r="I5124" s="77" t="s">
        <v>84</v>
      </c>
      <c r="J5124" s="76">
        <v>3.3860913882352942E-5</v>
      </c>
    </row>
    <row r="5125" spans="1:10" x14ac:dyDescent="0.35">
      <c r="A5125" t="s">
        <v>15</v>
      </c>
      <c r="B5125" t="s">
        <v>38</v>
      </c>
      <c r="C5125" s="77" t="s">
        <v>73</v>
      </c>
      <c r="D5125" t="s">
        <v>81</v>
      </c>
      <c r="E5125" s="77" t="s">
        <v>106</v>
      </c>
      <c r="F5125" s="77" t="s">
        <v>73</v>
      </c>
      <c r="G5125" s="77" t="s">
        <v>74</v>
      </c>
      <c r="H5125" s="77" t="s">
        <v>113</v>
      </c>
      <c r="I5125" s="77" t="s">
        <v>84</v>
      </c>
      <c r="J5125" s="76">
        <v>1.1517317647058823E-4</v>
      </c>
    </row>
    <row r="5126" spans="1:10" x14ac:dyDescent="0.35">
      <c r="A5126" t="s">
        <v>15</v>
      </c>
      <c r="B5126" t="s">
        <v>38</v>
      </c>
      <c r="C5126" s="77" t="s">
        <v>88</v>
      </c>
      <c r="D5126" t="s">
        <v>81</v>
      </c>
      <c r="E5126" s="77" t="s">
        <v>131</v>
      </c>
      <c r="F5126" s="77" t="s">
        <v>73</v>
      </c>
      <c r="G5126" s="77" t="s">
        <v>74</v>
      </c>
      <c r="H5126" s="77" t="s">
        <v>113</v>
      </c>
      <c r="I5126" s="77" t="s">
        <v>84</v>
      </c>
      <c r="J5126" s="76">
        <f>'SUT_EU27 total'!$S$41</f>
        <v>0</v>
      </c>
    </row>
    <row r="5127" spans="1:10" x14ac:dyDescent="0.35">
      <c r="A5127" t="s">
        <v>15</v>
      </c>
      <c r="B5127" t="s">
        <v>38</v>
      </c>
      <c r="C5127" s="77" t="s">
        <v>88</v>
      </c>
      <c r="D5127" t="s">
        <v>81</v>
      </c>
      <c r="E5127" s="77" t="s">
        <v>101</v>
      </c>
      <c r="F5127" s="77" t="s">
        <v>73</v>
      </c>
      <c r="G5127" s="77" t="s">
        <v>74</v>
      </c>
      <c r="H5127" s="77" t="s">
        <v>113</v>
      </c>
      <c r="I5127" s="77" t="s">
        <v>84</v>
      </c>
      <c r="J5127" s="76" cm="1">
        <f t="array" ref="J5127:J5129">'SUT_EU27 total'!$S$49:$S$51</f>
        <v>0</v>
      </c>
    </row>
    <row r="5128" spans="1:10" x14ac:dyDescent="0.35">
      <c r="A5128" t="s">
        <v>15</v>
      </c>
      <c r="B5128" t="s">
        <v>38</v>
      </c>
      <c r="C5128" s="77" t="s">
        <v>88</v>
      </c>
      <c r="D5128" t="s">
        <v>81</v>
      </c>
      <c r="E5128" s="77" t="s">
        <v>104</v>
      </c>
      <c r="F5128" s="77" t="s">
        <v>73</v>
      </c>
      <c r="G5128" s="77" t="s">
        <v>74</v>
      </c>
      <c r="H5128" s="77" t="s">
        <v>113</v>
      </c>
      <c r="I5128" s="77" t="s">
        <v>84</v>
      </c>
      <c r="J5128" s="76">
        <v>0</v>
      </c>
    </row>
    <row r="5129" spans="1:10" x14ac:dyDescent="0.35">
      <c r="A5129" t="s">
        <v>15</v>
      </c>
      <c r="B5129" t="s">
        <v>38</v>
      </c>
      <c r="C5129" s="77" t="s">
        <v>88</v>
      </c>
      <c r="D5129" t="s">
        <v>81</v>
      </c>
      <c r="E5129" s="77" t="s">
        <v>106</v>
      </c>
      <c r="F5129" s="77" t="s">
        <v>73</v>
      </c>
      <c r="G5129" s="77" t="s">
        <v>74</v>
      </c>
      <c r="H5129" s="77" t="s">
        <v>113</v>
      </c>
      <c r="I5129" s="77" t="s">
        <v>84</v>
      </c>
      <c r="J5129" s="76">
        <v>0</v>
      </c>
    </row>
    <row r="5130" spans="1:10" x14ac:dyDescent="0.35">
      <c r="A5130" t="s">
        <v>15</v>
      </c>
      <c r="B5130" t="s">
        <v>38</v>
      </c>
      <c r="C5130" s="77" t="s">
        <v>90</v>
      </c>
      <c r="D5130" t="s">
        <v>81</v>
      </c>
      <c r="E5130" s="77" t="s">
        <v>131</v>
      </c>
      <c r="F5130" s="77" t="s">
        <v>73</v>
      </c>
      <c r="G5130" s="77" t="s">
        <v>74</v>
      </c>
      <c r="H5130" s="77" t="s">
        <v>113</v>
      </c>
      <c r="I5130" s="77" t="s">
        <v>84</v>
      </c>
      <c r="J5130" s="76">
        <f>'SUT_EU27 total'!$S$58</f>
        <v>0</v>
      </c>
    </row>
    <row r="5131" spans="1:10" x14ac:dyDescent="0.35">
      <c r="A5131" t="s">
        <v>15</v>
      </c>
      <c r="B5131" t="s">
        <v>38</v>
      </c>
      <c r="C5131" s="77" t="s">
        <v>90</v>
      </c>
      <c r="D5131" t="s">
        <v>81</v>
      </c>
      <c r="E5131" s="77" t="s">
        <v>101</v>
      </c>
      <c r="F5131" s="77" t="s">
        <v>73</v>
      </c>
      <c r="G5131" s="77" t="s">
        <v>74</v>
      </c>
      <c r="H5131" s="77" t="s">
        <v>113</v>
      </c>
      <c r="I5131" s="77" t="s">
        <v>84</v>
      </c>
      <c r="J5131" s="76" cm="1">
        <f t="array" ref="J5131:J5133">'SUT_EU27 total'!$S$66:$S$68</f>
        <v>0</v>
      </c>
    </row>
    <row r="5132" spans="1:10" x14ac:dyDescent="0.35">
      <c r="A5132" t="s">
        <v>15</v>
      </c>
      <c r="B5132" t="s">
        <v>38</v>
      </c>
      <c r="C5132" s="77" t="s">
        <v>90</v>
      </c>
      <c r="D5132" t="s">
        <v>81</v>
      </c>
      <c r="E5132" s="77" t="s">
        <v>104</v>
      </c>
      <c r="F5132" s="77" t="s">
        <v>73</v>
      </c>
      <c r="G5132" s="77" t="s">
        <v>74</v>
      </c>
      <c r="H5132" s="77" t="s">
        <v>113</v>
      </c>
      <c r="I5132" s="77" t="s">
        <v>84</v>
      </c>
      <c r="J5132" s="76">
        <v>0</v>
      </c>
    </row>
    <row r="5133" spans="1:10" x14ac:dyDescent="0.35">
      <c r="A5133" t="s">
        <v>15</v>
      </c>
      <c r="B5133" t="s">
        <v>38</v>
      </c>
      <c r="C5133" s="77" t="s">
        <v>90</v>
      </c>
      <c r="D5133" t="s">
        <v>81</v>
      </c>
      <c r="E5133" s="77" t="s">
        <v>106</v>
      </c>
      <c r="F5133" s="77" t="s">
        <v>73</v>
      </c>
      <c r="G5133" s="77" t="s">
        <v>74</v>
      </c>
      <c r="H5133" s="77" t="s">
        <v>113</v>
      </c>
      <c r="I5133" s="77" t="s">
        <v>84</v>
      </c>
      <c r="J5133" s="76">
        <v>0</v>
      </c>
    </row>
    <row r="5134" spans="1:10" x14ac:dyDescent="0.35">
      <c r="A5134" t="s">
        <v>15</v>
      </c>
      <c r="B5134" t="s">
        <v>38</v>
      </c>
      <c r="C5134" s="77" t="s">
        <v>91</v>
      </c>
      <c r="D5134" t="s">
        <v>81</v>
      </c>
      <c r="E5134" s="77" t="s">
        <v>131</v>
      </c>
      <c r="F5134" s="77" t="s">
        <v>73</v>
      </c>
      <c r="G5134" s="77" t="s">
        <v>74</v>
      </c>
      <c r="H5134" s="77" t="s">
        <v>113</v>
      </c>
      <c r="I5134" s="77" t="s">
        <v>84</v>
      </c>
      <c r="J5134" s="76">
        <f>'SUT_EU27 total'!$S$75</f>
        <v>0</v>
      </c>
    </row>
    <row r="5135" spans="1:10" x14ac:dyDescent="0.35">
      <c r="A5135" t="s">
        <v>15</v>
      </c>
      <c r="B5135" t="s">
        <v>38</v>
      </c>
      <c r="C5135" s="77" t="s">
        <v>91</v>
      </c>
      <c r="D5135" t="s">
        <v>81</v>
      </c>
      <c r="E5135" s="77" t="s">
        <v>101</v>
      </c>
      <c r="F5135" s="77" t="s">
        <v>73</v>
      </c>
      <c r="G5135" s="77" t="s">
        <v>74</v>
      </c>
      <c r="H5135" s="77" t="s">
        <v>113</v>
      </c>
      <c r="I5135" s="77" t="s">
        <v>84</v>
      </c>
      <c r="J5135" s="76" cm="1">
        <f t="array" ref="J5135:J5137">'SUT_EU27 total'!$S$83:$S$85</f>
        <v>0</v>
      </c>
    </row>
    <row r="5136" spans="1:10" x14ac:dyDescent="0.35">
      <c r="A5136" t="s">
        <v>15</v>
      </c>
      <c r="B5136" t="s">
        <v>38</v>
      </c>
      <c r="C5136" s="77" t="s">
        <v>91</v>
      </c>
      <c r="D5136" t="s">
        <v>81</v>
      </c>
      <c r="E5136" s="77" t="s">
        <v>104</v>
      </c>
      <c r="F5136" s="77" t="s">
        <v>73</v>
      </c>
      <c r="G5136" s="77" t="s">
        <v>74</v>
      </c>
      <c r="H5136" s="77" t="s">
        <v>113</v>
      </c>
      <c r="I5136" s="77" t="s">
        <v>84</v>
      </c>
      <c r="J5136" s="76">
        <v>0</v>
      </c>
    </row>
    <row r="5137" spans="1:10" x14ac:dyDescent="0.35">
      <c r="A5137" t="s">
        <v>15</v>
      </c>
      <c r="B5137" t="s">
        <v>38</v>
      </c>
      <c r="C5137" s="77" t="s">
        <v>91</v>
      </c>
      <c r="D5137" t="s">
        <v>81</v>
      </c>
      <c r="E5137" s="77" t="s">
        <v>106</v>
      </c>
      <c r="F5137" s="77" t="s">
        <v>73</v>
      </c>
      <c r="G5137" s="77" t="s">
        <v>74</v>
      </c>
      <c r="H5137" s="77" t="s">
        <v>113</v>
      </c>
      <c r="I5137" s="77" t="s">
        <v>84</v>
      </c>
      <c r="J5137" s="76">
        <v>0</v>
      </c>
    </row>
    <row r="5138" spans="1:10" x14ac:dyDescent="0.35">
      <c r="A5138" t="s">
        <v>15</v>
      </c>
      <c r="B5138" t="s">
        <v>38</v>
      </c>
      <c r="C5138" s="77" t="s">
        <v>92</v>
      </c>
      <c r="D5138" t="s">
        <v>81</v>
      </c>
      <c r="E5138" s="77" t="s">
        <v>131</v>
      </c>
      <c r="F5138" s="77" t="s">
        <v>73</v>
      </c>
      <c r="G5138" s="77" t="s">
        <v>74</v>
      </c>
      <c r="H5138" s="77" t="s">
        <v>113</v>
      </c>
      <c r="I5138" s="77" t="s">
        <v>84</v>
      </c>
      <c r="J5138" s="76">
        <f>'SUT_EU27 total'!$S$92</f>
        <v>0</v>
      </c>
    </row>
    <row r="5139" spans="1:10" x14ac:dyDescent="0.35">
      <c r="A5139" t="s">
        <v>15</v>
      </c>
      <c r="B5139" t="s">
        <v>38</v>
      </c>
      <c r="C5139" s="77" t="s">
        <v>92</v>
      </c>
      <c r="D5139" t="s">
        <v>81</v>
      </c>
      <c r="E5139" s="77" t="s">
        <v>101</v>
      </c>
      <c r="F5139" s="77" t="s">
        <v>73</v>
      </c>
      <c r="G5139" s="77" t="s">
        <v>74</v>
      </c>
      <c r="H5139" s="77" t="s">
        <v>113</v>
      </c>
      <c r="I5139" s="77" t="s">
        <v>84</v>
      </c>
      <c r="J5139" s="76" cm="1">
        <f t="array" ref="J5139:J5141">'SUT_EU27 total'!$S$100:$S$102</f>
        <v>0</v>
      </c>
    </row>
    <row r="5140" spans="1:10" x14ac:dyDescent="0.35">
      <c r="A5140" t="s">
        <v>15</v>
      </c>
      <c r="B5140" t="s">
        <v>38</v>
      </c>
      <c r="C5140" s="77" t="s">
        <v>92</v>
      </c>
      <c r="D5140" t="s">
        <v>81</v>
      </c>
      <c r="E5140" s="77" t="s">
        <v>104</v>
      </c>
      <c r="F5140" s="77" t="s">
        <v>73</v>
      </c>
      <c r="G5140" s="77" t="s">
        <v>74</v>
      </c>
      <c r="H5140" s="77" t="s">
        <v>113</v>
      </c>
      <c r="I5140" s="77" t="s">
        <v>84</v>
      </c>
      <c r="J5140" s="76">
        <v>0</v>
      </c>
    </row>
    <row r="5141" spans="1:10" x14ac:dyDescent="0.35">
      <c r="A5141" t="s">
        <v>15</v>
      </c>
      <c r="B5141" t="s">
        <v>38</v>
      </c>
      <c r="C5141" s="77" t="s">
        <v>92</v>
      </c>
      <c r="D5141" t="s">
        <v>81</v>
      </c>
      <c r="E5141" s="77" t="s">
        <v>106</v>
      </c>
      <c r="F5141" s="77" t="s">
        <v>73</v>
      </c>
      <c r="G5141" s="77" t="s">
        <v>74</v>
      </c>
      <c r="H5141" s="77" t="s">
        <v>113</v>
      </c>
      <c r="I5141" s="77" t="s">
        <v>84</v>
      </c>
      <c r="J5141" s="76">
        <v>0</v>
      </c>
    </row>
    <row r="5142" spans="1:10" x14ac:dyDescent="0.35">
      <c r="A5142" t="s">
        <v>15</v>
      </c>
      <c r="B5142" t="s">
        <v>38</v>
      </c>
      <c r="C5142" s="77" t="s">
        <v>93</v>
      </c>
      <c r="D5142" t="s">
        <v>81</v>
      </c>
      <c r="E5142" s="77" t="s">
        <v>131</v>
      </c>
      <c r="F5142" s="77" t="s">
        <v>73</v>
      </c>
      <c r="G5142" s="77" t="s">
        <v>74</v>
      </c>
      <c r="H5142" s="77" t="s">
        <v>113</v>
      </c>
      <c r="I5142" s="77" t="s">
        <v>84</v>
      </c>
      <c r="J5142" s="76">
        <f>'SUT_EU27 total'!$S$109</f>
        <v>0</v>
      </c>
    </row>
    <row r="5143" spans="1:10" x14ac:dyDescent="0.35">
      <c r="A5143" t="s">
        <v>15</v>
      </c>
      <c r="B5143" t="s">
        <v>38</v>
      </c>
      <c r="C5143" s="77" t="s">
        <v>93</v>
      </c>
      <c r="D5143" t="s">
        <v>81</v>
      </c>
      <c r="E5143" s="77" t="s">
        <v>101</v>
      </c>
      <c r="F5143" s="77" t="s">
        <v>73</v>
      </c>
      <c r="G5143" s="77" t="s">
        <v>74</v>
      </c>
      <c r="H5143" s="77" t="s">
        <v>113</v>
      </c>
      <c r="I5143" s="77" t="s">
        <v>84</v>
      </c>
      <c r="J5143" s="76" cm="1">
        <f t="array" ref="J5143:J5145">'SUT_EU27 total'!$S$117:$S$119</f>
        <v>0</v>
      </c>
    </row>
    <row r="5144" spans="1:10" x14ac:dyDescent="0.35">
      <c r="A5144" t="s">
        <v>15</v>
      </c>
      <c r="B5144" t="s">
        <v>38</v>
      </c>
      <c r="C5144" s="77" t="s">
        <v>93</v>
      </c>
      <c r="D5144" t="s">
        <v>81</v>
      </c>
      <c r="E5144" s="77" t="s">
        <v>104</v>
      </c>
      <c r="F5144" s="77" t="s">
        <v>73</v>
      </c>
      <c r="G5144" s="77" t="s">
        <v>74</v>
      </c>
      <c r="H5144" s="77" t="s">
        <v>113</v>
      </c>
      <c r="I5144" s="77" t="s">
        <v>84</v>
      </c>
      <c r="J5144" s="76">
        <v>0</v>
      </c>
    </row>
    <row r="5145" spans="1:10" x14ac:dyDescent="0.35">
      <c r="A5145" t="s">
        <v>15</v>
      </c>
      <c r="B5145" t="s">
        <v>38</v>
      </c>
      <c r="C5145" s="77" t="s">
        <v>93</v>
      </c>
      <c r="D5145" t="s">
        <v>81</v>
      </c>
      <c r="E5145" s="77" t="s">
        <v>106</v>
      </c>
      <c r="F5145" s="77" t="s">
        <v>73</v>
      </c>
      <c r="G5145" s="77" t="s">
        <v>74</v>
      </c>
      <c r="H5145" s="77" t="s">
        <v>113</v>
      </c>
      <c r="I5145" s="77" t="s">
        <v>84</v>
      </c>
      <c r="J5145" s="76">
        <v>0</v>
      </c>
    </row>
    <row r="5146" spans="1:10" x14ac:dyDescent="0.35">
      <c r="A5146" t="s">
        <v>15</v>
      </c>
      <c r="B5146" t="s">
        <v>38</v>
      </c>
      <c r="C5146" s="77" t="s">
        <v>73</v>
      </c>
      <c r="D5146" t="s">
        <v>74</v>
      </c>
      <c r="E5146" s="77" t="s">
        <v>123</v>
      </c>
      <c r="F5146" s="77" t="s">
        <v>73</v>
      </c>
      <c r="G5146" s="77" t="s">
        <v>81</v>
      </c>
      <c r="H5146" s="77" t="s">
        <v>115</v>
      </c>
      <c r="I5146" s="77" t="s">
        <v>84</v>
      </c>
      <c r="J5146" s="76" cm="1">
        <f t="array" ref="J5146:J5152">TRANSPOSE('2030 pathways'!$C$10:$I$10)</f>
        <v>0.1003</v>
      </c>
    </row>
    <row r="5147" spans="1:10" x14ac:dyDescent="0.35">
      <c r="A5147" t="s">
        <v>15</v>
      </c>
      <c r="B5147" t="s">
        <v>38</v>
      </c>
      <c r="C5147" s="77" t="s">
        <v>73</v>
      </c>
      <c r="D5147" t="s">
        <v>74</v>
      </c>
      <c r="E5147" s="77" t="s">
        <v>127</v>
      </c>
      <c r="F5147" s="77" t="s">
        <v>73</v>
      </c>
      <c r="G5147" s="77" t="s">
        <v>81</v>
      </c>
      <c r="H5147" s="77" t="s">
        <v>115</v>
      </c>
      <c r="I5147" s="77" t="s">
        <v>84</v>
      </c>
      <c r="J5147" s="76">
        <v>2.9499999999999998E-2</v>
      </c>
    </row>
    <row r="5148" spans="1:10" x14ac:dyDescent="0.35">
      <c r="A5148" t="s">
        <v>15</v>
      </c>
      <c r="B5148" t="s">
        <v>38</v>
      </c>
      <c r="C5148" s="77" t="s">
        <v>73</v>
      </c>
      <c r="D5148" t="s">
        <v>74</v>
      </c>
      <c r="E5148" s="77" t="s">
        <v>128</v>
      </c>
      <c r="F5148" s="77" t="s">
        <v>73</v>
      </c>
      <c r="G5148" s="77" t="s">
        <v>81</v>
      </c>
      <c r="H5148" s="77" t="s">
        <v>115</v>
      </c>
      <c r="I5148" s="77" t="s">
        <v>84</v>
      </c>
      <c r="J5148" s="76">
        <v>8.8499999999999995E-2</v>
      </c>
    </row>
    <row r="5149" spans="1:10" x14ac:dyDescent="0.35">
      <c r="A5149" t="s">
        <v>15</v>
      </c>
      <c r="B5149" t="s">
        <v>38</v>
      </c>
      <c r="C5149" s="77" t="s">
        <v>73</v>
      </c>
      <c r="D5149" t="s">
        <v>74</v>
      </c>
      <c r="E5149" s="77" t="s">
        <v>129</v>
      </c>
      <c r="F5149" s="77" t="s">
        <v>73</v>
      </c>
      <c r="G5149" s="77" t="s">
        <v>81</v>
      </c>
      <c r="H5149" s="77" t="s">
        <v>115</v>
      </c>
      <c r="I5149" s="77" t="s">
        <v>84</v>
      </c>
      <c r="J5149" s="76">
        <v>5.8999999999999999E-3</v>
      </c>
    </row>
    <row r="5150" spans="1:10" x14ac:dyDescent="0.35">
      <c r="A5150" t="s">
        <v>15</v>
      </c>
      <c r="B5150" t="s">
        <v>38</v>
      </c>
      <c r="C5150" s="77" t="s">
        <v>73</v>
      </c>
      <c r="D5150" t="s">
        <v>74</v>
      </c>
      <c r="E5150" s="77" t="s">
        <v>77</v>
      </c>
      <c r="F5150" s="77" t="s">
        <v>73</v>
      </c>
      <c r="G5150" s="77" t="s">
        <v>81</v>
      </c>
      <c r="H5150" s="77" t="s">
        <v>115</v>
      </c>
      <c r="I5150" s="77" t="s">
        <v>84</v>
      </c>
      <c r="J5150" s="76">
        <v>5.8999999999999999E-3</v>
      </c>
    </row>
    <row r="5151" spans="1:10" x14ac:dyDescent="0.35">
      <c r="A5151" t="s">
        <v>15</v>
      </c>
      <c r="B5151" t="s">
        <v>38</v>
      </c>
      <c r="C5151" s="77" t="s">
        <v>73</v>
      </c>
      <c r="D5151" t="s">
        <v>74</v>
      </c>
      <c r="E5151" s="77" t="s">
        <v>130</v>
      </c>
      <c r="F5151" s="77" t="s">
        <v>73</v>
      </c>
      <c r="G5151" s="77" t="s">
        <v>81</v>
      </c>
      <c r="H5151" s="77" t="s">
        <v>115</v>
      </c>
      <c r="I5151" s="77" t="s">
        <v>84</v>
      </c>
      <c r="J5151" s="76">
        <v>0.3599</v>
      </c>
    </row>
    <row r="5152" spans="1:10" x14ac:dyDescent="0.35">
      <c r="A5152" t="s">
        <v>15</v>
      </c>
      <c r="B5152" t="s">
        <v>38</v>
      </c>
      <c r="C5152" s="77" t="s">
        <v>73</v>
      </c>
      <c r="D5152" t="s">
        <v>74</v>
      </c>
      <c r="E5152" s="77" t="s">
        <v>132</v>
      </c>
      <c r="F5152" s="77" t="s">
        <v>73</v>
      </c>
      <c r="G5152" s="77" t="s">
        <v>81</v>
      </c>
      <c r="H5152" s="77" t="s">
        <v>115</v>
      </c>
      <c r="I5152" s="77" t="s">
        <v>84</v>
      </c>
      <c r="J5152" s="76">
        <v>0.41</v>
      </c>
    </row>
    <row r="5153" spans="1:10" x14ac:dyDescent="0.35">
      <c r="A5153" t="s">
        <v>15</v>
      </c>
      <c r="B5153" t="s">
        <v>38</v>
      </c>
      <c r="C5153" s="77" t="s">
        <v>73</v>
      </c>
      <c r="D5153" t="s">
        <v>74</v>
      </c>
      <c r="E5153" s="77" t="s">
        <v>133</v>
      </c>
      <c r="F5153" s="77" t="s">
        <v>73</v>
      </c>
      <c r="G5153" s="77" t="s">
        <v>81</v>
      </c>
      <c r="H5153" s="77" t="s">
        <v>115</v>
      </c>
      <c r="I5153" s="77" t="s">
        <v>84</v>
      </c>
      <c r="J5153" s="76">
        <v>0</v>
      </c>
    </row>
    <row r="5154" spans="1:10" x14ac:dyDescent="0.35">
      <c r="A5154" s="373" t="s">
        <v>15</v>
      </c>
      <c r="B5154" s="373" t="s">
        <v>39</v>
      </c>
      <c r="C5154" s="472" t="s">
        <v>73</v>
      </c>
      <c r="D5154" s="373" t="s">
        <v>81</v>
      </c>
      <c r="E5154" s="472" t="s">
        <v>115</v>
      </c>
      <c r="F5154" s="472" t="s">
        <v>73</v>
      </c>
      <c r="G5154" s="472" t="s">
        <v>74</v>
      </c>
      <c r="H5154" s="472" t="s">
        <v>102</v>
      </c>
      <c r="I5154" s="472" t="s">
        <v>84</v>
      </c>
      <c r="J5154" s="473" cm="1">
        <f t="array" ref="J5154:J5155">'SUT_EU27 total'!$J$19:$J$20</f>
        <v>11.828571428571427</v>
      </c>
    </row>
    <row r="5155" spans="1:10" x14ac:dyDescent="0.35">
      <c r="A5155" t="s">
        <v>15</v>
      </c>
      <c r="B5155" t="s">
        <v>39</v>
      </c>
      <c r="C5155" s="77" t="s">
        <v>73</v>
      </c>
      <c r="D5155" t="s">
        <v>81</v>
      </c>
      <c r="E5155" s="77" t="s">
        <v>116</v>
      </c>
      <c r="F5155" s="77" t="s">
        <v>73</v>
      </c>
      <c r="G5155" s="77" t="s">
        <v>74</v>
      </c>
      <c r="H5155" s="77" t="s">
        <v>102</v>
      </c>
      <c r="I5155" s="77" t="s">
        <v>84</v>
      </c>
      <c r="J5155" s="76">
        <v>3.3421988920214002E-2</v>
      </c>
    </row>
    <row r="5156" spans="1:10" x14ac:dyDescent="0.35">
      <c r="A5156" t="s">
        <v>15</v>
      </c>
      <c r="B5156" t="s">
        <v>39</v>
      </c>
      <c r="C5156" s="77" t="s">
        <v>73</v>
      </c>
      <c r="D5156" t="s">
        <v>81</v>
      </c>
      <c r="E5156" s="77" t="s">
        <v>117</v>
      </c>
      <c r="F5156" s="77" t="s">
        <v>73</v>
      </c>
      <c r="G5156" s="77" t="s">
        <v>74</v>
      </c>
      <c r="H5156" s="77" t="s">
        <v>102</v>
      </c>
      <c r="I5156" s="77" t="s">
        <v>84</v>
      </c>
      <c r="J5156" s="76">
        <f>'SUT_EU27 total'!$J$27</f>
        <v>20.996100000000002</v>
      </c>
    </row>
    <row r="5157" spans="1:10" x14ac:dyDescent="0.35">
      <c r="A5157" t="s">
        <v>15</v>
      </c>
      <c r="B5157" t="s">
        <v>39</v>
      </c>
      <c r="C5157" s="77" t="s">
        <v>73</v>
      </c>
      <c r="D5157" t="s">
        <v>81</v>
      </c>
      <c r="E5157" s="77" t="s">
        <v>101</v>
      </c>
      <c r="F5157" s="77" t="s">
        <v>73</v>
      </c>
      <c r="G5157" s="77" t="s">
        <v>74</v>
      </c>
      <c r="H5157" s="77" t="s">
        <v>102</v>
      </c>
      <c r="I5157" s="77" t="s">
        <v>84</v>
      </c>
      <c r="J5157" s="471" cm="1">
        <f t="array" ref="J5157:J5159">Sensitivity!J86:J88</f>
        <v>0.51705287995693072</v>
      </c>
    </row>
    <row r="5158" spans="1:10" x14ac:dyDescent="0.35">
      <c r="A5158" t="s">
        <v>15</v>
      </c>
      <c r="B5158" t="s">
        <v>39</v>
      </c>
      <c r="C5158" s="77" t="s">
        <v>73</v>
      </c>
      <c r="D5158" t="s">
        <v>81</v>
      </c>
      <c r="E5158" s="77" t="s">
        <v>104</v>
      </c>
      <c r="F5158" s="77" t="s">
        <v>73</v>
      </c>
      <c r="G5158" s="77" t="s">
        <v>74</v>
      </c>
      <c r="H5158" s="77" t="s">
        <v>102</v>
      </c>
      <c r="I5158" s="77" t="s">
        <v>84</v>
      </c>
      <c r="J5158" s="471">
        <v>0.29649301958370766</v>
      </c>
    </row>
    <row r="5159" spans="1:10" x14ac:dyDescent="0.35">
      <c r="A5159" t="s">
        <v>15</v>
      </c>
      <c r="B5159" t="s">
        <v>39</v>
      </c>
      <c r="C5159" s="77" t="s">
        <v>73</v>
      </c>
      <c r="D5159" t="s">
        <v>81</v>
      </c>
      <c r="E5159" s="77" t="s">
        <v>106</v>
      </c>
      <c r="F5159" s="77" t="s">
        <v>73</v>
      </c>
      <c r="G5159" s="77" t="s">
        <v>74</v>
      </c>
      <c r="H5159" s="77" t="s">
        <v>102</v>
      </c>
      <c r="I5159" s="77" t="s">
        <v>84</v>
      </c>
      <c r="J5159" s="471">
        <v>0.44070073885936156</v>
      </c>
    </row>
    <row r="5160" spans="1:10" x14ac:dyDescent="0.35">
      <c r="A5160" t="s">
        <v>15</v>
      </c>
      <c r="B5160" t="s">
        <v>39</v>
      </c>
      <c r="C5160" s="77" t="s">
        <v>88</v>
      </c>
      <c r="D5160" t="s">
        <v>81</v>
      </c>
      <c r="E5160" s="77" t="s">
        <v>115</v>
      </c>
      <c r="F5160" s="77" t="s">
        <v>73</v>
      </c>
      <c r="G5160" s="77" t="s">
        <v>74</v>
      </c>
      <c r="H5160" s="77" t="s">
        <v>102</v>
      </c>
      <c r="I5160" s="77" t="s">
        <v>84</v>
      </c>
      <c r="J5160" s="76" cm="1">
        <f t="array" ref="J5160:J5161">'SUT_EU27 total'!$J$36:$J$37</f>
        <v>78.857142857142847</v>
      </c>
    </row>
    <row r="5161" spans="1:10" x14ac:dyDescent="0.35">
      <c r="A5161" t="s">
        <v>15</v>
      </c>
      <c r="B5161" t="s">
        <v>39</v>
      </c>
      <c r="C5161" s="77" t="s">
        <v>88</v>
      </c>
      <c r="D5161" t="s">
        <v>81</v>
      </c>
      <c r="E5161" s="77" t="s">
        <v>116</v>
      </c>
      <c r="F5161" s="77" t="s">
        <v>73</v>
      </c>
      <c r="G5161" s="77" t="s">
        <v>74</v>
      </c>
      <c r="H5161" s="77" t="s">
        <v>102</v>
      </c>
      <c r="I5161" s="77" t="s">
        <v>84</v>
      </c>
      <c r="J5161" s="76">
        <v>0.7862213561563367</v>
      </c>
    </row>
    <row r="5162" spans="1:10" x14ac:dyDescent="0.35">
      <c r="A5162" t="s">
        <v>15</v>
      </c>
      <c r="B5162" t="s">
        <v>39</v>
      </c>
      <c r="C5162" s="77" t="s">
        <v>88</v>
      </c>
      <c r="D5162" t="s">
        <v>81</v>
      </c>
      <c r="E5162" s="77" t="s">
        <v>117</v>
      </c>
      <c r="F5162" s="77" t="s">
        <v>73</v>
      </c>
      <c r="G5162" s="77" t="s">
        <v>74</v>
      </c>
      <c r="H5162" s="77" t="s">
        <v>102</v>
      </c>
      <c r="I5162" s="77" t="s">
        <v>84</v>
      </c>
      <c r="J5162" s="76">
        <f>'SUT_EU27 total'!$J$44</f>
        <v>286.26390000000004</v>
      </c>
    </row>
    <row r="5163" spans="1:10" x14ac:dyDescent="0.35">
      <c r="A5163" t="s">
        <v>15</v>
      </c>
      <c r="B5163" t="s">
        <v>39</v>
      </c>
      <c r="C5163" s="77" t="s">
        <v>88</v>
      </c>
      <c r="D5163" t="s">
        <v>81</v>
      </c>
      <c r="E5163" s="77" t="s">
        <v>101</v>
      </c>
      <c r="F5163" s="77" t="s">
        <v>73</v>
      </c>
      <c r="G5163" s="77" t="s">
        <v>74</v>
      </c>
      <c r="H5163" s="77" t="s">
        <v>102</v>
      </c>
      <c r="I5163" s="77" t="s">
        <v>84</v>
      </c>
      <c r="J5163" s="76" cm="1">
        <f t="array" ref="J5163:J5165">'SUT_EU27 total'!$J$49:$J$51</f>
        <v>0</v>
      </c>
    </row>
    <row r="5164" spans="1:10" x14ac:dyDescent="0.35">
      <c r="A5164" t="s">
        <v>15</v>
      </c>
      <c r="B5164" t="s">
        <v>39</v>
      </c>
      <c r="C5164" s="77" t="s">
        <v>88</v>
      </c>
      <c r="D5164" t="s">
        <v>81</v>
      </c>
      <c r="E5164" s="77" t="s">
        <v>104</v>
      </c>
      <c r="F5164" s="77" t="s">
        <v>73</v>
      </c>
      <c r="G5164" s="77" t="s">
        <v>74</v>
      </c>
      <c r="H5164" s="77" t="s">
        <v>102</v>
      </c>
      <c r="I5164" s="77" t="s">
        <v>84</v>
      </c>
      <c r="J5164" s="76">
        <v>0</v>
      </c>
    </row>
    <row r="5165" spans="1:10" x14ac:dyDescent="0.35">
      <c r="A5165" t="s">
        <v>15</v>
      </c>
      <c r="B5165" t="s">
        <v>39</v>
      </c>
      <c r="C5165" s="77" t="s">
        <v>88</v>
      </c>
      <c r="D5165" t="s">
        <v>81</v>
      </c>
      <c r="E5165" s="77" t="s">
        <v>106</v>
      </c>
      <c r="F5165" s="77" t="s">
        <v>73</v>
      </c>
      <c r="G5165" s="77" t="s">
        <v>74</v>
      </c>
      <c r="H5165" s="77" t="s">
        <v>102</v>
      </c>
      <c r="I5165" s="77" t="s">
        <v>84</v>
      </c>
      <c r="J5165" s="76">
        <v>0</v>
      </c>
    </row>
    <row r="5166" spans="1:10" x14ac:dyDescent="0.35">
      <c r="A5166" t="s">
        <v>15</v>
      </c>
      <c r="B5166" t="s">
        <v>39</v>
      </c>
      <c r="C5166" s="77" t="s">
        <v>90</v>
      </c>
      <c r="D5166" t="s">
        <v>81</v>
      </c>
      <c r="E5166" s="77" t="s">
        <v>115</v>
      </c>
      <c r="F5166" s="77" t="s">
        <v>73</v>
      </c>
      <c r="G5166" s="77" t="s">
        <v>74</v>
      </c>
      <c r="H5166" s="77" t="s">
        <v>102</v>
      </c>
      <c r="I5166" s="77" t="s">
        <v>84</v>
      </c>
      <c r="J5166" s="76" cm="1">
        <f t="array" ref="J5166:J5167">'SUT_EU27 total'!$J$53:$J$54</f>
        <v>7.7904761904761894</v>
      </c>
    </row>
    <row r="5167" spans="1:10" x14ac:dyDescent="0.35">
      <c r="A5167" t="s">
        <v>15</v>
      </c>
      <c r="B5167" t="s">
        <v>39</v>
      </c>
      <c r="C5167" s="77" t="s">
        <v>90</v>
      </c>
      <c r="D5167" t="s">
        <v>81</v>
      </c>
      <c r="E5167" s="77" t="s">
        <v>116</v>
      </c>
      <c r="F5167" s="77" t="s">
        <v>73</v>
      </c>
      <c r="G5167" s="77" t="s">
        <v>74</v>
      </c>
      <c r="H5167" s="77" t="s">
        <v>102</v>
      </c>
      <c r="I5167" s="77" t="s">
        <v>84</v>
      </c>
      <c r="J5167" s="76">
        <v>1.5473889063756709E-2</v>
      </c>
    </row>
    <row r="5168" spans="1:10" x14ac:dyDescent="0.35">
      <c r="A5168" t="s">
        <v>15</v>
      </c>
      <c r="B5168" t="s">
        <v>39</v>
      </c>
      <c r="C5168" s="77" t="s">
        <v>90</v>
      </c>
      <c r="D5168" t="s">
        <v>81</v>
      </c>
      <c r="E5168" s="77" t="s">
        <v>117</v>
      </c>
      <c r="F5168" s="77" t="s">
        <v>73</v>
      </c>
      <c r="G5168" s="77" t="s">
        <v>74</v>
      </c>
      <c r="H5168" s="77" t="s">
        <v>102</v>
      </c>
      <c r="I5168" s="77" t="s">
        <v>84</v>
      </c>
      <c r="J5168" s="76">
        <f>'SUT_EU27 total'!$J$61</f>
        <v>11.2662</v>
      </c>
    </row>
    <row r="5169" spans="1:10" x14ac:dyDescent="0.35">
      <c r="A5169" t="s">
        <v>15</v>
      </c>
      <c r="B5169" t="s">
        <v>39</v>
      </c>
      <c r="C5169" s="77" t="s">
        <v>90</v>
      </c>
      <c r="D5169" t="s">
        <v>81</v>
      </c>
      <c r="E5169" s="77" t="s">
        <v>101</v>
      </c>
      <c r="F5169" s="77" t="s">
        <v>73</v>
      </c>
      <c r="G5169" s="77" t="s">
        <v>74</v>
      </c>
      <c r="H5169" s="77" t="s">
        <v>102</v>
      </c>
      <c r="I5169" s="77" t="s">
        <v>84</v>
      </c>
      <c r="J5169" s="76" cm="1">
        <f t="array" ref="J5169:J5171">'SUT_EU27 total'!$J$66:$J$68</f>
        <v>0</v>
      </c>
    </row>
    <row r="5170" spans="1:10" x14ac:dyDescent="0.35">
      <c r="A5170" t="s">
        <v>15</v>
      </c>
      <c r="B5170" t="s">
        <v>39</v>
      </c>
      <c r="C5170" s="77" t="s">
        <v>90</v>
      </c>
      <c r="D5170" t="s">
        <v>81</v>
      </c>
      <c r="E5170" s="77" t="s">
        <v>104</v>
      </c>
      <c r="F5170" s="77" t="s">
        <v>73</v>
      </c>
      <c r="G5170" s="77" t="s">
        <v>74</v>
      </c>
      <c r="H5170" s="77" t="s">
        <v>102</v>
      </c>
      <c r="I5170" s="77" t="s">
        <v>84</v>
      </c>
      <c r="J5170" s="76">
        <v>0</v>
      </c>
    </row>
    <row r="5171" spans="1:10" x14ac:dyDescent="0.35">
      <c r="A5171" t="s">
        <v>15</v>
      </c>
      <c r="B5171" t="s">
        <v>39</v>
      </c>
      <c r="C5171" s="77" t="s">
        <v>90</v>
      </c>
      <c r="D5171" t="s">
        <v>81</v>
      </c>
      <c r="E5171" s="77" t="s">
        <v>106</v>
      </c>
      <c r="F5171" s="77" t="s">
        <v>73</v>
      </c>
      <c r="G5171" s="77" t="s">
        <v>74</v>
      </c>
      <c r="H5171" s="77" t="s">
        <v>102</v>
      </c>
      <c r="I5171" s="77" t="s">
        <v>84</v>
      </c>
      <c r="J5171" s="76">
        <v>0</v>
      </c>
    </row>
    <row r="5172" spans="1:10" x14ac:dyDescent="0.35">
      <c r="A5172" t="s">
        <v>15</v>
      </c>
      <c r="B5172" t="s">
        <v>39</v>
      </c>
      <c r="C5172" s="77" t="s">
        <v>91</v>
      </c>
      <c r="D5172" t="s">
        <v>81</v>
      </c>
      <c r="E5172" s="77" t="s">
        <v>115</v>
      </c>
      <c r="F5172" s="77" t="s">
        <v>73</v>
      </c>
      <c r="G5172" s="77" t="s">
        <v>74</v>
      </c>
      <c r="H5172" s="77" t="s">
        <v>102</v>
      </c>
      <c r="I5172" s="77" t="s">
        <v>84</v>
      </c>
      <c r="J5172" s="76" cm="1">
        <f t="array" ref="J5172:J5173">'SUT_EU27 total'!$J$70:$J$71</f>
        <v>15.771428571428569</v>
      </c>
    </row>
    <row r="5173" spans="1:10" x14ac:dyDescent="0.35">
      <c r="A5173" t="s">
        <v>15</v>
      </c>
      <c r="B5173" t="s">
        <v>39</v>
      </c>
      <c r="C5173" s="77" t="s">
        <v>91</v>
      </c>
      <c r="D5173" t="s">
        <v>81</v>
      </c>
      <c r="E5173" s="77" t="s">
        <v>116</v>
      </c>
      <c r="F5173" s="77" t="s">
        <v>73</v>
      </c>
      <c r="G5173" s="77" t="s">
        <v>74</v>
      </c>
      <c r="H5173" s="77" t="s">
        <v>102</v>
      </c>
      <c r="I5173" s="77" t="s">
        <v>84</v>
      </c>
      <c r="J5173" s="76">
        <v>8.7507175559917313E-2</v>
      </c>
    </row>
    <row r="5174" spans="1:10" x14ac:dyDescent="0.35">
      <c r="A5174" t="s">
        <v>15</v>
      </c>
      <c r="B5174" t="s">
        <v>39</v>
      </c>
      <c r="C5174" s="77" t="s">
        <v>91</v>
      </c>
      <c r="D5174" t="s">
        <v>81</v>
      </c>
      <c r="E5174" s="77" t="s">
        <v>117</v>
      </c>
      <c r="F5174" s="77" t="s">
        <v>73</v>
      </c>
      <c r="G5174" s="77" t="s">
        <v>74</v>
      </c>
      <c r="H5174" s="77" t="s">
        <v>102</v>
      </c>
      <c r="I5174" s="77" t="s">
        <v>84</v>
      </c>
      <c r="J5174" s="76">
        <f>'SUT_EU27 total'!$J$78</f>
        <v>41.4801</v>
      </c>
    </row>
    <row r="5175" spans="1:10" x14ac:dyDescent="0.35">
      <c r="A5175" t="s">
        <v>15</v>
      </c>
      <c r="B5175" t="s">
        <v>39</v>
      </c>
      <c r="C5175" s="77" t="s">
        <v>91</v>
      </c>
      <c r="D5175" t="s">
        <v>81</v>
      </c>
      <c r="E5175" s="77" t="s">
        <v>101</v>
      </c>
      <c r="F5175" s="77" t="s">
        <v>73</v>
      </c>
      <c r="G5175" s="77" t="s">
        <v>74</v>
      </c>
      <c r="H5175" s="77" t="s">
        <v>102</v>
      </c>
      <c r="I5175" s="77" t="s">
        <v>84</v>
      </c>
      <c r="J5175" s="76" cm="1">
        <f t="array" ref="J5175:J5177">'SUT_EU27 total'!$J$83:$J$85</f>
        <v>0</v>
      </c>
    </row>
    <row r="5176" spans="1:10" x14ac:dyDescent="0.35">
      <c r="A5176" t="s">
        <v>15</v>
      </c>
      <c r="B5176" t="s">
        <v>39</v>
      </c>
      <c r="C5176" s="77" t="s">
        <v>91</v>
      </c>
      <c r="D5176" t="s">
        <v>81</v>
      </c>
      <c r="E5176" s="77" t="s">
        <v>104</v>
      </c>
      <c r="F5176" s="77" t="s">
        <v>73</v>
      </c>
      <c r="G5176" s="77" t="s">
        <v>74</v>
      </c>
      <c r="H5176" s="77" t="s">
        <v>102</v>
      </c>
      <c r="I5176" s="77" t="s">
        <v>84</v>
      </c>
      <c r="J5176" s="76">
        <v>0</v>
      </c>
    </row>
    <row r="5177" spans="1:10" x14ac:dyDescent="0.35">
      <c r="A5177" t="s">
        <v>15</v>
      </c>
      <c r="B5177" t="s">
        <v>39</v>
      </c>
      <c r="C5177" s="77" t="s">
        <v>91</v>
      </c>
      <c r="D5177" t="s">
        <v>81</v>
      </c>
      <c r="E5177" s="77" t="s">
        <v>106</v>
      </c>
      <c r="F5177" s="77" t="s">
        <v>73</v>
      </c>
      <c r="G5177" s="77" t="s">
        <v>74</v>
      </c>
      <c r="H5177" s="77" t="s">
        <v>102</v>
      </c>
      <c r="I5177" s="77" t="s">
        <v>84</v>
      </c>
      <c r="J5177" s="76">
        <v>0</v>
      </c>
    </row>
    <row r="5178" spans="1:10" x14ac:dyDescent="0.35">
      <c r="A5178" t="s">
        <v>15</v>
      </c>
      <c r="B5178" t="s">
        <v>39</v>
      </c>
      <c r="C5178" s="77" t="s">
        <v>92</v>
      </c>
      <c r="D5178" t="s">
        <v>81</v>
      </c>
      <c r="E5178" s="77" t="s">
        <v>115</v>
      </c>
      <c r="F5178" s="77" t="s">
        <v>73</v>
      </c>
      <c r="G5178" s="77" t="s">
        <v>74</v>
      </c>
      <c r="H5178" s="77" t="s">
        <v>102</v>
      </c>
      <c r="I5178" s="77" t="s">
        <v>84</v>
      </c>
      <c r="J5178" s="76" cm="1">
        <f t="array" ref="J5178:J5179">'SUT_EU27 total'!$J$87:$J$88</f>
        <v>6.6239999999999997</v>
      </c>
    </row>
    <row r="5179" spans="1:10" x14ac:dyDescent="0.35">
      <c r="A5179" t="s">
        <v>15</v>
      </c>
      <c r="B5179" t="s">
        <v>39</v>
      </c>
      <c r="C5179" s="77" t="s">
        <v>92</v>
      </c>
      <c r="D5179" t="s">
        <v>81</v>
      </c>
      <c r="E5179" s="77" t="s">
        <v>116</v>
      </c>
      <c r="F5179" s="77" t="s">
        <v>73</v>
      </c>
      <c r="G5179" s="77" t="s">
        <v>74</v>
      </c>
      <c r="H5179" s="77" t="s">
        <v>102</v>
      </c>
      <c r="I5179" s="77" t="s">
        <v>84</v>
      </c>
      <c r="J5179" s="76">
        <v>6.0040746268656714E-2</v>
      </c>
    </row>
    <row r="5180" spans="1:10" x14ac:dyDescent="0.35">
      <c r="A5180" t="s">
        <v>15</v>
      </c>
      <c r="B5180" t="s">
        <v>39</v>
      </c>
      <c r="C5180" s="77" t="s">
        <v>92</v>
      </c>
      <c r="D5180" t="s">
        <v>81</v>
      </c>
      <c r="E5180" s="77" t="s">
        <v>117</v>
      </c>
      <c r="F5180" s="77" t="s">
        <v>73</v>
      </c>
      <c r="G5180" s="77" t="s">
        <v>74</v>
      </c>
      <c r="H5180" s="77" t="s">
        <v>102</v>
      </c>
      <c r="I5180" s="77" t="s">
        <v>84</v>
      </c>
      <c r="J5180" s="76">
        <f>'SUT_EU27 total'!$J$95</f>
        <v>13.3146</v>
      </c>
    </row>
    <row r="5181" spans="1:10" x14ac:dyDescent="0.35">
      <c r="A5181" t="s">
        <v>15</v>
      </c>
      <c r="B5181" t="s">
        <v>39</v>
      </c>
      <c r="C5181" s="77" t="s">
        <v>92</v>
      </c>
      <c r="D5181" t="s">
        <v>81</v>
      </c>
      <c r="E5181" s="77" t="s">
        <v>101</v>
      </c>
      <c r="F5181" s="77" t="s">
        <v>73</v>
      </c>
      <c r="G5181" s="77" t="s">
        <v>74</v>
      </c>
      <c r="H5181" s="77" t="s">
        <v>102</v>
      </c>
      <c r="I5181" s="77" t="s">
        <v>84</v>
      </c>
      <c r="J5181" s="76" cm="1">
        <f t="array" ref="J5181:J5183">'SUT_EU27 total'!$J$100:$J$102</f>
        <v>0</v>
      </c>
    </row>
    <row r="5182" spans="1:10" x14ac:dyDescent="0.35">
      <c r="A5182" t="s">
        <v>15</v>
      </c>
      <c r="B5182" t="s">
        <v>39</v>
      </c>
      <c r="C5182" s="77" t="s">
        <v>92</v>
      </c>
      <c r="D5182" t="s">
        <v>81</v>
      </c>
      <c r="E5182" s="77" t="s">
        <v>104</v>
      </c>
      <c r="F5182" s="77" t="s">
        <v>73</v>
      </c>
      <c r="G5182" s="77" t="s">
        <v>74</v>
      </c>
      <c r="H5182" s="77" t="s">
        <v>102</v>
      </c>
      <c r="I5182" s="77" t="s">
        <v>84</v>
      </c>
      <c r="J5182" s="76">
        <v>0</v>
      </c>
    </row>
    <row r="5183" spans="1:10" x14ac:dyDescent="0.35">
      <c r="A5183" t="s">
        <v>15</v>
      </c>
      <c r="B5183" t="s">
        <v>39</v>
      </c>
      <c r="C5183" s="77" t="s">
        <v>92</v>
      </c>
      <c r="D5183" t="s">
        <v>81</v>
      </c>
      <c r="E5183" s="77" t="s">
        <v>106</v>
      </c>
      <c r="F5183" s="77" t="s">
        <v>73</v>
      </c>
      <c r="G5183" s="77" t="s">
        <v>74</v>
      </c>
      <c r="H5183" s="77" t="s">
        <v>102</v>
      </c>
      <c r="I5183" s="77" t="s">
        <v>84</v>
      </c>
      <c r="J5183" s="76">
        <v>0</v>
      </c>
    </row>
    <row r="5184" spans="1:10" x14ac:dyDescent="0.35">
      <c r="A5184" t="s">
        <v>15</v>
      </c>
      <c r="B5184" t="s">
        <v>39</v>
      </c>
      <c r="C5184" s="77" t="s">
        <v>93</v>
      </c>
      <c r="D5184" t="s">
        <v>81</v>
      </c>
      <c r="E5184" s="77" t="s">
        <v>115</v>
      </c>
      <c r="F5184" s="77" t="s">
        <v>73</v>
      </c>
      <c r="G5184" s="77" t="s">
        <v>74</v>
      </c>
      <c r="H5184" s="77" t="s">
        <v>102</v>
      </c>
      <c r="I5184" s="77" t="s">
        <v>84</v>
      </c>
      <c r="J5184" s="76" cm="1">
        <f t="array" ref="J5184:J5185">'SUT_EU27 total'!$J$104:$J$105</f>
        <v>44.633142857142865</v>
      </c>
    </row>
    <row r="5185" spans="1:10" x14ac:dyDescent="0.35">
      <c r="A5185" t="s">
        <v>15</v>
      </c>
      <c r="B5185" t="s">
        <v>39</v>
      </c>
      <c r="C5185" s="77" t="s">
        <v>93</v>
      </c>
      <c r="D5185" t="s">
        <v>81</v>
      </c>
      <c r="E5185" s="77" t="s">
        <v>116</v>
      </c>
      <c r="F5185" s="77" t="s">
        <v>73</v>
      </c>
      <c r="G5185" s="77" t="s">
        <v>74</v>
      </c>
      <c r="H5185" s="77" t="s">
        <v>102</v>
      </c>
      <c r="I5185" s="77" t="s">
        <v>84</v>
      </c>
      <c r="J5185" s="76">
        <v>0.3673348440311186</v>
      </c>
    </row>
    <row r="5186" spans="1:10" x14ac:dyDescent="0.35">
      <c r="A5186" t="s">
        <v>15</v>
      </c>
      <c r="B5186" t="s">
        <v>39</v>
      </c>
      <c r="C5186" s="77" t="s">
        <v>93</v>
      </c>
      <c r="D5186" t="s">
        <v>81</v>
      </c>
      <c r="E5186" s="77" t="s">
        <v>117</v>
      </c>
      <c r="F5186" s="77" t="s">
        <v>73</v>
      </c>
      <c r="G5186" s="77" t="s">
        <v>74</v>
      </c>
      <c r="H5186" s="77" t="s">
        <v>102</v>
      </c>
      <c r="I5186" s="77" t="s">
        <v>84</v>
      </c>
      <c r="J5186" s="76">
        <f>'SUT_EU27 total'!$J$112</f>
        <v>138.77909999999997</v>
      </c>
    </row>
    <row r="5187" spans="1:10" x14ac:dyDescent="0.35">
      <c r="A5187" t="s">
        <v>15</v>
      </c>
      <c r="B5187" t="s">
        <v>39</v>
      </c>
      <c r="C5187" s="77" t="s">
        <v>93</v>
      </c>
      <c r="D5187" t="s">
        <v>81</v>
      </c>
      <c r="E5187" s="77" t="s">
        <v>101</v>
      </c>
      <c r="F5187" s="77" t="s">
        <v>73</v>
      </c>
      <c r="G5187" s="77" t="s">
        <v>74</v>
      </c>
      <c r="H5187" s="77" t="s">
        <v>102</v>
      </c>
      <c r="I5187" s="77" t="s">
        <v>84</v>
      </c>
      <c r="J5187" s="76" cm="1">
        <f t="array" ref="J5187:J5189">'SUT_EU27 total'!$J$117:$J$119</f>
        <v>0</v>
      </c>
    </row>
    <row r="5188" spans="1:10" x14ac:dyDescent="0.35">
      <c r="A5188" t="s">
        <v>15</v>
      </c>
      <c r="B5188" t="s">
        <v>39</v>
      </c>
      <c r="C5188" s="77" t="s">
        <v>93</v>
      </c>
      <c r="D5188" t="s">
        <v>81</v>
      </c>
      <c r="E5188" s="77" t="s">
        <v>104</v>
      </c>
      <c r="F5188" s="77" t="s">
        <v>73</v>
      </c>
      <c r="G5188" s="77" t="s">
        <v>74</v>
      </c>
      <c r="H5188" s="77" t="s">
        <v>102</v>
      </c>
      <c r="I5188" s="77" t="s">
        <v>84</v>
      </c>
      <c r="J5188" s="76">
        <v>0</v>
      </c>
    </row>
    <row r="5189" spans="1:10" x14ac:dyDescent="0.35">
      <c r="A5189" t="s">
        <v>15</v>
      </c>
      <c r="B5189" t="s">
        <v>39</v>
      </c>
      <c r="C5189" s="77" t="s">
        <v>93</v>
      </c>
      <c r="D5189" t="s">
        <v>81</v>
      </c>
      <c r="E5189" s="77" t="s">
        <v>106</v>
      </c>
      <c r="F5189" s="77" t="s">
        <v>73</v>
      </c>
      <c r="G5189" s="77" t="s">
        <v>74</v>
      </c>
      <c r="H5189" s="77" t="s">
        <v>102</v>
      </c>
      <c r="I5189" s="77" t="s">
        <v>84</v>
      </c>
      <c r="J5189" s="76">
        <v>0</v>
      </c>
    </row>
    <row r="5190" spans="1:10" x14ac:dyDescent="0.35">
      <c r="A5190" t="s">
        <v>15</v>
      </c>
      <c r="B5190" t="s">
        <v>39</v>
      </c>
      <c r="C5190" s="77" t="s">
        <v>73</v>
      </c>
      <c r="D5190" t="s">
        <v>81</v>
      </c>
      <c r="E5190" s="77" t="s">
        <v>118</v>
      </c>
      <c r="F5190" s="77" t="s">
        <v>73</v>
      </c>
      <c r="G5190" s="77" t="s">
        <v>74</v>
      </c>
      <c r="H5190" s="77" t="s">
        <v>108</v>
      </c>
      <c r="I5190" s="77" t="s">
        <v>84</v>
      </c>
      <c r="J5190" s="76" cm="1">
        <f t="array" ref="J5190:J5192">'SUT_EU27 total'!$K$21:$K$23</f>
        <v>1.4582562144772118E-3</v>
      </c>
    </row>
    <row r="5191" spans="1:10" x14ac:dyDescent="0.35">
      <c r="A5191" t="s">
        <v>15</v>
      </c>
      <c r="B5191" t="s">
        <v>39</v>
      </c>
      <c r="C5191" s="77" t="s">
        <v>73</v>
      </c>
      <c r="D5191" t="s">
        <v>81</v>
      </c>
      <c r="E5191" s="77" t="s">
        <v>119</v>
      </c>
      <c r="F5191" s="77" t="s">
        <v>73</v>
      </c>
      <c r="G5191" s="77" t="s">
        <v>74</v>
      </c>
      <c r="H5191" s="77" t="s">
        <v>108</v>
      </c>
      <c r="I5191" s="77" t="s">
        <v>84</v>
      </c>
      <c r="J5191" s="76">
        <v>8.4634636521458274E-4</v>
      </c>
    </row>
    <row r="5192" spans="1:10" x14ac:dyDescent="0.35">
      <c r="A5192" t="s">
        <v>15</v>
      </c>
      <c r="B5192" t="s">
        <v>39</v>
      </c>
      <c r="C5192" s="77" t="s">
        <v>73</v>
      </c>
      <c r="D5192" t="s">
        <v>81</v>
      </c>
      <c r="E5192" s="77" t="s">
        <v>120</v>
      </c>
      <c r="F5192" s="77" t="s">
        <v>73</v>
      </c>
      <c r="G5192" s="77" t="s">
        <v>74</v>
      </c>
      <c r="H5192" s="77" t="s">
        <v>108</v>
      </c>
      <c r="I5192" s="77" t="s">
        <v>84</v>
      </c>
      <c r="J5192" s="76">
        <v>1.2517329093179335E-4</v>
      </c>
    </row>
    <row r="5193" spans="1:10" x14ac:dyDescent="0.35">
      <c r="A5193" t="s">
        <v>15</v>
      </c>
      <c r="B5193" t="s">
        <v>39</v>
      </c>
      <c r="C5193" s="77" t="s">
        <v>73</v>
      </c>
      <c r="D5193" t="s">
        <v>81</v>
      </c>
      <c r="E5193" s="77" t="s">
        <v>121</v>
      </c>
      <c r="F5193" s="77" t="s">
        <v>73</v>
      </c>
      <c r="G5193" s="77" t="s">
        <v>74</v>
      </c>
      <c r="H5193" s="77" t="s">
        <v>108</v>
      </c>
      <c r="I5193" s="77" t="s">
        <v>84</v>
      </c>
      <c r="J5193" s="76">
        <f>'SUT_EU27 total'!$K$25</f>
        <v>6.9749679999999994E-2</v>
      </c>
    </row>
    <row r="5194" spans="1:10" x14ac:dyDescent="0.35">
      <c r="A5194" t="s">
        <v>15</v>
      </c>
      <c r="B5194" t="s">
        <v>39</v>
      </c>
      <c r="C5194" s="77" t="s">
        <v>73</v>
      </c>
      <c r="D5194" t="s">
        <v>81</v>
      </c>
      <c r="E5194" s="77" t="s">
        <v>117</v>
      </c>
      <c r="F5194" s="77" t="s">
        <v>73</v>
      </c>
      <c r="G5194" s="77" t="s">
        <v>74</v>
      </c>
      <c r="H5194" s="77" t="s">
        <v>108</v>
      </c>
      <c r="I5194" s="77" t="s">
        <v>84</v>
      </c>
      <c r="J5194" s="76">
        <f>'SUT_EU27 total'!$K$27</f>
        <v>1.1932942595726979E-3</v>
      </c>
    </row>
    <row r="5195" spans="1:10" x14ac:dyDescent="0.35">
      <c r="A5195" t="s">
        <v>15</v>
      </c>
      <c r="B5195" t="s">
        <v>39</v>
      </c>
      <c r="C5195" s="77" t="s">
        <v>73</v>
      </c>
      <c r="D5195" t="s">
        <v>81</v>
      </c>
      <c r="E5195" s="77" t="s">
        <v>122</v>
      </c>
      <c r="F5195" s="77" t="s">
        <v>73</v>
      </c>
      <c r="G5195" s="77" t="s">
        <v>74</v>
      </c>
      <c r="H5195" s="77" t="s">
        <v>108</v>
      </c>
      <c r="I5195" s="77" t="s">
        <v>84</v>
      </c>
      <c r="J5195" s="76">
        <f>'SUT_EU27 total'!$K$30</f>
        <v>1.5965533412604042E-3</v>
      </c>
    </row>
    <row r="5196" spans="1:10" x14ac:dyDescent="0.35">
      <c r="A5196" t="s">
        <v>15</v>
      </c>
      <c r="B5196" t="s">
        <v>39</v>
      </c>
      <c r="C5196" s="77" t="s">
        <v>73</v>
      </c>
      <c r="D5196" t="s">
        <v>81</v>
      </c>
      <c r="E5196" s="77" t="s">
        <v>101</v>
      </c>
      <c r="F5196" s="77" t="s">
        <v>73</v>
      </c>
      <c r="G5196" s="77" t="s">
        <v>74</v>
      </c>
      <c r="H5196" s="77" t="s">
        <v>108</v>
      </c>
      <c r="I5196" s="77" t="s">
        <v>84</v>
      </c>
      <c r="J5196" s="471" cm="1">
        <f t="array" ref="J5196:J5198">Sensitivity!J89:J91</f>
        <v>9.3634951329599192E-4</v>
      </c>
    </row>
    <row r="5197" spans="1:10" x14ac:dyDescent="0.35">
      <c r="A5197" t="s">
        <v>15</v>
      </c>
      <c r="B5197" t="s">
        <v>39</v>
      </c>
      <c r="C5197" s="77" t="s">
        <v>73</v>
      </c>
      <c r="D5197" t="s">
        <v>81</v>
      </c>
      <c r="E5197" s="77" t="s">
        <v>104</v>
      </c>
      <c r="F5197" s="77" t="s">
        <v>73</v>
      </c>
      <c r="G5197" s="77" t="s">
        <v>74</v>
      </c>
      <c r="H5197" s="77" t="s">
        <v>108</v>
      </c>
      <c r="I5197" s="77" t="s">
        <v>84</v>
      </c>
      <c r="J5197" s="471">
        <v>5.3692979063570611E-4</v>
      </c>
    </row>
    <row r="5198" spans="1:10" x14ac:dyDescent="0.35">
      <c r="A5198" t="s">
        <v>15</v>
      </c>
      <c r="B5198" t="s">
        <v>39</v>
      </c>
      <c r="C5198" s="77" t="s">
        <v>73</v>
      </c>
      <c r="D5198" t="s">
        <v>81</v>
      </c>
      <c r="E5198" s="77" t="s">
        <v>106</v>
      </c>
      <c r="F5198" s="77" t="s">
        <v>73</v>
      </c>
      <c r="G5198" s="77" t="s">
        <v>74</v>
      </c>
      <c r="H5198" s="77" t="s">
        <v>108</v>
      </c>
      <c r="I5198" s="77" t="s">
        <v>84</v>
      </c>
      <c r="J5198" s="471">
        <v>7.9808069606830158E-4</v>
      </c>
    </row>
    <row r="5199" spans="1:10" x14ac:dyDescent="0.35">
      <c r="A5199" t="s">
        <v>15</v>
      </c>
      <c r="B5199" t="s">
        <v>39</v>
      </c>
      <c r="C5199" s="77" t="s">
        <v>88</v>
      </c>
      <c r="D5199" t="s">
        <v>81</v>
      </c>
      <c r="E5199" s="77" t="s">
        <v>118</v>
      </c>
      <c r="F5199" s="77" t="s">
        <v>73</v>
      </c>
      <c r="G5199" s="77" t="s">
        <v>74</v>
      </c>
      <c r="H5199" s="77" t="s">
        <v>108</v>
      </c>
      <c r="I5199" s="77" t="s">
        <v>84</v>
      </c>
      <c r="J5199" s="76" cm="1">
        <f t="array" ref="J5199:J5201">'SUT_EU27 total'!$K$38:$K$40</f>
        <v>3.3029309855227888E-2</v>
      </c>
    </row>
    <row r="5200" spans="1:10" x14ac:dyDescent="0.35">
      <c r="A5200" t="s">
        <v>15</v>
      </c>
      <c r="B5200" t="s">
        <v>39</v>
      </c>
      <c r="C5200" s="77" t="s">
        <v>88</v>
      </c>
      <c r="D5200" t="s">
        <v>81</v>
      </c>
      <c r="E5200" s="77" t="s">
        <v>119</v>
      </c>
      <c r="F5200" s="77" t="s">
        <v>73</v>
      </c>
      <c r="G5200" s="77" t="s">
        <v>74</v>
      </c>
      <c r="H5200" s="77" t="s">
        <v>108</v>
      </c>
      <c r="I5200" s="77" t="s">
        <v>84</v>
      </c>
      <c r="J5200" s="76">
        <v>6.9915569300335089E-3</v>
      </c>
    </row>
    <row r="5201" spans="1:10" x14ac:dyDescent="0.35">
      <c r="A5201" t="s">
        <v>15</v>
      </c>
      <c r="B5201" t="s">
        <v>39</v>
      </c>
      <c r="C5201" s="77" t="s">
        <v>88</v>
      </c>
      <c r="D5201" t="s">
        <v>81</v>
      </c>
      <c r="E5201" s="77" t="s">
        <v>120</v>
      </c>
      <c r="F5201" s="77" t="s">
        <v>73</v>
      </c>
      <c r="G5201" s="77" t="s">
        <v>74</v>
      </c>
      <c r="H5201" s="77" t="s">
        <v>108</v>
      </c>
      <c r="I5201" s="77" t="s">
        <v>84</v>
      </c>
      <c r="J5201" s="76">
        <v>1.5283979779928203E-3</v>
      </c>
    </row>
    <row r="5202" spans="1:10" x14ac:dyDescent="0.35">
      <c r="A5202" t="s">
        <v>15</v>
      </c>
      <c r="B5202" t="s">
        <v>39</v>
      </c>
      <c r="C5202" s="77" t="s">
        <v>88</v>
      </c>
      <c r="D5202" t="s">
        <v>81</v>
      </c>
      <c r="E5202" s="77" t="s">
        <v>121</v>
      </c>
      <c r="F5202" s="77" t="s">
        <v>73</v>
      </c>
      <c r="G5202" s="77" t="s">
        <v>74</v>
      </c>
      <c r="H5202" s="77" t="s">
        <v>108</v>
      </c>
      <c r="I5202" s="77" t="s">
        <v>84</v>
      </c>
      <c r="J5202" s="76">
        <f>'SUT_EU27 total'!$K$42</f>
        <v>0</v>
      </c>
    </row>
    <row r="5203" spans="1:10" x14ac:dyDescent="0.35">
      <c r="A5203" t="s">
        <v>15</v>
      </c>
      <c r="B5203" t="s">
        <v>39</v>
      </c>
      <c r="C5203" s="77" t="s">
        <v>88</v>
      </c>
      <c r="D5203" t="s">
        <v>81</v>
      </c>
      <c r="E5203" s="77" t="s">
        <v>117</v>
      </c>
      <c r="F5203" s="77" t="s">
        <v>73</v>
      </c>
      <c r="G5203" s="77" t="s">
        <v>74</v>
      </c>
      <c r="H5203" s="77" t="s">
        <v>108</v>
      </c>
      <c r="I5203" s="77" t="s">
        <v>84</v>
      </c>
      <c r="J5203" s="76">
        <f>'SUT_EU27 total'!$K$44</f>
        <v>9.9090099874062521E-4</v>
      </c>
    </row>
    <row r="5204" spans="1:10" x14ac:dyDescent="0.35">
      <c r="A5204" t="s">
        <v>15</v>
      </c>
      <c r="B5204" t="s">
        <v>39</v>
      </c>
      <c r="C5204" s="77" t="s">
        <v>88</v>
      </c>
      <c r="D5204" t="s">
        <v>81</v>
      </c>
      <c r="E5204" s="77" t="s">
        <v>122</v>
      </c>
      <c r="F5204" s="77" t="s">
        <v>73</v>
      </c>
      <c r="G5204" s="77" t="s">
        <v>74</v>
      </c>
      <c r="H5204" s="77" t="s">
        <v>108</v>
      </c>
      <c r="I5204" s="77" t="s">
        <v>84</v>
      </c>
      <c r="J5204" s="76">
        <f>'SUT_EU27 total'!$K$47</f>
        <v>0</v>
      </c>
    </row>
    <row r="5205" spans="1:10" x14ac:dyDescent="0.35">
      <c r="A5205" t="s">
        <v>15</v>
      </c>
      <c r="B5205" t="s">
        <v>39</v>
      </c>
      <c r="C5205" s="77" t="s">
        <v>88</v>
      </c>
      <c r="D5205" t="s">
        <v>81</v>
      </c>
      <c r="E5205" s="77" t="s">
        <v>101</v>
      </c>
      <c r="F5205" s="77" t="s">
        <v>73</v>
      </c>
      <c r="G5205" s="77" t="s">
        <v>74</v>
      </c>
      <c r="H5205" s="77" t="s">
        <v>108</v>
      </c>
      <c r="I5205" s="77" t="s">
        <v>84</v>
      </c>
      <c r="J5205" s="76" cm="1">
        <f t="array" ref="J5205:J5207">'SUT_EU27 total'!$K$49:$K$51</f>
        <v>0</v>
      </c>
    </row>
    <row r="5206" spans="1:10" x14ac:dyDescent="0.35">
      <c r="A5206" t="s">
        <v>15</v>
      </c>
      <c r="B5206" t="s">
        <v>39</v>
      </c>
      <c r="C5206" s="77" t="s">
        <v>88</v>
      </c>
      <c r="D5206" t="s">
        <v>81</v>
      </c>
      <c r="E5206" s="77" t="s">
        <v>104</v>
      </c>
      <c r="F5206" s="77" t="s">
        <v>73</v>
      </c>
      <c r="G5206" s="77" t="s">
        <v>74</v>
      </c>
      <c r="H5206" s="77" t="s">
        <v>108</v>
      </c>
      <c r="I5206" s="77" t="s">
        <v>84</v>
      </c>
      <c r="J5206" s="76">
        <v>0</v>
      </c>
    </row>
    <row r="5207" spans="1:10" x14ac:dyDescent="0.35">
      <c r="A5207" t="s">
        <v>15</v>
      </c>
      <c r="B5207" t="s">
        <v>39</v>
      </c>
      <c r="C5207" s="77" t="s">
        <v>88</v>
      </c>
      <c r="D5207" t="s">
        <v>81</v>
      </c>
      <c r="E5207" s="77" t="s">
        <v>106</v>
      </c>
      <c r="F5207" s="77" t="s">
        <v>73</v>
      </c>
      <c r="G5207" s="77" t="s">
        <v>74</v>
      </c>
      <c r="H5207" s="77" t="s">
        <v>108</v>
      </c>
      <c r="I5207" s="77" t="s">
        <v>84</v>
      </c>
      <c r="J5207" s="76">
        <v>0</v>
      </c>
    </row>
    <row r="5208" spans="1:10" x14ac:dyDescent="0.35">
      <c r="A5208" t="s">
        <v>15</v>
      </c>
      <c r="B5208" t="s">
        <v>39</v>
      </c>
      <c r="C5208" s="77" t="s">
        <v>90</v>
      </c>
      <c r="D5208" t="s">
        <v>81</v>
      </c>
      <c r="E5208" s="77" t="s">
        <v>118</v>
      </c>
      <c r="F5208" s="77" t="s">
        <v>73</v>
      </c>
      <c r="G5208" s="77" t="s">
        <v>74</v>
      </c>
      <c r="H5208" s="77" t="s">
        <v>108</v>
      </c>
      <c r="I5208" s="77" t="s">
        <v>84</v>
      </c>
      <c r="J5208" s="76" cm="1">
        <f t="array" ref="J5208:J5210">'SUT_EU27 total'!$K$55:$K$57</f>
        <v>4.323194595174263E-3</v>
      </c>
    </row>
    <row r="5209" spans="1:10" x14ac:dyDescent="0.35">
      <c r="A5209" t="s">
        <v>15</v>
      </c>
      <c r="B5209" t="s">
        <v>39</v>
      </c>
      <c r="C5209" s="77" t="s">
        <v>90</v>
      </c>
      <c r="D5209" t="s">
        <v>81</v>
      </c>
      <c r="E5209" s="77" t="s">
        <v>119</v>
      </c>
      <c r="F5209" s="77" t="s">
        <v>73</v>
      </c>
      <c r="G5209" s="77" t="s">
        <v>74</v>
      </c>
      <c r="H5209" s="77" t="s">
        <v>108</v>
      </c>
      <c r="I5209" s="77" t="s">
        <v>84</v>
      </c>
      <c r="J5209" s="76">
        <v>1.2800331672655335E-3</v>
      </c>
    </row>
    <row r="5210" spans="1:10" x14ac:dyDescent="0.35">
      <c r="A5210" t="s">
        <v>15</v>
      </c>
      <c r="B5210" t="s">
        <v>39</v>
      </c>
      <c r="C5210" s="77" t="s">
        <v>90</v>
      </c>
      <c r="D5210" t="s">
        <v>81</v>
      </c>
      <c r="E5210" s="77" t="s">
        <v>120</v>
      </c>
      <c r="F5210" s="77" t="s">
        <v>73</v>
      </c>
      <c r="G5210" s="77" t="s">
        <v>74</v>
      </c>
      <c r="H5210" s="77" t="s">
        <v>108</v>
      </c>
      <c r="I5210" s="77" t="s">
        <v>84</v>
      </c>
      <c r="J5210" s="76">
        <v>5.6700291220540041E-3</v>
      </c>
    </row>
    <row r="5211" spans="1:10" x14ac:dyDescent="0.35">
      <c r="A5211" t="s">
        <v>15</v>
      </c>
      <c r="B5211" t="s">
        <v>39</v>
      </c>
      <c r="C5211" s="77" t="s">
        <v>90</v>
      </c>
      <c r="D5211" t="s">
        <v>81</v>
      </c>
      <c r="E5211" s="77" t="s">
        <v>121</v>
      </c>
      <c r="F5211" s="77" t="s">
        <v>73</v>
      </c>
      <c r="G5211" s="77" t="s">
        <v>74</v>
      </c>
      <c r="H5211" s="77" t="s">
        <v>108</v>
      </c>
      <c r="I5211" s="77" t="s">
        <v>84</v>
      </c>
      <c r="J5211" s="76">
        <f>'SUT_EU27 total'!$K$59</f>
        <v>0</v>
      </c>
    </row>
    <row r="5212" spans="1:10" x14ac:dyDescent="0.35">
      <c r="A5212" t="s">
        <v>15</v>
      </c>
      <c r="B5212" t="s">
        <v>39</v>
      </c>
      <c r="C5212" s="77" t="s">
        <v>90</v>
      </c>
      <c r="D5212" t="s">
        <v>81</v>
      </c>
      <c r="E5212" s="77" t="s">
        <v>117</v>
      </c>
      <c r="F5212" s="77" t="s">
        <v>73</v>
      </c>
      <c r="G5212" s="77" t="s">
        <v>74</v>
      </c>
      <c r="H5212" s="77" t="s">
        <v>108</v>
      </c>
      <c r="I5212" s="77" t="s">
        <v>84</v>
      </c>
      <c r="J5212" s="76">
        <f>'SUT_EU27 total'!$K$61</f>
        <v>1.1930979242119881E-3</v>
      </c>
    </row>
    <row r="5213" spans="1:10" x14ac:dyDescent="0.35">
      <c r="A5213" t="s">
        <v>15</v>
      </c>
      <c r="B5213" t="s">
        <v>39</v>
      </c>
      <c r="C5213" s="77" t="s">
        <v>90</v>
      </c>
      <c r="D5213" t="s">
        <v>81</v>
      </c>
      <c r="E5213" s="77" t="s">
        <v>122</v>
      </c>
      <c r="F5213" s="77" t="s">
        <v>73</v>
      </c>
      <c r="G5213" s="77" t="s">
        <v>74</v>
      </c>
      <c r="H5213" s="77" t="s">
        <v>108</v>
      </c>
      <c r="I5213" s="77" t="s">
        <v>84</v>
      </c>
      <c r="J5213" s="76">
        <f>'SUT_EU27 total'!$K$64</f>
        <v>2.5776238002378116E-3</v>
      </c>
    </row>
    <row r="5214" spans="1:10" x14ac:dyDescent="0.35">
      <c r="A5214" t="s">
        <v>15</v>
      </c>
      <c r="B5214" t="s">
        <v>39</v>
      </c>
      <c r="C5214" s="77" t="s">
        <v>90</v>
      </c>
      <c r="D5214" t="s">
        <v>81</v>
      </c>
      <c r="E5214" s="77" t="s">
        <v>101</v>
      </c>
      <c r="F5214" s="77" t="s">
        <v>73</v>
      </c>
      <c r="G5214" s="77" t="s">
        <v>74</v>
      </c>
      <c r="H5214" s="77" t="s">
        <v>108</v>
      </c>
      <c r="I5214" s="77" t="s">
        <v>84</v>
      </c>
      <c r="J5214" s="76" cm="1">
        <f t="array" ref="J5214:J5216">'SUT_EU27 total'!$K$66:$K$68</f>
        <v>0</v>
      </c>
    </row>
    <row r="5215" spans="1:10" x14ac:dyDescent="0.35">
      <c r="A5215" t="s">
        <v>15</v>
      </c>
      <c r="B5215" t="s">
        <v>39</v>
      </c>
      <c r="C5215" s="77" t="s">
        <v>90</v>
      </c>
      <c r="D5215" t="s">
        <v>81</v>
      </c>
      <c r="E5215" s="77" t="s">
        <v>104</v>
      </c>
      <c r="F5215" s="77" t="s">
        <v>73</v>
      </c>
      <c r="G5215" s="77" t="s">
        <v>74</v>
      </c>
      <c r="H5215" s="77" t="s">
        <v>108</v>
      </c>
      <c r="I5215" s="77" t="s">
        <v>84</v>
      </c>
      <c r="J5215" s="76">
        <v>0</v>
      </c>
    </row>
    <row r="5216" spans="1:10" x14ac:dyDescent="0.35">
      <c r="A5216" t="s">
        <v>15</v>
      </c>
      <c r="B5216" t="s">
        <v>39</v>
      </c>
      <c r="C5216" s="77" t="s">
        <v>90</v>
      </c>
      <c r="D5216" t="s">
        <v>81</v>
      </c>
      <c r="E5216" s="77" t="s">
        <v>106</v>
      </c>
      <c r="F5216" s="77" t="s">
        <v>73</v>
      </c>
      <c r="G5216" s="77" t="s">
        <v>74</v>
      </c>
      <c r="H5216" s="77" t="s">
        <v>108</v>
      </c>
      <c r="I5216" s="77" t="s">
        <v>84</v>
      </c>
      <c r="J5216" s="76">
        <v>0</v>
      </c>
    </row>
    <row r="5217" spans="1:10" x14ac:dyDescent="0.35">
      <c r="A5217" t="s">
        <v>15</v>
      </c>
      <c r="B5217" t="s">
        <v>39</v>
      </c>
      <c r="C5217" s="77" t="s">
        <v>91</v>
      </c>
      <c r="D5217" t="s">
        <v>81</v>
      </c>
      <c r="E5217" s="77" t="s">
        <v>118</v>
      </c>
      <c r="F5217" s="77" t="s">
        <v>73</v>
      </c>
      <c r="G5217" s="77" t="s">
        <v>74</v>
      </c>
      <c r="H5217" s="77" t="s">
        <v>108</v>
      </c>
      <c r="I5217" s="77" t="s">
        <v>84</v>
      </c>
      <c r="J5217" s="76" cm="1">
        <f t="array" ref="J5217:J5219">'SUT_EU27 total'!$K$72:$K$74</f>
        <v>5.3791732332439677E-3</v>
      </c>
    </row>
    <row r="5218" spans="1:10" x14ac:dyDescent="0.35">
      <c r="A5218" t="s">
        <v>15</v>
      </c>
      <c r="B5218" t="s">
        <v>39</v>
      </c>
      <c r="C5218" s="77" t="s">
        <v>91</v>
      </c>
      <c r="D5218" t="s">
        <v>81</v>
      </c>
      <c r="E5218" s="77" t="s">
        <v>119</v>
      </c>
      <c r="F5218" s="77" t="s">
        <v>73</v>
      </c>
      <c r="G5218" s="77" t="s">
        <v>74</v>
      </c>
      <c r="H5218" s="77" t="s">
        <v>108</v>
      </c>
      <c r="I5218" s="77" t="s">
        <v>84</v>
      </c>
      <c r="J5218" s="76">
        <v>6.5526133182607291E-3</v>
      </c>
    </row>
    <row r="5219" spans="1:10" x14ac:dyDescent="0.35">
      <c r="A5219" t="s">
        <v>15</v>
      </c>
      <c r="B5219" t="s">
        <v>39</v>
      </c>
      <c r="C5219" s="77" t="s">
        <v>91</v>
      </c>
      <c r="D5219" t="s">
        <v>81</v>
      </c>
      <c r="E5219" s="77" t="s">
        <v>120</v>
      </c>
      <c r="F5219" s="77" t="s">
        <v>73</v>
      </c>
      <c r="G5219" s="77" t="s">
        <v>74</v>
      </c>
      <c r="H5219" s="77" t="s">
        <v>108</v>
      </c>
      <c r="I5219" s="77" t="s">
        <v>84</v>
      </c>
      <c r="J5219" s="76">
        <v>2.464950959887623E-4</v>
      </c>
    </row>
    <row r="5220" spans="1:10" x14ac:dyDescent="0.35">
      <c r="A5220" t="s">
        <v>15</v>
      </c>
      <c r="B5220" t="s">
        <v>39</v>
      </c>
      <c r="C5220" s="77" t="s">
        <v>91</v>
      </c>
      <c r="D5220" t="s">
        <v>81</v>
      </c>
      <c r="E5220" s="77" t="s">
        <v>121</v>
      </c>
      <c r="F5220" s="77" t="s">
        <v>73</v>
      </c>
      <c r="G5220" s="77" t="s">
        <v>74</v>
      </c>
      <c r="H5220" s="77" t="s">
        <v>108</v>
      </c>
      <c r="I5220" s="77" t="s">
        <v>84</v>
      </c>
      <c r="J5220" s="76">
        <f>'SUT_EU27 total'!$K$76</f>
        <v>0</v>
      </c>
    </row>
    <row r="5221" spans="1:10" x14ac:dyDescent="0.35">
      <c r="A5221" t="s">
        <v>15</v>
      </c>
      <c r="B5221" t="s">
        <v>39</v>
      </c>
      <c r="C5221" s="77" t="s">
        <v>91</v>
      </c>
      <c r="D5221" t="s">
        <v>81</v>
      </c>
      <c r="E5221" s="77" t="s">
        <v>117</v>
      </c>
      <c r="F5221" s="77" t="s">
        <v>73</v>
      </c>
      <c r="G5221" s="77" t="s">
        <v>74</v>
      </c>
      <c r="H5221" s="77" t="s">
        <v>108</v>
      </c>
      <c r="I5221" s="77" t="s">
        <v>84</v>
      </c>
      <c r="J5221" s="76">
        <f>'SUT_EU27 total'!$K$78</f>
        <v>1.1485683451306521E-3</v>
      </c>
    </row>
    <row r="5222" spans="1:10" x14ac:dyDescent="0.35">
      <c r="A5222" t="s">
        <v>15</v>
      </c>
      <c r="B5222" t="s">
        <v>39</v>
      </c>
      <c r="C5222" s="77" t="s">
        <v>91</v>
      </c>
      <c r="D5222" t="s">
        <v>81</v>
      </c>
      <c r="E5222" s="77" t="s">
        <v>122</v>
      </c>
      <c r="F5222" s="77" t="s">
        <v>73</v>
      </c>
      <c r="G5222" s="77" t="s">
        <v>74</v>
      </c>
      <c r="H5222" s="77" t="s">
        <v>108</v>
      </c>
      <c r="I5222" s="77" t="s">
        <v>84</v>
      </c>
      <c r="J5222" s="76">
        <f>'SUT_EU27 total'!$K$81</f>
        <v>0</v>
      </c>
    </row>
    <row r="5223" spans="1:10" x14ac:dyDescent="0.35">
      <c r="A5223" t="s">
        <v>15</v>
      </c>
      <c r="B5223" t="s">
        <v>39</v>
      </c>
      <c r="C5223" s="77" t="s">
        <v>91</v>
      </c>
      <c r="D5223" t="s">
        <v>81</v>
      </c>
      <c r="E5223" s="77" t="s">
        <v>101</v>
      </c>
      <c r="F5223" s="77" t="s">
        <v>73</v>
      </c>
      <c r="G5223" s="77" t="s">
        <v>74</v>
      </c>
      <c r="H5223" s="77" t="s">
        <v>108</v>
      </c>
      <c r="I5223" s="77" t="s">
        <v>84</v>
      </c>
      <c r="J5223" s="76" cm="1">
        <f t="array" ref="J5223:J5225">'SUT_EU27 total'!$K$83:$K$85</f>
        <v>0</v>
      </c>
    </row>
    <row r="5224" spans="1:10" x14ac:dyDescent="0.35">
      <c r="A5224" t="s">
        <v>15</v>
      </c>
      <c r="B5224" t="s">
        <v>39</v>
      </c>
      <c r="C5224" s="77" t="s">
        <v>91</v>
      </c>
      <c r="D5224" t="s">
        <v>81</v>
      </c>
      <c r="E5224" s="77" t="s">
        <v>104</v>
      </c>
      <c r="F5224" s="77" t="s">
        <v>73</v>
      </c>
      <c r="G5224" s="77" t="s">
        <v>74</v>
      </c>
      <c r="H5224" s="77" t="s">
        <v>108</v>
      </c>
      <c r="I5224" s="77" t="s">
        <v>84</v>
      </c>
      <c r="J5224" s="76">
        <v>0</v>
      </c>
    </row>
    <row r="5225" spans="1:10" x14ac:dyDescent="0.35">
      <c r="A5225" t="s">
        <v>15</v>
      </c>
      <c r="B5225" t="s">
        <v>39</v>
      </c>
      <c r="C5225" s="77" t="s">
        <v>91</v>
      </c>
      <c r="D5225" t="s">
        <v>81</v>
      </c>
      <c r="E5225" s="77" t="s">
        <v>106</v>
      </c>
      <c r="F5225" s="77" t="s">
        <v>73</v>
      </c>
      <c r="G5225" s="77" t="s">
        <v>74</v>
      </c>
      <c r="H5225" s="77" t="s">
        <v>108</v>
      </c>
      <c r="I5225" s="77" t="s">
        <v>84</v>
      </c>
      <c r="J5225" s="76">
        <v>0</v>
      </c>
    </row>
    <row r="5226" spans="1:10" x14ac:dyDescent="0.35">
      <c r="A5226" t="s">
        <v>15</v>
      </c>
      <c r="B5226" t="s">
        <v>39</v>
      </c>
      <c r="C5226" s="77" t="s">
        <v>92</v>
      </c>
      <c r="D5226" t="s">
        <v>81</v>
      </c>
      <c r="E5226" s="77" t="s">
        <v>118</v>
      </c>
      <c r="F5226" s="77" t="s">
        <v>73</v>
      </c>
      <c r="G5226" s="77" t="s">
        <v>74</v>
      </c>
      <c r="H5226" s="77" t="s">
        <v>108</v>
      </c>
      <c r="I5226" s="77" t="s">
        <v>84</v>
      </c>
      <c r="J5226" s="76" cm="1">
        <f t="array" ref="J5226:J5228">'SUT_EU27 total'!$K$89:$K$91</f>
        <v>3.3497344343163542E-3</v>
      </c>
    </row>
    <row r="5227" spans="1:10" x14ac:dyDescent="0.35">
      <c r="A5227" t="s">
        <v>15</v>
      </c>
      <c r="B5227" t="s">
        <v>39</v>
      </c>
      <c r="C5227" s="77" t="s">
        <v>92</v>
      </c>
      <c r="D5227" t="s">
        <v>81</v>
      </c>
      <c r="E5227" s="77" t="s">
        <v>119</v>
      </c>
      <c r="F5227" s="77" t="s">
        <v>73</v>
      </c>
      <c r="G5227" s="77" t="s">
        <v>74</v>
      </c>
      <c r="H5227" s="77" t="s">
        <v>108</v>
      </c>
      <c r="I5227" s="77" t="s">
        <v>84</v>
      </c>
      <c r="J5227" s="76">
        <v>6.0269323460777589E-3</v>
      </c>
    </row>
    <row r="5228" spans="1:10" x14ac:dyDescent="0.35">
      <c r="A5228" t="s">
        <v>15</v>
      </c>
      <c r="B5228" t="s">
        <v>39</v>
      </c>
      <c r="C5228" s="77" t="s">
        <v>92</v>
      </c>
      <c r="D5228" t="s">
        <v>81</v>
      </c>
      <c r="E5228" s="77" t="s">
        <v>120</v>
      </c>
      <c r="F5228" s="77" t="s">
        <v>73</v>
      </c>
      <c r="G5228" s="77" t="s">
        <v>74</v>
      </c>
      <c r="H5228" s="77" t="s">
        <v>108</v>
      </c>
      <c r="I5228" s="77" t="s">
        <v>84</v>
      </c>
      <c r="J5228" s="76">
        <v>4.0947713992508196E-3</v>
      </c>
    </row>
    <row r="5229" spans="1:10" x14ac:dyDescent="0.35">
      <c r="A5229" t="s">
        <v>15</v>
      </c>
      <c r="B5229" t="s">
        <v>39</v>
      </c>
      <c r="C5229" s="77" t="s">
        <v>92</v>
      </c>
      <c r="D5229" t="s">
        <v>81</v>
      </c>
      <c r="E5229" s="77" t="s">
        <v>121</v>
      </c>
      <c r="F5229" s="77" t="s">
        <v>73</v>
      </c>
      <c r="G5229" s="77" t="s">
        <v>74</v>
      </c>
      <c r="H5229" s="77" t="s">
        <v>108</v>
      </c>
      <c r="I5229" s="77" t="s">
        <v>84</v>
      </c>
      <c r="J5229" s="76">
        <f>'SUT_EU27 total'!$K$93</f>
        <v>0</v>
      </c>
    </row>
    <row r="5230" spans="1:10" x14ac:dyDescent="0.35">
      <c r="A5230" t="s">
        <v>15</v>
      </c>
      <c r="B5230" t="s">
        <v>39</v>
      </c>
      <c r="C5230" s="77" t="s">
        <v>92</v>
      </c>
      <c r="D5230" t="s">
        <v>81</v>
      </c>
      <c r="E5230" s="77" t="s">
        <v>117</v>
      </c>
      <c r="F5230" s="77" t="s">
        <v>73</v>
      </c>
      <c r="G5230" s="77" t="s">
        <v>74</v>
      </c>
      <c r="H5230" s="77" t="s">
        <v>108</v>
      </c>
      <c r="I5230" s="77" t="s">
        <v>84</v>
      </c>
      <c r="J5230" s="76">
        <f>'SUT_EU27 total'!$K$95</f>
        <v>0</v>
      </c>
    </row>
    <row r="5231" spans="1:10" x14ac:dyDescent="0.35">
      <c r="A5231" t="s">
        <v>15</v>
      </c>
      <c r="B5231" t="s">
        <v>39</v>
      </c>
      <c r="C5231" s="77" t="s">
        <v>92</v>
      </c>
      <c r="D5231" t="s">
        <v>81</v>
      </c>
      <c r="E5231" s="77" t="s">
        <v>122</v>
      </c>
      <c r="F5231" s="77" t="s">
        <v>73</v>
      </c>
      <c r="G5231" s="77" t="s">
        <v>74</v>
      </c>
      <c r="H5231" s="77" t="s">
        <v>108</v>
      </c>
      <c r="I5231" s="77" t="s">
        <v>84</v>
      </c>
      <c r="J5231" s="76">
        <f>'SUT_EU27 total'!$K$98</f>
        <v>0</v>
      </c>
    </row>
    <row r="5232" spans="1:10" x14ac:dyDescent="0.35">
      <c r="A5232" t="s">
        <v>15</v>
      </c>
      <c r="B5232" t="s">
        <v>39</v>
      </c>
      <c r="C5232" s="77" t="s">
        <v>92</v>
      </c>
      <c r="D5232" t="s">
        <v>81</v>
      </c>
      <c r="E5232" s="77" t="s">
        <v>101</v>
      </c>
      <c r="F5232" s="77" t="s">
        <v>73</v>
      </c>
      <c r="G5232" s="77" t="s">
        <v>74</v>
      </c>
      <c r="H5232" s="77" t="s">
        <v>108</v>
      </c>
      <c r="I5232" s="77" t="s">
        <v>84</v>
      </c>
      <c r="J5232" s="76" cm="1">
        <f t="array" ref="J5232:J5234">'SUT_EU27 total'!$K$100:$K$102</f>
        <v>0</v>
      </c>
    </row>
    <row r="5233" spans="1:10" x14ac:dyDescent="0.35">
      <c r="A5233" t="s">
        <v>15</v>
      </c>
      <c r="B5233" t="s">
        <v>39</v>
      </c>
      <c r="C5233" s="77" t="s">
        <v>92</v>
      </c>
      <c r="D5233" t="s">
        <v>81</v>
      </c>
      <c r="E5233" s="77" t="s">
        <v>104</v>
      </c>
      <c r="F5233" s="77" t="s">
        <v>73</v>
      </c>
      <c r="G5233" s="77" t="s">
        <v>74</v>
      </c>
      <c r="H5233" s="77" t="s">
        <v>108</v>
      </c>
      <c r="I5233" s="77" t="s">
        <v>84</v>
      </c>
      <c r="J5233" s="76">
        <v>0</v>
      </c>
    </row>
    <row r="5234" spans="1:10" x14ac:dyDescent="0.35">
      <c r="A5234" t="s">
        <v>15</v>
      </c>
      <c r="B5234" t="s">
        <v>39</v>
      </c>
      <c r="C5234" s="77" t="s">
        <v>92</v>
      </c>
      <c r="D5234" t="s">
        <v>81</v>
      </c>
      <c r="E5234" s="77" t="s">
        <v>106</v>
      </c>
      <c r="F5234" s="77" t="s">
        <v>73</v>
      </c>
      <c r="G5234" s="77" t="s">
        <v>74</v>
      </c>
      <c r="H5234" s="77" t="s">
        <v>108</v>
      </c>
      <c r="I5234" s="77" t="s">
        <v>84</v>
      </c>
      <c r="J5234" s="76">
        <v>0</v>
      </c>
    </row>
    <row r="5235" spans="1:10" x14ac:dyDescent="0.35">
      <c r="A5235" t="s">
        <v>15</v>
      </c>
      <c r="B5235" t="s">
        <v>39</v>
      </c>
      <c r="C5235" s="77" t="s">
        <v>93</v>
      </c>
      <c r="D5235" t="s">
        <v>81</v>
      </c>
      <c r="E5235" s="77" t="s">
        <v>118</v>
      </c>
      <c r="F5235" s="77" t="s">
        <v>73</v>
      </c>
      <c r="G5235" s="77" t="s">
        <v>74</v>
      </c>
      <c r="H5235" s="77" t="s">
        <v>108</v>
      </c>
      <c r="I5235" s="77" t="s">
        <v>84</v>
      </c>
      <c r="J5235" s="76" cm="1">
        <f t="array" ref="J5235:J5237">'SUT_EU27 total'!$K$106:$K$108</f>
        <v>1.4980971667560324E-2</v>
      </c>
    </row>
    <row r="5236" spans="1:10" x14ac:dyDescent="0.35">
      <c r="A5236" t="s">
        <v>15</v>
      </c>
      <c r="B5236" t="s">
        <v>39</v>
      </c>
      <c r="C5236" s="77" t="s">
        <v>93</v>
      </c>
      <c r="D5236" t="s">
        <v>81</v>
      </c>
      <c r="E5236" s="77" t="s">
        <v>119</v>
      </c>
      <c r="F5236" s="77" t="s">
        <v>73</v>
      </c>
      <c r="G5236" s="77" t="s">
        <v>74</v>
      </c>
      <c r="H5236" s="77" t="s">
        <v>108</v>
      </c>
      <c r="I5236" s="77" t="s">
        <v>84</v>
      </c>
      <c r="J5236" s="76">
        <v>4.3405477873147885E-2</v>
      </c>
    </row>
    <row r="5237" spans="1:10" x14ac:dyDescent="0.35">
      <c r="A5237" t="s">
        <v>15</v>
      </c>
      <c r="B5237" t="s">
        <v>39</v>
      </c>
      <c r="C5237" s="77" t="s">
        <v>93</v>
      </c>
      <c r="D5237" t="s">
        <v>81</v>
      </c>
      <c r="E5237" s="77" t="s">
        <v>120</v>
      </c>
      <c r="F5237" s="77" t="s">
        <v>73</v>
      </c>
      <c r="G5237" s="77" t="s">
        <v>74</v>
      </c>
      <c r="H5237" s="77" t="s">
        <v>108</v>
      </c>
      <c r="I5237" s="77" t="s">
        <v>84</v>
      </c>
      <c r="J5237" s="76">
        <v>2.1237093113781802E-2</v>
      </c>
    </row>
    <row r="5238" spans="1:10" x14ac:dyDescent="0.35">
      <c r="A5238" t="s">
        <v>15</v>
      </c>
      <c r="B5238" t="s">
        <v>39</v>
      </c>
      <c r="C5238" s="77" t="s">
        <v>93</v>
      </c>
      <c r="D5238" t="s">
        <v>81</v>
      </c>
      <c r="E5238" s="77" t="s">
        <v>121</v>
      </c>
      <c r="F5238" s="77" t="s">
        <v>73</v>
      </c>
      <c r="G5238" s="77" t="s">
        <v>74</v>
      </c>
      <c r="H5238" s="77" t="s">
        <v>108</v>
      </c>
      <c r="I5238" s="77" t="s">
        <v>84</v>
      </c>
      <c r="J5238" s="76">
        <f>'SUT_EU27 total'!$K$110</f>
        <v>0</v>
      </c>
    </row>
    <row r="5239" spans="1:10" x14ac:dyDescent="0.35">
      <c r="A5239" t="s">
        <v>15</v>
      </c>
      <c r="B5239" t="s">
        <v>39</v>
      </c>
      <c r="C5239" s="77" t="s">
        <v>93</v>
      </c>
      <c r="D5239" t="s">
        <v>81</v>
      </c>
      <c r="E5239" s="77" t="s">
        <v>117</v>
      </c>
      <c r="F5239" s="77" t="s">
        <v>73</v>
      </c>
      <c r="G5239" s="77" t="s">
        <v>74</v>
      </c>
      <c r="H5239" s="77" t="s">
        <v>108</v>
      </c>
      <c r="I5239" s="77" t="s">
        <v>84</v>
      </c>
      <c r="J5239" s="76">
        <f>'SUT_EU27 total'!$K$112</f>
        <v>1.1930984723440377E-3</v>
      </c>
    </row>
    <row r="5240" spans="1:10" x14ac:dyDescent="0.35">
      <c r="A5240" t="s">
        <v>15</v>
      </c>
      <c r="B5240" t="s">
        <v>39</v>
      </c>
      <c r="C5240" s="77" t="s">
        <v>93</v>
      </c>
      <c r="D5240" t="s">
        <v>81</v>
      </c>
      <c r="E5240" s="77" t="s">
        <v>122</v>
      </c>
      <c r="F5240" s="77" t="s">
        <v>73</v>
      </c>
      <c r="G5240" s="77" t="s">
        <v>74</v>
      </c>
      <c r="H5240" s="77" t="s">
        <v>108</v>
      </c>
      <c r="I5240" s="77" t="s">
        <v>84</v>
      </c>
      <c r="J5240" s="76">
        <f>'SUT_EU27 total'!$K$115</f>
        <v>8.7987828585017833E-3</v>
      </c>
    </row>
    <row r="5241" spans="1:10" x14ac:dyDescent="0.35">
      <c r="A5241" t="s">
        <v>15</v>
      </c>
      <c r="B5241" t="s">
        <v>39</v>
      </c>
      <c r="C5241" s="77" t="s">
        <v>93</v>
      </c>
      <c r="D5241" t="s">
        <v>81</v>
      </c>
      <c r="E5241" s="77" t="s">
        <v>101</v>
      </c>
      <c r="F5241" s="77" t="s">
        <v>73</v>
      </c>
      <c r="G5241" s="77" t="s">
        <v>74</v>
      </c>
      <c r="H5241" s="77" t="s">
        <v>108</v>
      </c>
      <c r="I5241" s="77" t="s">
        <v>84</v>
      </c>
      <c r="J5241" s="76" cm="1">
        <f t="array" ref="J5241:J5243">'SUT_EU27 total'!$K$117:$K$119</f>
        <v>0</v>
      </c>
    </row>
    <row r="5242" spans="1:10" x14ac:dyDescent="0.35">
      <c r="A5242" t="s">
        <v>15</v>
      </c>
      <c r="B5242" t="s">
        <v>39</v>
      </c>
      <c r="C5242" s="77" t="s">
        <v>93</v>
      </c>
      <c r="D5242" t="s">
        <v>81</v>
      </c>
      <c r="E5242" s="77" t="s">
        <v>104</v>
      </c>
      <c r="F5242" s="77" t="s">
        <v>73</v>
      </c>
      <c r="G5242" s="77" t="s">
        <v>74</v>
      </c>
      <c r="H5242" s="77" t="s">
        <v>108</v>
      </c>
      <c r="I5242" s="77" t="s">
        <v>84</v>
      </c>
      <c r="J5242" s="76">
        <v>0</v>
      </c>
    </row>
    <row r="5243" spans="1:10" x14ac:dyDescent="0.35">
      <c r="A5243" t="s">
        <v>15</v>
      </c>
      <c r="B5243" t="s">
        <v>39</v>
      </c>
      <c r="C5243" s="77" t="s">
        <v>93</v>
      </c>
      <c r="D5243" t="s">
        <v>81</v>
      </c>
      <c r="E5243" s="77" t="s">
        <v>106</v>
      </c>
      <c r="F5243" s="77" t="s">
        <v>73</v>
      </c>
      <c r="G5243" s="77" t="s">
        <v>74</v>
      </c>
      <c r="H5243" s="77" t="s">
        <v>108</v>
      </c>
      <c r="I5243" s="77" t="s">
        <v>84</v>
      </c>
      <c r="J5243" s="76">
        <v>0</v>
      </c>
    </row>
    <row r="5244" spans="1:10" x14ac:dyDescent="0.35">
      <c r="A5244" t="s">
        <v>15</v>
      </c>
      <c r="B5244" t="s">
        <v>39</v>
      </c>
      <c r="C5244" s="77" t="s">
        <v>73</v>
      </c>
      <c r="D5244" t="s">
        <v>81</v>
      </c>
      <c r="E5244" s="77" t="s">
        <v>119</v>
      </c>
      <c r="F5244" s="77" t="s">
        <v>73</v>
      </c>
      <c r="G5244" s="77" t="s">
        <v>74</v>
      </c>
      <c r="H5244" s="77" t="s">
        <v>123</v>
      </c>
      <c r="I5244" s="77" t="s">
        <v>84</v>
      </c>
      <c r="J5244" s="76">
        <f>'SUT_EU27 total'!$L$22</f>
        <v>1.9500181678711294E-2</v>
      </c>
    </row>
    <row r="5245" spans="1:10" x14ac:dyDescent="0.35">
      <c r="A5245" t="s">
        <v>15</v>
      </c>
      <c r="B5245" t="s">
        <v>39</v>
      </c>
      <c r="C5245" s="77" t="s">
        <v>73</v>
      </c>
      <c r="D5245" t="s">
        <v>81</v>
      </c>
      <c r="E5245" s="77" t="s">
        <v>124</v>
      </c>
      <c r="F5245" s="77" t="s">
        <v>73</v>
      </c>
      <c r="G5245" s="77" t="s">
        <v>74</v>
      </c>
      <c r="H5245" s="77" t="s">
        <v>123</v>
      </c>
      <c r="I5245" s="77" t="s">
        <v>84</v>
      </c>
      <c r="J5245" s="76" cm="1">
        <f t="array" ref="J5245:J5250">'SUT_EU27 total'!$L$26:$L$31</f>
        <v>1.9404661061278542E-3</v>
      </c>
    </row>
    <row r="5246" spans="1:10" x14ac:dyDescent="0.35">
      <c r="A5246" t="s">
        <v>15</v>
      </c>
      <c r="B5246" t="s">
        <v>39</v>
      </c>
      <c r="C5246" s="77" t="s">
        <v>73</v>
      </c>
      <c r="D5246" t="s">
        <v>81</v>
      </c>
      <c r="E5246" s="77" t="s">
        <v>117</v>
      </c>
      <c r="F5246" s="77" t="s">
        <v>73</v>
      </c>
      <c r="G5246" s="77" t="s">
        <v>74</v>
      </c>
      <c r="H5246" s="77" t="s">
        <v>123</v>
      </c>
      <c r="I5246" s="77" t="s">
        <v>84</v>
      </c>
      <c r="J5246" s="76">
        <v>5.8423628191201782E-3</v>
      </c>
    </row>
    <row r="5247" spans="1:10" x14ac:dyDescent="0.35">
      <c r="A5247" t="s">
        <v>15</v>
      </c>
      <c r="B5247" t="s">
        <v>39</v>
      </c>
      <c r="C5247" s="77" t="s">
        <v>73</v>
      </c>
      <c r="D5247" t="s">
        <v>81</v>
      </c>
      <c r="E5247" s="77" t="s">
        <v>82</v>
      </c>
      <c r="F5247" s="77" t="s">
        <v>73</v>
      </c>
      <c r="G5247" s="77" t="s">
        <v>74</v>
      </c>
      <c r="H5247" s="77" t="s">
        <v>123</v>
      </c>
      <c r="I5247" s="77" t="s">
        <v>84</v>
      </c>
      <c r="J5247" s="76">
        <v>4.8981233243967828E-4</v>
      </c>
    </row>
    <row r="5248" spans="1:10" x14ac:dyDescent="0.35">
      <c r="A5248" t="s">
        <v>15</v>
      </c>
      <c r="B5248" t="s">
        <v>39</v>
      </c>
      <c r="C5248" s="77" t="s">
        <v>73</v>
      </c>
      <c r="D5248" t="s">
        <v>81</v>
      </c>
      <c r="E5248" s="77" t="s">
        <v>125</v>
      </c>
      <c r="F5248" s="77" t="s">
        <v>73</v>
      </c>
      <c r="G5248" s="77" t="s">
        <v>74</v>
      </c>
      <c r="H5248" s="77" t="s">
        <v>123</v>
      </c>
      <c r="I5248" s="77" t="s">
        <v>84</v>
      </c>
      <c r="J5248" s="76">
        <v>2.4658201215687387E-3</v>
      </c>
    </row>
    <row r="5249" spans="1:11" x14ac:dyDescent="0.35">
      <c r="A5249" t="s">
        <v>15</v>
      </c>
      <c r="B5249" t="s">
        <v>39</v>
      </c>
      <c r="C5249" s="77" t="s">
        <v>73</v>
      </c>
      <c r="D5249" t="s">
        <v>81</v>
      </c>
      <c r="E5249" s="77" t="s">
        <v>122</v>
      </c>
      <c r="F5249" s="77" t="s">
        <v>73</v>
      </c>
      <c r="G5249" s="77" t="s">
        <v>74</v>
      </c>
      <c r="H5249" s="77" t="s">
        <v>123</v>
      </c>
      <c r="I5249" s="77" t="s">
        <v>84</v>
      </c>
      <c r="J5249" s="76">
        <v>4.922711058263972E-4</v>
      </c>
    </row>
    <row r="5250" spans="1:11" x14ac:dyDescent="0.35">
      <c r="A5250" t="s">
        <v>15</v>
      </c>
      <c r="B5250" t="s">
        <v>39</v>
      </c>
      <c r="C5250" s="77" t="s">
        <v>73</v>
      </c>
      <c r="D5250" t="s">
        <v>81</v>
      </c>
      <c r="E5250" s="77" t="s">
        <v>126</v>
      </c>
      <c r="F5250" s="77" t="s">
        <v>73</v>
      </c>
      <c r="G5250" s="77" t="s">
        <v>74</v>
      </c>
      <c r="H5250" s="77" t="s">
        <v>123</v>
      </c>
      <c r="I5250" s="77" t="s">
        <v>84</v>
      </c>
      <c r="J5250" s="76">
        <v>0</v>
      </c>
    </row>
    <row r="5251" spans="1:11" x14ac:dyDescent="0.35">
      <c r="A5251" t="s">
        <v>15</v>
      </c>
      <c r="B5251" t="s">
        <v>39</v>
      </c>
      <c r="C5251" s="77" t="s">
        <v>73</v>
      </c>
      <c r="D5251" t="s">
        <v>81</v>
      </c>
      <c r="E5251" s="77" t="s">
        <v>101</v>
      </c>
      <c r="F5251" s="77" t="s">
        <v>73</v>
      </c>
      <c r="G5251" s="77" t="s">
        <v>74</v>
      </c>
      <c r="H5251" s="77" t="s">
        <v>123</v>
      </c>
      <c r="I5251" s="77" t="s">
        <v>84</v>
      </c>
      <c r="J5251" s="471" cm="1">
        <f t="array" ref="J5251:J5253">Sensitivity!J92:J94</f>
        <v>1.4567715973119188E-3</v>
      </c>
    </row>
    <row r="5252" spans="1:11" x14ac:dyDescent="0.35">
      <c r="A5252" t="s">
        <v>15</v>
      </c>
      <c r="B5252" t="s">
        <v>39</v>
      </c>
      <c r="C5252" s="77" t="s">
        <v>73</v>
      </c>
      <c r="D5252" t="s">
        <v>81</v>
      </c>
      <c r="E5252" s="77" t="s">
        <v>104</v>
      </c>
      <c r="F5252" s="77" t="s">
        <v>73</v>
      </c>
      <c r="G5252" s="77" t="s">
        <v>74</v>
      </c>
      <c r="H5252" s="77" t="s">
        <v>123</v>
      </c>
      <c r="I5252" s="77" t="s">
        <v>84</v>
      </c>
      <c r="J5252" s="471">
        <v>8.3535480890614125E-4</v>
      </c>
      <c r="K5252" s="72"/>
    </row>
    <row r="5253" spans="1:11" x14ac:dyDescent="0.35">
      <c r="A5253" t="s">
        <v>15</v>
      </c>
      <c r="B5253" t="s">
        <v>39</v>
      </c>
      <c r="C5253" s="77" t="s">
        <v>73</v>
      </c>
      <c r="D5253" t="s">
        <v>81</v>
      </c>
      <c r="E5253" s="77" t="s">
        <v>106</v>
      </c>
      <c r="F5253" s="77" t="s">
        <v>73</v>
      </c>
      <c r="G5253" s="77" t="s">
        <v>74</v>
      </c>
      <c r="H5253" s="77" t="s">
        <v>123</v>
      </c>
      <c r="I5253" s="77" t="s">
        <v>84</v>
      </c>
      <c r="J5253" s="471">
        <v>1.2416531155153262E-3</v>
      </c>
    </row>
    <row r="5254" spans="1:11" x14ac:dyDescent="0.35">
      <c r="A5254" t="s">
        <v>15</v>
      </c>
      <c r="B5254" t="s">
        <v>39</v>
      </c>
      <c r="C5254" s="77" t="s">
        <v>88</v>
      </c>
      <c r="D5254" t="s">
        <v>81</v>
      </c>
      <c r="E5254" s="77" t="s">
        <v>119</v>
      </c>
      <c r="F5254" s="77" t="s">
        <v>73</v>
      </c>
      <c r="G5254" s="77" t="s">
        <v>74</v>
      </c>
      <c r="H5254" s="77" t="s">
        <v>123</v>
      </c>
      <c r="I5254" s="77" t="s">
        <v>84</v>
      </c>
      <c r="J5254" s="76">
        <f>'SUT_EU27 total'!$L$39</f>
        <v>0.16108845734587587</v>
      </c>
    </row>
    <row r="5255" spans="1:11" x14ac:dyDescent="0.35">
      <c r="A5255" t="s">
        <v>15</v>
      </c>
      <c r="B5255" t="s">
        <v>39</v>
      </c>
      <c r="C5255" s="77" t="s">
        <v>88</v>
      </c>
      <c r="D5255" t="s">
        <v>81</v>
      </c>
      <c r="E5255" s="77" t="s">
        <v>124</v>
      </c>
      <c r="F5255" s="77" t="s">
        <v>73</v>
      </c>
      <c r="G5255" s="77" t="s">
        <v>74</v>
      </c>
      <c r="H5255" s="77" t="s">
        <v>123</v>
      </c>
      <c r="I5255" s="77" t="s">
        <v>84</v>
      </c>
      <c r="J5255" s="76" cm="1">
        <f t="array" ref="J5255:J5263">'SUT_EU27 total'!$M$43:$M$51</f>
        <v>5.0558836222750793E-4</v>
      </c>
    </row>
    <row r="5256" spans="1:11" x14ac:dyDescent="0.35">
      <c r="A5256" t="s">
        <v>15</v>
      </c>
      <c r="B5256" t="s">
        <v>39</v>
      </c>
      <c r="C5256" s="77" t="s">
        <v>88</v>
      </c>
      <c r="D5256" t="s">
        <v>81</v>
      </c>
      <c r="E5256" s="77" t="s">
        <v>117</v>
      </c>
      <c r="F5256" s="77" t="s">
        <v>73</v>
      </c>
      <c r="G5256" s="77" t="s">
        <v>74</v>
      </c>
      <c r="H5256" s="77" t="s">
        <v>123</v>
      </c>
      <c r="I5256" s="77" t="s">
        <v>84</v>
      </c>
      <c r="J5256" s="76">
        <v>4.8514464106651379E-3</v>
      </c>
    </row>
    <row r="5257" spans="1:11" x14ac:dyDescent="0.35">
      <c r="A5257" t="s">
        <v>15</v>
      </c>
      <c r="B5257" t="s">
        <v>39</v>
      </c>
      <c r="C5257" s="77" t="s">
        <v>88</v>
      </c>
      <c r="D5257" t="s">
        <v>81</v>
      </c>
      <c r="E5257" s="77" t="s">
        <v>82</v>
      </c>
      <c r="F5257" s="77" t="s">
        <v>73</v>
      </c>
      <c r="G5257" s="77" t="s">
        <v>74</v>
      </c>
      <c r="H5257" s="77" t="s">
        <v>123</v>
      </c>
      <c r="I5257" s="77" t="s">
        <v>84</v>
      </c>
      <c r="J5257" s="76">
        <v>1.109418436791091E-2</v>
      </c>
    </row>
    <row r="5258" spans="1:11" x14ac:dyDescent="0.35">
      <c r="A5258" t="s">
        <v>15</v>
      </c>
      <c r="B5258" t="s">
        <v>39</v>
      </c>
      <c r="C5258" s="77" t="s">
        <v>88</v>
      </c>
      <c r="D5258" t="s">
        <v>81</v>
      </c>
      <c r="E5258" s="77" t="s">
        <v>125</v>
      </c>
      <c r="F5258" s="77" t="s">
        <v>73</v>
      </c>
      <c r="G5258" s="77" t="s">
        <v>74</v>
      </c>
      <c r="H5258" s="77" t="s">
        <v>123</v>
      </c>
      <c r="I5258" s="77" t="s">
        <v>84</v>
      </c>
      <c r="J5258" s="76">
        <v>2.890870278990243E-5</v>
      </c>
    </row>
    <row r="5259" spans="1:11" x14ac:dyDescent="0.35">
      <c r="A5259" t="s">
        <v>15</v>
      </c>
      <c r="B5259" t="s">
        <v>39</v>
      </c>
      <c r="C5259" s="77" t="s">
        <v>88</v>
      </c>
      <c r="D5259" t="s">
        <v>81</v>
      </c>
      <c r="E5259" s="77" t="s">
        <v>122</v>
      </c>
      <c r="F5259" s="77" t="s">
        <v>73</v>
      </c>
      <c r="G5259" s="77" t="s">
        <v>74</v>
      </c>
      <c r="H5259" s="77" t="s">
        <v>123</v>
      </c>
      <c r="I5259" s="77" t="s">
        <v>84</v>
      </c>
      <c r="J5259" s="76">
        <v>0</v>
      </c>
    </row>
    <row r="5260" spans="1:11" x14ac:dyDescent="0.35">
      <c r="A5260" t="s">
        <v>15</v>
      </c>
      <c r="B5260" t="s">
        <v>39</v>
      </c>
      <c r="C5260" s="77" t="s">
        <v>88</v>
      </c>
      <c r="D5260" t="s">
        <v>81</v>
      </c>
      <c r="E5260" s="77" t="s">
        <v>126</v>
      </c>
      <c r="F5260" s="77" t="s">
        <v>73</v>
      </c>
      <c r="G5260" s="77" t="s">
        <v>74</v>
      </c>
      <c r="H5260" s="77" t="s">
        <v>123</v>
      </c>
      <c r="I5260" s="77" t="s">
        <v>84</v>
      </c>
      <c r="J5260" s="76">
        <v>2.8514320987501449E-3</v>
      </c>
    </row>
    <row r="5261" spans="1:11" x14ac:dyDescent="0.35">
      <c r="A5261" t="s">
        <v>15</v>
      </c>
      <c r="B5261" t="s">
        <v>39</v>
      </c>
      <c r="C5261" s="77" t="s">
        <v>88</v>
      </c>
      <c r="D5261" t="s">
        <v>81</v>
      </c>
      <c r="E5261" s="77" t="s">
        <v>101</v>
      </c>
      <c r="F5261" s="77" t="s">
        <v>73</v>
      </c>
      <c r="G5261" s="77" t="s">
        <v>74</v>
      </c>
      <c r="H5261" s="77" t="s">
        <v>123</v>
      </c>
      <c r="I5261" s="77" t="s">
        <v>84</v>
      </c>
      <c r="J5261" s="76">
        <v>0</v>
      </c>
    </row>
    <row r="5262" spans="1:11" x14ac:dyDescent="0.35">
      <c r="A5262" t="s">
        <v>15</v>
      </c>
      <c r="B5262" t="s">
        <v>39</v>
      </c>
      <c r="C5262" s="77" t="s">
        <v>88</v>
      </c>
      <c r="D5262" t="s">
        <v>81</v>
      </c>
      <c r="E5262" s="77" t="s">
        <v>104</v>
      </c>
      <c r="F5262" s="77" t="s">
        <v>73</v>
      </c>
      <c r="G5262" s="77" t="s">
        <v>74</v>
      </c>
      <c r="H5262" s="77" t="s">
        <v>123</v>
      </c>
      <c r="I5262" s="77" t="s">
        <v>84</v>
      </c>
      <c r="J5262" s="76">
        <v>0</v>
      </c>
    </row>
    <row r="5263" spans="1:11" x14ac:dyDescent="0.35">
      <c r="A5263" t="s">
        <v>15</v>
      </c>
      <c r="B5263" t="s">
        <v>39</v>
      </c>
      <c r="C5263" s="77" t="s">
        <v>88</v>
      </c>
      <c r="D5263" t="s">
        <v>81</v>
      </c>
      <c r="E5263" s="77" t="s">
        <v>106</v>
      </c>
      <c r="F5263" s="77" t="s">
        <v>73</v>
      </c>
      <c r="G5263" s="77" t="s">
        <v>74</v>
      </c>
      <c r="H5263" s="77" t="s">
        <v>123</v>
      </c>
      <c r="I5263" s="77" t="s">
        <v>84</v>
      </c>
      <c r="J5263" s="76">
        <v>0</v>
      </c>
    </row>
    <row r="5264" spans="1:11" x14ac:dyDescent="0.35">
      <c r="A5264" t="s">
        <v>15</v>
      </c>
      <c r="B5264" t="s">
        <v>39</v>
      </c>
      <c r="C5264" s="77" t="s">
        <v>90</v>
      </c>
      <c r="D5264" t="s">
        <v>81</v>
      </c>
      <c r="E5264" s="77" t="s">
        <v>119</v>
      </c>
      <c r="F5264" s="77" t="s">
        <v>73</v>
      </c>
      <c r="G5264" s="77" t="s">
        <v>74</v>
      </c>
      <c r="H5264" s="77" t="s">
        <v>123</v>
      </c>
      <c r="I5264" s="77" t="s">
        <v>84</v>
      </c>
      <c r="J5264" s="76">
        <f>'SUT_EU27 total'!$M$56</f>
        <v>2.949251079979006E-2</v>
      </c>
    </row>
    <row r="5265" spans="1:10" x14ac:dyDescent="0.35">
      <c r="A5265" t="s">
        <v>15</v>
      </c>
      <c r="B5265" t="s">
        <v>39</v>
      </c>
      <c r="C5265" s="77" t="s">
        <v>90</v>
      </c>
      <c r="D5265" t="s">
        <v>81</v>
      </c>
      <c r="E5265" s="77" t="s">
        <v>124</v>
      </c>
      <c r="F5265" s="77" t="s">
        <v>73</v>
      </c>
      <c r="G5265" s="77" t="s">
        <v>74</v>
      </c>
      <c r="H5265" s="77" t="s">
        <v>123</v>
      </c>
      <c r="I5265" s="77" t="s">
        <v>84</v>
      </c>
      <c r="J5265" s="76" cm="1">
        <f t="array" ref="J5265:J5273">'SUT_EU27 total'!$L$60:$L$68</f>
        <v>2.1047443073980527E-5</v>
      </c>
    </row>
    <row r="5266" spans="1:10" x14ac:dyDescent="0.35">
      <c r="A5266" t="s">
        <v>15</v>
      </c>
      <c r="B5266" t="s">
        <v>39</v>
      </c>
      <c r="C5266" s="77" t="s">
        <v>90</v>
      </c>
      <c r="D5266" t="s">
        <v>81</v>
      </c>
      <c r="E5266" s="77" t="s">
        <v>117</v>
      </c>
      <c r="F5266" s="77" t="s">
        <v>73</v>
      </c>
      <c r="G5266" s="77" t="s">
        <v>74</v>
      </c>
      <c r="H5266" s="77" t="s">
        <v>123</v>
      </c>
      <c r="I5266" s="77" t="s">
        <v>84</v>
      </c>
      <c r="J5266" s="76">
        <v>5.8414015621608938E-3</v>
      </c>
    </row>
    <row r="5267" spans="1:10" x14ac:dyDescent="0.35">
      <c r="A5267" t="s">
        <v>15</v>
      </c>
      <c r="B5267" t="s">
        <v>39</v>
      </c>
      <c r="C5267" s="77" t="s">
        <v>90</v>
      </c>
      <c r="D5267" t="s">
        <v>81</v>
      </c>
      <c r="E5267" s="77" t="s">
        <v>82</v>
      </c>
      <c r="F5267" s="77" t="s">
        <v>73</v>
      </c>
      <c r="G5267" s="77" t="s">
        <v>74</v>
      </c>
      <c r="H5267" s="77" t="s">
        <v>123</v>
      </c>
      <c r="I5267" s="77" t="s">
        <v>84</v>
      </c>
      <c r="J5267" s="76">
        <v>1.4521138379047227E-3</v>
      </c>
    </row>
    <row r="5268" spans="1:10" x14ac:dyDescent="0.35">
      <c r="A5268" t="s">
        <v>15</v>
      </c>
      <c r="B5268" t="s">
        <v>39</v>
      </c>
      <c r="C5268" s="77" t="s">
        <v>90</v>
      </c>
      <c r="D5268" t="s">
        <v>81</v>
      </c>
      <c r="E5268" s="77" t="s">
        <v>125</v>
      </c>
      <c r="F5268" s="77" t="s">
        <v>73</v>
      </c>
      <c r="G5268" s="77" t="s">
        <v>74</v>
      </c>
      <c r="H5268" s="77" t="s">
        <v>123</v>
      </c>
      <c r="I5268" s="77" t="s">
        <v>84</v>
      </c>
      <c r="J5268" s="76">
        <v>6.5130870114372285E-5</v>
      </c>
    </row>
    <row r="5269" spans="1:10" x14ac:dyDescent="0.35">
      <c r="A5269" t="s">
        <v>15</v>
      </c>
      <c r="B5269" t="s">
        <v>39</v>
      </c>
      <c r="C5269" s="77" t="s">
        <v>90</v>
      </c>
      <c r="D5269" t="s">
        <v>81</v>
      </c>
      <c r="E5269" s="77" t="s">
        <v>122</v>
      </c>
      <c r="F5269" s="77" t="s">
        <v>73</v>
      </c>
      <c r="G5269" s="77" t="s">
        <v>74</v>
      </c>
      <c r="H5269" s="77" t="s">
        <v>123</v>
      </c>
      <c r="I5269" s="77" t="s">
        <v>84</v>
      </c>
      <c r="J5269" s="76">
        <v>7.9476813317479189E-4</v>
      </c>
    </row>
    <row r="5270" spans="1:10" x14ac:dyDescent="0.35">
      <c r="A5270" t="s">
        <v>15</v>
      </c>
      <c r="B5270" t="s">
        <v>39</v>
      </c>
      <c r="C5270" s="77" t="s">
        <v>90</v>
      </c>
      <c r="D5270" t="s">
        <v>81</v>
      </c>
      <c r="E5270" s="77" t="s">
        <v>126</v>
      </c>
      <c r="F5270" s="77" t="s">
        <v>73</v>
      </c>
      <c r="G5270" s="77" t="s">
        <v>74</v>
      </c>
      <c r="H5270" s="77" t="s">
        <v>123</v>
      </c>
      <c r="I5270" s="77" t="s">
        <v>84</v>
      </c>
      <c r="J5270" s="76">
        <v>8.4821183458843076E-3</v>
      </c>
    </row>
    <row r="5271" spans="1:10" x14ac:dyDescent="0.35">
      <c r="A5271" t="s">
        <v>15</v>
      </c>
      <c r="B5271" t="s">
        <v>39</v>
      </c>
      <c r="C5271" s="77" t="s">
        <v>90</v>
      </c>
      <c r="D5271" t="s">
        <v>81</v>
      </c>
      <c r="E5271" s="77" t="s">
        <v>101</v>
      </c>
      <c r="F5271" s="77" t="s">
        <v>73</v>
      </c>
      <c r="G5271" s="77" t="s">
        <v>74</v>
      </c>
      <c r="H5271" s="77" t="s">
        <v>123</v>
      </c>
      <c r="I5271" s="77" t="s">
        <v>84</v>
      </c>
      <c r="J5271" s="76">
        <v>0</v>
      </c>
    </row>
    <row r="5272" spans="1:10" x14ac:dyDescent="0.35">
      <c r="A5272" t="s">
        <v>15</v>
      </c>
      <c r="B5272" t="s">
        <v>39</v>
      </c>
      <c r="C5272" s="77" t="s">
        <v>90</v>
      </c>
      <c r="D5272" t="s">
        <v>81</v>
      </c>
      <c r="E5272" s="77" t="s">
        <v>104</v>
      </c>
      <c r="F5272" s="77" t="s">
        <v>73</v>
      </c>
      <c r="G5272" s="77" t="s">
        <v>74</v>
      </c>
      <c r="H5272" s="77" t="s">
        <v>123</v>
      </c>
      <c r="I5272" s="77" t="s">
        <v>84</v>
      </c>
      <c r="J5272" s="76">
        <v>0</v>
      </c>
    </row>
    <row r="5273" spans="1:10" x14ac:dyDescent="0.35">
      <c r="A5273" t="s">
        <v>15</v>
      </c>
      <c r="B5273" t="s">
        <v>39</v>
      </c>
      <c r="C5273" s="77" t="s">
        <v>90</v>
      </c>
      <c r="D5273" t="s">
        <v>81</v>
      </c>
      <c r="E5273" s="77" t="s">
        <v>106</v>
      </c>
      <c r="F5273" s="77" t="s">
        <v>73</v>
      </c>
      <c r="G5273" s="77" t="s">
        <v>74</v>
      </c>
      <c r="H5273" s="77" t="s">
        <v>123</v>
      </c>
      <c r="I5273" s="77" t="s">
        <v>84</v>
      </c>
      <c r="J5273" s="76">
        <v>0</v>
      </c>
    </row>
    <row r="5274" spans="1:10" x14ac:dyDescent="0.35">
      <c r="A5274" t="s">
        <v>15</v>
      </c>
      <c r="B5274" t="s">
        <v>39</v>
      </c>
      <c r="C5274" s="77" t="s">
        <v>91</v>
      </c>
      <c r="D5274" t="s">
        <v>81</v>
      </c>
      <c r="E5274" s="77" t="s">
        <v>119</v>
      </c>
      <c r="F5274" s="77" t="s">
        <v>73</v>
      </c>
      <c r="G5274" s="77" t="s">
        <v>74</v>
      </c>
      <c r="H5274" s="77" t="s">
        <v>123</v>
      </c>
      <c r="I5274" s="77" t="s">
        <v>84</v>
      </c>
      <c r="J5274" s="76">
        <f>'SUT_EU27 total'!$L$73</f>
        <v>0.15097500908393557</v>
      </c>
    </row>
    <row r="5275" spans="1:10" x14ac:dyDescent="0.35">
      <c r="A5275" t="s">
        <v>15</v>
      </c>
      <c r="B5275" t="s">
        <v>39</v>
      </c>
      <c r="C5275" s="77" t="s">
        <v>91</v>
      </c>
      <c r="D5275" t="s">
        <v>81</v>
      </c>
      <c r="E5275" s="77" t="s">
        <v>124</v>
      </c>
      <c r="F5275" s="77" t="s">
        <v>73</v>
      </c>
      <c r="G5275" s="77" t="s">
        <v>74</v>
      </c>
      <c r="H5275" s="77" t="s">
        <v>123</v>
      </c>
      <c r="I5275" s="77" t="s">
        <v>84</v>
      </c>
      <c r="J5275" s="76" cm="1">
        <f t="array" ref="J5275:J5283">'SUT_EU27 total'!$L$77:$L$85</f>
        <v>6.7728942399646885E-5</v>
      </c>
    </row>
    <row r="5276" spans="1:10" x14ac:dyDescent="0.35">
      <c r="A5276" t="s">
        <v>15</v>
      </c>
      <c r="B5276" t="s">
        <v>39</v>
      </c>
      <c r="C5276" s="77" t="s">
        <v>91</v>
      </c>
      <c r="D5276" t="s">
        <v>81</v>
      </c>
      <c r="E5276" s="77" t="s">
        <v>117</v>
      </c>
      <c r="F5276" s="77" t="s">
        <v>73</v>
      </c>
      <c r="G5276" s="77" t="s">
        <v>74</v>
      </c>
      <c r="H5276" s="77" t="s">
        <v>123</v>
      </c>
      <c r="I5276" s="77" t="s">
        <v>84</v>
      </c>
      <c r="J5276" s="76">
        <v>5.6233849622410815E-3</v>
      </c>
    </row>
    <row r="5277" spans="1:10" x14ac:dyDescent="0.35">
      <c r="A5277" t="s">
        <v>15</v>
      </c>
      <c r="B5277" t="s">
        <v>39</v>
      </c>
      <c r="C5277" s="77" t="s">
        <v>91</v>
      </c>
      <c r="D5277" t="s">
        <v>81</v>
      </c>
      <c r="E5277" s="77" t="s">
        <v>82</v>
      </c>
      <c r="F5277" s="77" t="s">
        <v>73</v>
      </c>
      <c r="G5277" s="77" t="s">
        <v>74</v>
      </c>
      <c r="H5277" s="77" t="s">
        <v>123</v>
      </c>
      <c r="I5277" s="77" t="s">
        <v>84</v>
      </c>
      <c r="J5277" s="76">
        <v>1.8068055269127655E-3</v>
      </c>
    </row>
    <row r="5278" spans="1:10" x14ac:dyDescent="0.35">
      <c r="A5278" t="s">
        <v>15</v>
      </c>
      <c r="B5278" t="s">
        <v>39</v>
      </c>
      <c r="C5278" s="77" t="s">
        <v>91</v>
      </c>
      <c r="D5278" t="s">
        <v>81</v>
      </c>
      <c r="E5278" s="77" t="s">
        <v>125</v>
      </c>
      <c r="F5278" s="77" t="s">
        <v>73</v>
      </c>
      <c r="G5278" s="77" t="s">
        <v>74</v>
      </c>
      <c r="H5278" s="77" t="s">
        <v>123</v>
      </c>
      <c r="I5278" s="77" t="s">
        <v>84</v>
      </c>
      <c r="J5278" s="76">
        <v>5.6492118062760293E-6</v>
      </c>
    </row>
    <row r="5279" spans="1:10" x14ac:dyDescent="0.35">
      <c r="A5279" t="s">
        <v>15</v>
      </c>
      <c r="B5279" t="s">
        <v>39</v>
      </c>
      <c r="C5279" s="77" t="s">
        <v>91</v>
      </c>
      <c r="D5279" t="s">
        <v>81</v>
      </c>
      <c r="E5279" s="77" t="s">
        <v>122</v>
      </c>
      <c r="F5279" s="77" t="s">
        <v>73</v>
      </c>
      <c r="G5279" s="77" t="s">
        <v>74</v>
      </c>
      <c r="H5279" s="77" t="s">
        <v>123</v>
      </c>
      <c r="I5279" s="77" t="s">
        <v>84</v>
      </c>
      <c r="J5279" s="76">
        <v>0</v>
      </c>
    </row>
    <row r="5280" spans="1:10" x14ac:dyDescent="0.35">
      <c r="A5280" t="s">
        <v>15</v>
      </c>
      <c r="B5280" t="s">
        <v>39</v>
      </c>
      <c r="C5280" s="77" t="s">
        <v>91</v>
      </c>
      <c r="D5280" t="s">
        <v>81</v>
      </c>
      <c r="E5280" s="77" t="s">
        <v>126</v>
      </c>
      <c r="F5280" s="77" t="s">
        <v>73</v>
      </c>
      <c r="G5280" s="77" t="s">
        <v>74</v>
      </c>
      <c r="H5280" s="77" t="s">
        <v>123</v>
      </c>
      <c r="I5280" s="77" t="s">
        <v>84</v>
      </c>
      <c r="J5280" s="76">
        <v>8.1093795177776388E-4</v>
      </c>
    </row>
    <row r="5281" spans="1:10" x14ac:dyDescent="0.35">
      <c r="A5281" t="s">
        <v>15</v>
      </c>
      <c r="B5281" t="s">
        <v>39</v>
      </c>
      <c r="C5281" s="77" t="s">
        <v>91</v>
      </c>
      <c r="D5281" t="s">
        <v>81</v>
      </c>
      <c r="E5281" s="77" t="s">
        <v>101</v>
      </c>
      <c r="F5281" s="77" t="s">
        <v>73</v>
      </c>
      <c r="G5281" s="77" t="s">
        <v>74</v>
      </c>
      <c r="H5281" s="77" t="s">
        <v>123</v>
      </c>
      <c r="I5281" s="77" t="s">
        <v>84</v>
      </c>
      <c r="J5281" s="76">
        <v>0</v>
      </c>
    </row>
    <row r="5282" spans="1:10" x14ac:dyDescent="0.35">
      <c r="A5282" t="s">
        <v>15</v>
      </c>
      <c r="B5282" t="s">
        <v>39</v>
      </c>
      <c r="C5282" s="77" t="s">
        <v>91</v>
      </c>
      <c r="D5282" t="s">
        <v>81</v>
      </c>
      <c r="E5282" s="77" t="s">
        <v>104</v>
      </c>
      <c r="F5282" s="77" t="s">
        <v>73</v>
      </c>
      <c r="G5282" s="77" t="s">
        <v>74</v>
      </c>
      <c r="H5282" s="77" t="s">
        <v>123</v>
      </c>
      <c r="I5282" s="77" t="s">
        <v>84</v>
      </c>
      <c r="J5282" s="76">
        <v>0</v>
      </c>
    </row>
    <row r="5283" spans="1:10" x14ac:dyDescent="0.35">
      <c r="A5283" t="s">
        <v>15</v>
      </c>
      <c r="B5283" t="s">
        <v>39</v>
      </c>
      <c r="C5283" s="77" t="s">
        <v>91</v>
      </c>
      <c r="D5283" t="s">
        <v>81</v>
      </c>
      <c r="E5283" s="77" t="s">
        <v>106</v>
      </c>
      <c r="F5283" s="77" t="s">
        <v>73</v>
      </c>
      <c r="G5283" s="77" t="s">
        <v>74</v>
      </c>
      <c r="H5283" s="77" t="s">
        <v>123</v>
      </c>
      <c r="I5283" s="77" t="s">
        <v>84</v>
      </c>
      <c r="J5283" s="76">
        <v>0</v>
      </c>
    </row>
    <row r="5284" spans="1:10" x14ac:dyDescent="0.35">
      <c r="A5284" t="s">
        <v>15</v>
      </c>
      <c r="B5284" t="s">
        <v>39</v>
      </c>
      <c r="C5284" s="77" t="s">
        <v>92</v>
      </c>
      <c r="D5284" t="s">
        <v>81</v>
      </c>
      <c r="E5284" s="77" t="s">
        <v>119</v>
      </c>
      <c r="F5284" s="77" t="s">
        <v>73</v>
      </c>
      <c r="G5284" s="77" t="s">
        <v>74</v>
      </c>
      <c r="H5284" s="77" t="s">
        <v>123</v>
      </c>
      <c r="I5284" s="77" t="s">
        <v>84</v>
      </c>
      <c r="J5284" s="76">
        <f>'SUT_EU27 total'!$L$90</f>
        <v>0.13886309499777949</v>
      </c>
    </row>
    <row r="5285" spans="1:10" x14ac:dyDescent="0.35">
      <c r="A5285" t="s">
        <v>15</v>
      </c>
      <c r="B5285" t="s">
        <v>39</v>
      </c>
      <c r="C5285" s="77" t="s">
        <v>92</v>
      </c>
      <c r="D5285" t="s">
        <v>81</v>
      </c>
      <c r="E5285" s="77" t="s">
        <v>124</v>
      </c>
      <c r="F5285" s="77" t="s">
        <v>73</v>
      </c>
      <c r="G5285" s="77" t="s">
        <v>74</v>
      </c>
      <c r="H5285" s="77" t="s">
        <v>123</v>
      </c>
      <c r="I5285" s="77" t="s">
        <v>84</v>
      </c>
      <c r="J5285" s="76" cm="1">
        <f t="array" ref="J5285:J5293">'SUT_EU27 total'!$L$94:$L$102</f>
        <v>9.2968907089085616E-5</v>
      </c>
    </row>
    <row r="5286" spans="1:10" x14ac:dyDescent="0.35">
      <c r="A5286" t="s">
        <v>15</v>
      </c>
      <c r="B5286" t="s">
        <v>39</v>
      </c>
      <c r="C5286" s="77" t="s">
        <v>92</v>
      </c>
      <c r="D5286" t="s">
        <v>81</v>
      </c>
      <c r="E5286" s="77" t="s">
        <v>117</v>
      </c>
      <c r="F5286" s="77" t="s">
        <v>73</v>
      </c>
      <c r="G5286" s="77" t="s">
        <v>74</v>
      </c>
      <c r="H5286" s="77" t="s">
        <v>123</v>
      </c>
      <c r="I5286" s="77" t="s">
        <v>84</v>
      </c>
      <c r="J5286" s="76">
        <v>0</v>
      </c>
    </row>
    <row r="5287" spans="1:10" x14ac:dyDescent="0.35">
      <c r="A5287" t="s">
        <v>15</v>
      </c>
      <c r="B5287" t="s">
        <v>39</v>
      </c>
      <c r="C5287" s="77" t="s">
        <v>92</v>
      </c>
      <c r="D5287" t="s">
        <v>81</v>
      </c>
      <c r="E5287" s="77" t="s">
        <v>82</v>
      </c>
      <c r="F5287" s="77" t="s">
        <v>73</v>
      </c>
      <c r="G5287" s="77" t="s">
        <v>74</v>
      </c>
      <c r="H5287" s="77" t="s">
        <v>123</v>
      </c>
      <c r="I5287" s="77" t="s">
        <v>84</v>
      </c>
      <c r="J5287" s="76">
        <v>1.1251392039595793E-3</v>
      </c>
    </row>
    <row r="5288" spans="1:10" x14ac:dyDescent="0.35">
      <c r="A5288" t="s">
        <v>15</v>
      </c>
      <c r="B5288" t="s">
        <v>39</v>
      </c>
      <c r="C5288" s="77" t="s">
        <v>92</v>
      </c>
      <c r="D5288" t="s">
        <v>81</v>
      </c>
      <c r="E5288" s="77" t="s">
        <v>125</v>
      </c>
      <c r="F5288" s="77" t="s">
        <v>73</v>
      </c>
      <c r="G5288" s="77" t="s">
        <v>74</v>
      </c>
      <c r="H5288" s="77" t="s">
        <v>123</v>
      </c>
      <c r="I5288" s="77" t="s">
        <v>84</v>
      </c>
      <c r="J5288" s="76">
        <v>5.0048817841215026E-7</v>
      </c>
    </row>
    <row r="5289" spans="1:10" x14ac:dyDescent="0.35">
      <c r="A5289" t="s">
        <v>15</v>
      </c>
      <c r="B5289" t="s">
        <v>39</v>
      </c>
      <c r="C5289" s="77" t="s">
        <v>92</v>
      </c>
      <c r="D5289" t="s">
        <v>81</v>
      </c>
      <c r="E5289" s="77" t="s">
        <v>122</v>
      </c>
      <c r="F5289" s="77" t="s">
        <v>73</v>
      </c>
      <c r="G5289" s="77" t="s">
        <v>74</v>
      </c>
      <c r="H5289" s="77" t="s">
        <v>123</v>
      </c>
      <c r="I5289" s="77" t="s">
        <v>84</v>
      </c>
      <c r="J5289" s="76">
        <v>0</v>
      </c>
    </row>
    <row r="5290" spans="1:10" x14ac:dyDescent="0.35">
      <c r="A5290" t="s">
        <v>15</v>
      </c>
      <c r="B5290" t="s">
        <v>39</v>
      </c>
      <c r="C5290" s="77" t="s">
        <v>92</v>
      </c>
      <c r="D5290" t="s">
        <v>81</v>
      </c>
      <c r="E5290" s="77" t="s">
        <v>126</v>
      </c>
      <c r="F5290" s="77" t="s">
        <v>73</v>
      </c>
      <c r="G5290" s="77" t="s">
        <v>74</v>
      </c>
      <c r="H5290" s="77" t="s">
        <v>123</v>
      </c>
      <c r="I5290" s="77" t="s">
        <v>84</v>
      </c>
      <c r="J5290" s="76">
        <v>0</v>
      </c>
    </row>
    <row r="5291" spans="1:10" x14ac:dyDescent="0.35">
      <c r="A5291" t="s">
        <v>15</v>
      </c>
      <c r="B5291" t="s">
        <v>39</v>
      </c>
      <c r="C5291" s="77" t="s">
        <v>92</v>
      </c>
      <c r="D5291" t="s">
        <v>81</v>
      </c>
      <c r="E5291" s="77" t="s">
        <v>101</v>
      </c>
      <c r="F5291" s="77" t="s">
        <v>73</v>
      </c>
      <c r="G5291" s="77" t="s">
        <v>74</v>
      </c>
      <c r="H5291" s="77" t="s">
        <v>123</v>
      </c>
      <c r="I5291" s="77" t="s">
        <v>84</v>
      </c>
      <c r="J5291" s="76">
        <v>0</v>
      </c>
    </row>
    <row r="5292" spans="1:10" x14ac:dyDescent="0.35">
      <c r="A5292" t="s">
        <v>15</v>
      </c>
      <c r="B5292" t="s">
        <v>39</v>
      </c>
      <c r="C5292" s="77" t="s">
        <v>92</v>
      </c>
      <c r="D5292" t="s">
        <v>81</v>
      </c>
      <c r="E5292" s="77" t="s">
        <v>104</v>
      </c>
      <c r="F5292" s="77" t="s">
        <v>73</v>
      </c>
      <c r="G5292" s="77" t="s">
        <v>74</v>
      </c>
      <c r="H5292" s="77" t="s">
        <v>123</v>
      </c>
      <c r="I5292" s="77" t="s">
        <v>84</v>
      </c>
      <c r="J5292" s="76">
        <v>0</v>
      </c>
    </row>
    <row r="5293" spans="1:10" x14ac:dyDescent="0.35">
      <c r="A5293" t="s">
        <v>15</v>
      </c>
      <c r="B5293" t="s">
        <v>39</v>
      </c>
      <c r="C5293" s="77" t="s">
        <v>92</v>
      </c>
      <c r="D5293" t="s">
        <v>81</v>
      </c>
      <c r="E5293" s="77" t="s">
        <v>106</v>
      </c>
      <c r="F5293" s="77" t="s">
        <v>73</v>
      </c>
      <c r="G5293" s="77" t="s">
        <v>74</v>
      </c>
      <c r="H5293" s="77" t="s">
        <v>123</v>
      </c>
      <c r="I5293" s="77" t="s">
        <v>84</v>
      </c>
      <c r="J5293" s="76">
        <v>0</v>
      </c>
    </row>
    <row r="5294" spans="1:10" x14ac:dyDescent="0.35">
      <c r="A5294" t="s">
        <v>15</v>
      </c>
      <c r="B5294" t="s">
        <v>39</v>
      </c>
      <c r="C5294" s="77" t="s">
        <v>93</v>
      </c>
      <c r="D5294" t="s">
        <v>81</v>
      </c>
      <c r="E5294" s="77" t="s">
        <v>119</v>
      </c>
      <c r="F5294" s="77" t="s">
        <v>73</v>
      </c>
      <c r="G5294" s="77" t="s">
        <v>74</v>
      </c>
      <c r="H5294" s="77" t="s">
        <v>123</v>
      </c>
      <c r="I5294" s="77" t="s">
        <v>84</v>
      </c>
      <c r="J5294" s="76">
        <f>'SUT_EU27 total'!$L$107</f>
        <v>1.0000807460939076</v>
      </c>
    </row>
    <row r="5295" spans="1:10" x14ac:dyDescent="0.35">
      <c r="A5295" t="s">
        <v>15</v>
      </c>
      <c r="B5295" t="s">
        <v>39</v>
      </c>
      <c r="C5295" s="77" t="s">
        <v>93</v>
      </c>
      <c r="D5295" t="s">
        <v>81</v>
      </c>
      <c r="E5295" s="77" t="s">
        <v>124</v>
      </c>
      <c r="F5295" s="77" t="s">
        <v>73</v>
      </c>
      <c r="G5295" s="77" t="s">
        <v>74</v>
      </c>
      <c r="H5295" s="77" t="s">
        <v>123</v>
      </c>
      <c r="I5295" s="77" t="s">
        <v>84</v>
      </c>
      <c r="J5295" s="76" cm="1">
        <f t="array" ref="J5295:J5303">'SUT_EU27 total'!$L$111:$L$119</f>
        <v>3.7052409430862396E-4</v>
      </c>
    </row>
    <row r="5296" spans="1:10" x14ac:dyDescent="0.35">
      <c r="A5296" t="s">
        <v>15</v>
      </c>
      <c r="B5296" t="s">
        <v>39</v>
      </c>
      <c r="C5296" s="77" t="s">
        <v>93</v>
      </c>
      <c r="D5296" t="s">
        <v>81</v>
      </c>
      <c r="E5296" s="77" t="s">
        <v>117</v>
      </c>
      <c r="F5296" s="77" t="s">
        <v>73</v>
      </c>
      <c r="G5296" s="77" t="s">
        <v>74</v>
      </c>
      <c r="H5296" s="77" t="s">
        <v>123</v>
      </c>
      <c r="I5296" s="77" t="s">
        <v>84</v>
      </c>
      <c r="J5296" s="76">
        <v>5.8414042458127093E-3</v>
      </c>
    </row>
    <row r="5297" spans="1:10" x14ac:dyDescent="0.35">
      <c r="A5297" t="s">
        <v>15</v>
      </c>
      <c r="B5297" t="s">
        <v>39</v>
      </c>
      <c r="C5297" s="77" t="s">
        <v>93</v>
      </c>
      <c r="D5297" t="s">
        <v>81</v>
      </c>
      <c r="E5297" s="77" t="s">
        <v>82</v>
      </c>
      <c r="F5297" s="77" t="s">
        <v>73</v>
      </c>
      <c r="G5297" s="77" t="s">
        <v>74</v>
      </c>
      <c r="H5297" s="77" t="s">
        <v>123</v>
      </c>
      <c r="I5297" s="77" t="s">
        <v>84</v>
      </c>
      <c r="J5297" s="76">
        <v>5.0319447308723453E-3</v>
      </c>
    </row>
    <row r="5298" spans="1:10" x14ac:dyDescent="0.35">
      <c r="A5298" t="s">
        <v>15</v>
      </c>
      <c r="B5298" t="s">
        <v>39</v>
      </c>
      <c r="C5298" s="77" t="s">
        <v>93</v>
      </c>
      <c r="D5298" t="s">
        <v>81</v>
      </c>
      <c r="E5298" s="77" t="s">
        <v>125</v>
      </c>
      <c r="F5298" s="77" t="s">
        <v>73</v>
      </c>
      <c r="G5298" s="77" t="s">
        <v>74</v>
      </c>
      <c r="H5298" s="77" t="s">
        <v>123</v>
      </c>
      <c r="I5298" s="77" t="s">
        <v>84</v>
      </c>
      <c r="J5298" s="76">
        <v>4.336096678710085E-4</v>
      </c>
    </row>
    <row r="5299" spans="1:10" x14ac:dyDescent="0.35">
      <c r="A5299" t="s">
        <v>15</v>
      </c>
      <c r="B5299" t="s">
        <v>39</v>
      </c>
      <c r="C5299" s="77" t="s">
        <v>93</v>
      </c>
      <c r="D5299" t="s">
        <v>81</v>
      </c>
      <c r="E5299" s="77" t="s">
        <v>122</v>
      </c>
      <c r="F5299" s="77" t="s">
        <v>73</v>
      </c>
      <c r="G5299" s="77" t="s">
        <v>74</v>
      </c>
      <c r="H5299" s="77" t="s">
        <v>123</v>
      </c>
      <c r="I5299" s="77" t="s">
        <v>84</v>
      </c>
      <c r="J5299" s="76">
        <v>2.7129607609988112E-3</v>
      </c>
    </row>
    <row r="5300" spans="1:10" x14ac:dyDescent="0.35">
      <c r="A5300" t="s">
        <v>15</v>
      </c>
      <c r="B5300" t="s">
        <v>39</v>
      </c>
      <c r="C5300" s="77" t="s">
        <v>93</v>
      </c>
      <c r="D5300" t="s">
        <v>81</v>
      </c>
      <c r="E5300" s="77" t="s">
        <v>126</v>
      </c>
      <c r="F5300" s="77" t="s">
        <v>73</v>
      </c>
      <c r="G5300" s="77" t="s">
        <v>74</v>
      </c>
      <c r="H5300" s="77" t="s">
        <v>123</v>
      </c>
      <c r="I5300" s="77" t="s">
        <v>84</v>
      </c>
      <c r="J5300" s="76">
        <v>4.3855511603587784E-2</v>
      </c>
    </row>
    <row r="5301" spans="1:10" x14ac:dyDescent="0.35">
      <c r="A5301" t="s">
        <v>15</v>
      </c>
      <c r="B5301" t="s">
        <v>39</v>
      </c>
      <c r="C5301" s="77" t="s">
        <v>93</v>
      </c>
      <c r="D5301" t="s">
        <v>81</v>
      </c>
      <c r="E5301" s="77" t="s">
        <v>101</v>
      </c>
      <c r="F5301" s="77" t="s">
        <v>73</v>
      </c>
      <c r="G5301" s="77" t="s">
        <v>74</v>
      </c>
      <c r="H5301" s="77" t="s">
        <v>123</v>
      </c>
      <c r="I5301" s="77" t="s">
        <v>84</v>
      </c>
      <c r="J5301" s="76">
        <v>0</v>
      </c>
    </row>
    <row r="5302" spans="1:10" x14ac:dyDescent="0.35">
      <c r="A5302" t="s">
        <v>15</v>
      </c>
      <c r="B5302" t="s">
        <v>39</v>
      </c>
      <c r="C5302" s="77" t="s">
        <v>93</v>
      </c>
      <c r="D5302" t="s">
        <v>81</v>
      </c>
      <c r="E5302" s="77" t="s">
        <v>104</v>
      </c>
      <c r="F5302" s="77" t="s">
        <v>73</v>
      </c>
      <c r="G5302" s="77" t="s">
        <v>74</v>
      </c>
      <c r="H5302" s="77" t="s">
        <v>123</v>
      </c>
      <c r="I5302" s="77" t="s">
        <v>84</v>
      </c>
      <c r="J5302" s="76">
        <v>0</v>
      </c>
    </row>
    <row r="5303" spans="1:10" x14ac:dyDescent="0.35">
      <c r="A5303" t="s">
        <v>15</v>
      </c>
      <c r="B5303" t="s">
        <v>39</v>
      </c>
      <c r="C5303" s="77" t="s">
        <v>93</v>
      </c>
      <c r="D5303" t="s">
        <v>81</v>
      </c>
      <c r="E5303" s="77" t="s">
        <v>106</v>
      </c>
      <c r="F5303" s="77" t="s">
        <v>73</v>
      </c>
      <c r="G5303" s="77" t="s">
        <v>74</v>
      </c>
      <c r="H5303" s="77" t="s">
        <v>123</v>
      </c>
      <c r="I5303" s="77" t="s">
        <v>84</v>
      </c>
      <c r="J5303" s="76">
        <v>0</v>
      </c>
    </row>
    <row r="5304" spans="1:10" x14ac:dyDescent="0.35">
      <c r="A5304" t="s">
        <v>15</v>
      </c>
      <c r="B5304" t="s">
        <v>39</v>
      </c>
      <c r="C5304" s="77" t="s">
        <v>73</v>
      </c>
      <c r="D5304" t="s">
        <v>81</v>
      </c>
      <c r="E5304" s="77" t="s">
        <v>119</v>
      </c>
      <c r="F5304" s="77" t="s">
        <v>73</v>
      </c>
      <c r="G5304" s="77" t="s">
        <v>74</v>
      </c>
      <c r="H5304" s="77" t="s">
        <v>127</v>
      </c>
      <c r="I5304" s="77" t="s">
        <v>84</v>
      </c>
      <c r="J5304" s="76">
        <f>'SUT_EU27 total'!$M$22</f>
        <v>1.9500181678711294E-2</v>
      </c>
    </row>
    <row r="5305" spans="1:10" x14ac:dyDescent="0.35">
      <c r="A5305" t="s">
        <v>15</v>
      </c>
      <c r="B5305" t="s">
        <v>39</v>
      </c>
      <c r="C5305" s="77" t="s">
        <v>73</v>
      </c>
      <c r="D5305" t="s">
        <v>81</v>
      </c>
      <c r="E5305" s="77" t="s">
        <v>124</v>
      </c>
      <c r="F5305" s="77" t="s">
        <v>73</v>
      </c>
      <c r="G5305" s="77" t="s">
        <v>74</v>
      </c>
      <c r="H5305" s="77" t="s">
        <v>127</v>
      </c>
      <c r="I5305" s="77" t="s">
        <v>84</v>
      </c>
      <c r="J5305" s="76" cm="1">
        <f t="array" ref="J5305:J5310">'SUT_EU27 total'!$M$26:$M$31</f>
        <v>1.9404661061278542E-3</v>
      </c>
    </row>
    <row r="5306" spans="1:10" x14ac:dyDescent="0.35">
      <c r="A5306" t="s">
        <v>15</v>
      </c>
      <c r="B5306" t="s">
        <v>39</v>
      </c>
      <c r="C5306" s="77" t="s">
        <v>73</v>
      </c>
      <c r="D5306" t="s">
        <v>81</v>
      </c>
      <c r="E5306" s="77" t="s">
        <v>117</v>
      </c>
      <c r="F5306" s="77" t="s">
        <v>73</v>
      </c>
      <c r="G5306" s="77" t="s">
        <v>74</v>
      </c>
      <c r="H5306" s="77" t="s">
        <v>127</v>
      </c>
      <c r="I5306" s="77" t="s">
        <v>84</v>
      </c>
      <c r="J5306" s="76">
        <v>5.8423628191201782E-3</v>
      </c>
    </row>
    <row r="5307" spans="1:10" x14ac:dyDescent="0.35">
      <c r="A5307" t="s">
        <v>15</v>
      </c>
      <c r="B5307" t="s">
        <v>39</v>
      </c>
      <c r="C5307" s="77" t="s">
        <v>73</v>
      </c>
      <c r="D5307" t="s">
        <v>81</v>
      </c>
      <c r="E5307" s="77" t="s">
        <v>82</v>
      </c>
      <c r="F5307" s="77" t="s">
        <v>73</v>
      </c>
      <c r="G5307" s="77" t="s">
        <v>74</v>
      </c>
      <c r="H5307" s="77" t="s">
        <v>127</v>
      </c>
      <c r="I5307" s="77" t="s">
        <v>84</v>
      </c>
      <c r="J5307" s="76">
        <v>4.8981233243967828E-4</v>
      </c>
    </row>
    <row r="5308" spans="1:10" x14ac:dyDescent="0.35">
      <c r="A5308" t="s">
        <v>15</v>
      </c>
      <c r="B5308" t="s">
        <v>39</v>
      </c>
      <c r="C5308" s="77" t="s">
        <v>73</v>
      </c>
      <c r="D5308" t="s">
        <v>81</v>
      </c>
      <c r="E5308" s="77" t="s">
        <v>125</v>
      </c>
      <c r="F5308" s="77" t="s">
        <v>73</v>
      </c>
      <c r="G5308" s="77" t="s">
        <v>74</v>
      </c>
      <c r="H5308" s="77" t="s">
        <v>127</v>
      </c>
      <c r="I5308" s="77" t="s">
        <v>84</v>
      </c>
      <c r="J5308" s="76">
        <v>2.4658201215687387E-3</v>
      </c>
    </row>
    <row r="5309" spans="1:10" x14ac:dyDescent="0.35">
      <c r="A5309" t="s">
        <v>15</v>
      </c>
      <c r="B5309" t="s">
        <v>39</v>
      </c>
      <c r="C5309" s="77" t="s">
        <v>73</v>
      </c>
      <c r="D5309" t="s">
        <v>81</v>
      </c>
      <c r="E5309" s="77" t="s">
        <v>122</v>
      </c>
      <c r="F5309" s="77" t="s">
        <v>73</v>
      </c>
      <c r="G5309" s="77" t="s">
        <v>74</v>
      </c>
      <c r="H5309" s="77" t="s">
        <v>127</v>
      </c>
      <c r="I5309" s="77" t="s">
        <v>84</v>
      </c>
      <c r="J5309" s="76">
        <v>4.922711058263972E-4</v>
      </c>
    </row>
    <row r="5310" spans="1:10" x14ac:dyDescent="0.35">
      <c r="A5310" t="s">
        <v>15</v>
      </c>
      <c r="B5310" t="s">
        <v>39</v>
      </c>
      <c r="C5310" s="77" t="s">
        <v>73</v>
      </c>
      <c r="D5310" t="s">
        <v>81</v>
      </c>
      <c r="E5310" s="77" t="s">
        <v>126</v>
      </c>
      <c r="F5310" s="77" t="s">
        <v>73</v>
      </c>
      <c r="G5310" s="77" t="s">
        <v>74</v>
      </c>
      <c r="H5310" s="77" t="s">
        <v>127</v>
      </c>
      <c r="I5310" s="77" t="s">
        <v>84</v>
      </c>
      <c r="J5310" s="76">
        <v>0</v>
      </c>
    </row>
    <row r="5311" spans="1:10" x14ac:dyDescent="0.35">
      <c r="A5311" t="s">
        <v>15</v>
      </c>
      <c r="B5311" t="s">
        <v>39</v>
      </c>
      <c r="C5311" s="77" t="s">
        <v>73</v>
      </c>
      <c r="D5311" t="s">
        <v>81</v>
      </c>
      <c r="E5311" s="77" t="s">
        <v>101</v>
      </c>
      <c r="F5311" s="77" t="s">
        <v>73</v>
      </c>
      <c r="G5311" s="77" t="s">
        <v>74</v>
      </c>
      <c r="H5311" s="77" t="s">
        <v>127</v>
      </c>
      <c r="I5311" s="77" t="s">
        <v>84</v>
      </c>
      <c r="J5311" s="471" cm="1">
        <f t="array" ref="J5311:J5313">Sensitivity!J95:J97</f>
        <v>1.4077232662383567E-3</v>
      </c>
    </row>
    <row r="5312" spans="1:10" x14ac:dyDescent="0.35">
      <c r="A5312" t="s">
        <v>15</v>
      </c>
      <c r="B5312" t="s">
        <v>39</v>
      </c>
      <c r="C5312" s="77" t="s">
        <v>73</v>
      </c>
      <c r="D5312" t="s">
        <v>81</v>
      </c>
      <c r="E5312" s="77" t="s">
        <v>104</v>
      </c>
      <c r="F5312" s="77" t="s">
        <v>73</v>
      </c>
      <c r="G5312" s="77" t="s">
        <v>74</v>
      </c>
      <c r="H5312" s="77" t="s">
        <v>127</v>
      </c>
      <c r="I5312" s="77" t="s">
        <v>84</v>
      </c>
      <c r="J5312" s="471">
        <v>8.0722908260373052E-4</v>
      </c>
    </row>
    <row r="5313" spans="1:10" x14ac:dyDescent="0.35">
      <c r="A5313" t="s">
        <v>15</v>
      </c>
      <c r="B5313" t="s">
        <v>39</v>
      </c>
      <c r="C5313" s="77" t="s">
        <v>73</v>
      </c>
      <c r="D5313" t="s">
        <v>81</v>
      </c>
      <c r="E5313" s="77" t="s">
        <v>106</v>
      </c>
      <c r="F5313" s="77" t="s">
        <v>73</v>
      </c>
      <c r="G5313" s="77" t="s">
        <v>74</v>
      </c>
      <c r="H5313" s="77" t="s">
        <v>127</v>
      </c>
      <c r="I5313" s="77" t="s">
        <v>84</v>
      </c>
      <c r="J5313" s="471">
        <v>1.1998476511579127E-3</v>
      </c>
    </row>
    <row r="5314" spans="1:10" x14ac:dyDescent="0.35">
      <c r="A5314" t="s">
        <v>15</v>
      </c>
      <c r="B5314" t="s">
        <v>39</v>
      </c>
      <c r="C5314" s="77" t="s">
        <v>88</v>
      </c>
      <c r="D5314" t="s">
        <v>81</v>
      </c>
      <c r="E5314" s="77" t="s">
        <v>119</v>
      </c>
      <c r="F5314" s="77" t="s">
        <v>73</v>
      </c>
      <c r="G5314" s="77" t="s">
        <v>74</v>
      </c>
      <c r="H5314" s="77" t="s">
        <v>127</v>
      </c>
      <c r="I5314" s="77" t="s">
        <v>84</v>
      </c>
      <c r="J5314" s="76">
        <f>'SUT_EU27 total'!$M$39</f>
        <v>0.16108845734587587</v>
      </c>
    </row>
    <row r="5315" spans="1:10" x14ac:dyDescent="0.35">
      <c r="A5315" t="s">
        <v>15</v>
      </c>
      <c r="B5315" t="s">
        <v>39</v>
      </c>
      <c r="C5315" s="77" t="s">
        <v>88</v>
      </c>
      <c r="D5315" t="s">
        <v>81</v>
      </c>
      <c r="E5315" s="77" t="s">
        <v>124</v>
      </c>
      <c r="F5315" s="77" t="s">
        <v>73</v>
      </c>
      <c r="G5315" s="77" t="s">
        <v>74</v>
      </c>
      <c r="H5315" s="77" t="s">
        <v>127</v>
      </c>
      <c r="I5315" s="77" t="s">
        <v>84</v>
      </c>
      <c r="J5315" s="76" cm="1">
        <f t="array" ref="J5315:J5323">'SUT_EU27 total'!$L$43:$L$51</f>
        <v>5.0558836222750793E-4</v>
      </c>
    </row>
    <row r="5316" spans="1:10" x14ac:dyDescent="0.35">
      <c r="A5316" t="s">
        <v>15</v>
      </c>
      <c r="B5316" t="s">
        <v>39</v>
      </c>
      <c r="C5316" s="77" t="s">
        <v>88</v>
      </c>
      <c r="D5316" t="s">
        <v>81</v>
      </c>
      <c r="E5316" s="77" t="s">
        <v>117</v>
      </c>
      <c r="F5316" s="77" t="s">
        <v>73</v>
      </c>
      <c r="G5316" s="77" t="s">
        <v>74</v>
      </c>
      <c r="H5316" s="77" t="s">
        <v>127</v>
      </c>
      <c r="I5316" s="77" t="s">
        <v>84</v>
      </c>
      <c r="J5316" s="76">
        <v>4.8514464106651379E-3</v>
      </c>
    </row>
    <row r="5317" spans="1:10" x14ac:dyDescent="0.35">
      <c r="A5317" t="s">
        <v>15</v>
      </c>
      <c r="B5317" t="s">
        <v>39</v>
      </c>
      <c r="C5317" s="77" t="s">
        <v>88</v>
      </c>
      <c r="D5317" t="s">
        <v>81</v>
      </c>
      <c r="E5317" s="77" t="s">
        <v>82</v>
      </c>
      <c r="F5317" s="77" t="s">
        <v>73</v>
      </c>
      <c r="G5317" s="77" t="s">
        <v>74</v>
      </c>
      <c r="H5317" s="77" t="s">
        <v>127</v>
      </c>
      <c r="I5317" s="77" t="s">
        <v>84</v>
      </c>
      <c r="J5317" s="76">
        <v>1.109418436791091E-2</v>
      </c>
    </row>
    <row r="5318" spans="1:10" x14ac:dyDescent="0.35">
      <c r="A5318" t="s">
        <v>15</v>
      </c>
      <c r="B5318" t="s">
        <v>39</v>
      </c>
      <c r="C5318" s="77" t="s">
        <v>88</v>
      </c>
      <c r="D5318" t="s">
        <v>81</v>
      </c>
      <c r="E5318" s="77" t="s">
        <v>125</v>
      </c>
      <c r="F5318" s="77" t="s">
        <v>73</v>
      </c>
      <c r="G5318" s="77" t="s">
        <v>74</v>
      </c>
      <c r="H5318" s="77" t="s">
        <v>127</v>
      </c>
      <c r="I5318" s="77" t="s">
        <v>84</v>
      </c>
      <c r="J5318" s="76">
        <v>2.890870278990243E-5</v>
      </c>
    </row>
    <row r="5319" spans="1:10" x14ac:dyDescent="0.35">
      <c r="A5319" t="s">
        <v>15</v>
      </c>
      <c r="B5319" t="s">
        <v>39</v>
      </c>
      <c r="C5319" s="77" t="s">
        <v>88</v>
      </c>
      <c r="D5319" t="s">
        <v>81</v>
      </c>
      <c r="E5319" s="77" t="s">
        <v>122</v>
      </c>
      <c r="F5319" s="77" t="s">
        <v>73</v>
      </c>
      <c r="G5319" s="77" t="s">
        <v>74</v>
      </c>
      <c r="H5319" s="77" t="s">
        <v>127</v>
      </c>
      <c r="I5319" s="77" t="s">
        <v>84</v>
      </c>
      <c r="J5319" s="76">
        <v>0</v>
      </c>
    </row>
    <row r="5320" spans="1:10" x14ac:dyDescent="0.35">
      <c r="A5320" t="s">
        <v>15</v>
      </c>
      <c r="B5320" t="s">
        <v>39</v>
      </c>
      <c r="C5320" s="77" t="s">
        <v>88</v>
      </c>
      <c r="D5320" t="s">
        <v>81</v>
      </c>
      <c r="E5320" s="77" t="s">
        <v>126</v>
      </c>
      <c r="F5320" s="77" t="s">
        <v>73</v>
      </c>
      <c r="G5320" s="77" t="s">
        <v>74</v>
      </c>
      <c r="H5320" s="77" t="s">
        <v>127</v>
      </c>
      <c r="I5320" s="77" t="s">
        <v>84</v>
      </c>
      <c r="J5320" s="76">
        <v>2.8514320987501449E-3</v>
      </c>
    </row>
    <row r="5321" spans="1:10" x14ac:dyDescent="0.35">
      <c r="A5321" t="s">
        <v>15</v>
      </c>
      <c r="B5321" t="s">
        <v>39</v>
      </c>
      <c r="C5321" s="77" t="s">
        <v>88</v>
      </c>
      <c r="D5321" t="s">
        <v>81</v>
      </c>
      <c r="E5321" s="77" t="s">
        <v>101</v>
      </c>
      <c r="F5321" s="77" t="s">
        <v>73</v>
      </c>
      <c r="G5321" s="77" t="s">
        <v>74</v>
      </c>
      <c r="H5321" s="77" t="s">
        <v>127</v>
      </c>
      <c r="I5321" s="77" t="s">
        <v>84</v>
      </c>
      <c r="J5321" s="76">
        <v>0</v>
      </c>
    </row>
    <row r="5322" spans="1:10" x14ac:dyDescent="0.35">
      <c r="A5322" t="s">
        <v>15</v>
      </c>
      <c r="B5322" t="s">
        <v>39</v>
      </c>
      <c r="C5322" s="77" t="s">
        <v>88</v>
      </c>
      <c r="D5322" t="s">
        <v>81</v>
      </c>
      <c r="E5322" s="77" t="s">
        <v>104</v>
      </c>
      <c r="F5322" s="77" t="s">
        <v>73</v>
      </c>
      <c r="G5322" s="77" t="s">
        <v>74</v>
      </c>
      <c r="H5322" s="77" t="s">
        <v>127</v>
      </c>
      <c r="I5322" s="77" t="s">
        <v>84</v>
      </c>
      <c r="J5322" s="76">
        <v>0</v>
      </c>
    </row>
    <row r="5323" spans="1:10" x14ac:dyDescent="0.35">
      <c r="A5323" t="s">
        <v>15</v>
      </c>
      <c r="B5323" t="s">
        <v>39</v>
      </c>
      <c r="C5323" s="77" t="s">
        <v>88</v>
      </c>
      <c r="D5323" t="s">
        <v>81</v>
      </c>
      <c r="E5323" s="77" t="s">
        <v>106</v>
      </c>
      <c r="F5323" s="77" t="s">
        <v>73</v>
      </c>
      <c r="G5323" s="77" t="s">
        <v>74</v>
      </c>
      <c r="H5323" s="77" t="s">
        <v>127</v>
      </c>
      <c r="I5323" s="77" t="s">
        <v>84</v>
      </c>
      <c r="J5323" s="76">
        <v>0</v>
      </c>
    </row>
    <row r="5324" spans="1:10" x14ac:dyDescent="0.35">
      <c r="A5324" t="s">
        <v>15</v>
      </c>
      <c r="B5324" t="s">
        <v>39</v>
      </c>
      <c r="C5324" s="77" t="s">
        <v>90</v>
      </c>
      <c r="D5324" t="s">
        <v>81</v>
      </c>
      <c r="E5324" s="77" t="s">
        <v>119</v>
      </c>
      <c r="F5324" s="77" t="s">
        <v>73</v>
      </c>
      <c r="G5324" s="77" t="s">
        <v>74</v>
      </c>
      <c r="H5324" s="77" t="s">
        <v>127</v>
      </c>
      <c r="I5324" s="77" t="s">
        <v>84</v>
      </c>
      <c r="J5324" s="76">
        <f>'SUT_EU27 total'!$M$56</f>
        <v>2.949251079979006E-2</v>
      </c>
    </row>
    <row r="5325" spans="1:10" x14ac:dyDescent="0.35">
      <c r="A5325" t="s">
        <v>15</v>
      </c>
      <c r="B5325" t="s">
        <v>39</v>
      </c>
      <c r="C5325" s="77" t="s">
        <v>90</v>
      </c>
      <c r="D5325" t="s">
        <v>81</v>
      </c>
      <c r="E5325" s="77" t="s">
        <v>124</v>
      </c>
      <c r="F5325" s="77" t="s">
        <v>73</v>
      </c>
      <c r="G5325" s="77" t="s">
        <v>74</v>
      </c>
      <c r="H5325" s="77" t="s">
        <v>127</v>
      </c>
      <c r="I5325" s="77" t="s">
        <v>84</v>
      </c>
      <c r="J5325" s="76" cm="1">
        <f t="array" ref="J5325:J5333">'SUT_EU27 total'!$M$60:$M$68</f>
        <v>2.1047443073980527E-5</v>
      </c>
    </row>
    <row r="5326" spans="1:10" x14ac:dyDescent="0.35">
      <c r="A5326" t="s">
        <v>15</v>
      </c>
      <c r="B5326" t="s">
        <v>39</v>
      </c>
      <c r="C5326" s="77" t="s">
        <v>90</v>
      </c>
      <c r="D5326" t="s">
        <v>81</v>
      </c>
      <c r="E5326" s="77" t="s">
        <v>117</v>
      </c>
      <c r="F5326" s="77" t="s">
        <v>73</v>
      </c>
      <c r="G5326" s="77" t="s">
        <v>74</v>
      </c>
      <c r="H5326" s="77" t="s">
        <v>127</v>
      </c>
      <c r="I5326" s="77" t="s">
        <v>84</v>
      </c>
      <c r="J5326" s="76">
        <v>5.8414015621608938E-3</v>
      </c>
    </row>
    <row r="5327" spans="1:10" x14ac:dyDescent="0.35">
      <c r="A5327" t="s">
        <v>15</v>
      </c>
      <c r="B5327" t="s">
        <v>39</v>
      </c>
      <c r="C5327" s="77" t="s">
        <v>90</v>
      </c>
      <c r="D5327" t="s">
        <v>81</v>
      </c>
      <c r="E5327" s="77" t="s">
        <v>82</v>
      </c>
      <c r="F5327" s="77" t="s">
        <v>73</v>
      </c>
      <c r="G5327" s="77" t="s">
        <v>74</v>
      </c>
      <c r="H5327" s="77" t="s">
        <v>127</v>
      </c>
      <c r="I5327" s="77" t="s">
        <v>84</v>
      </c>
      <c r="J5327" s="76">
        <v>1.4521138379047227E-3</v>
      </c>
    </row>
    <row r="5328" spans="1:10" x14ac:dyDescent="0.35">
      <c r="A5328" t="s">
        <v>15</v>
      </c>
      <c r="B5328" t="s">
        <v>39</v>
      </c>
      <c r="C5328" s="77" t="s">
        <v>90</v>
      </c>
      <c r="D5328" t="s">
        <v>81</v>
      </c>
      <c r="E5328" s="77" t="s">
        <v>125</v>
      </c>
      <c r="F5328" s="77" t="s">
        <v>73</v>
      </c>
      <c r="G5328" s="77" t="s">
        <v>74</v>
      </c>
      <c r="H5328" s="77" t="s">
        <v>127</v>
      </c>
      <c r="I5328" s="77" t="s">
        <v>84</v>
      </c>
      <c r="J5328" s="76">
        <v>6.5130870114372285E-5</v>
      </c>
    </row>
    <row r="5329" spans="1:10" x14ac:dyDescent="0.35">
      <c r="A5329" t="s">
        <v>15</v>
      </c>
      <c r="B5329" t="s">
        <v>39</v>
      </c>
      <c r="C5329" s="77" t="s">
        <v>90</v>
      </c>
      <c r="D5329" t="s">
        <v>81</v>
      </c>
      <c r="E5329" s="77" t="s">
        <v>122</v>
      </c>
      <c r="F5329" s="77" t="s">
        <v>73</v>
      </c>
      <c r="G5329" s="77" t="s">
        <v>74</v>
      </c>
      <c r="H5329" s="77" t="s">
        <v>127</v>
      </c>
      <c r="I5329" s="77" t="s">
        <v>84</v>
      </c>
      <c r="J5329" s="76">
        <v>7.9476813317479189E-4</v>
      </c>
    </row>
    <row r="5330" spans="1:10" x14ac:dyDescent="0.35">
      <c r="A5330" t="s">
        <v>15</v>
      </c>
      <c r="B5330" t="s">
        <v>39</v>
      </c>
      <c r="C5330" s="77" t="s">
        <v>90</v>
      </c>
      <c r="D5330" t="s">
        <v>81</v>
      </c>
      <c r="E5330" s="77" t="s">
        <v>126</v>
      </c>
      <c r="F5330" s="77" t="s">
        <v>73</v>
      </c>
      <c r="G5330" s="77" t="s">
        <v>74</v>
      </c>
      <c r="H5330" s="77" t="s">
        <v>127</v>
      </c>
      <c r="I5330" s="77" t="s">
        <v>84</v>
      </c>
      <c r="J5330" s="76">
        <v>8.4821183458843076E-3</v>
      </c>
    </row>
    <row r="5331" spans="1:10" x14ac:dyDescent="0.35">
      <c r="A5331" t="s">
        <v>15</v>
      </c>
      <c r="B5331" t="s">
        <v>39</v>
      </c>
      <c r="C5331" s="77" t="s">
        <v>90</v>
      </c>
      <c r="D5331" t="s">
        <v>81</v>
      </c>
      <c r="E5331" s="77" t="s">
        <v>101</v>
      </c>
      <c r="F5331" s="77" t="s">
        <v>73</v>
      </c>
      <c r="G5331" s="77" t="s">
        <v>74</v>
      </c>
      <c r="H5331" s="77" t="s">
        <v>127</v>
      </c>
      <c r="I5331" s="77" t="s">
        <v>84</v>
      </c>
      <c r="J5331" s="76">
        <v>0</v>
      </c>
    </row>
    <row r="5332" spans="1:10" x14ac:dyDescent="0.35">
      <c r="A5332" t="s">
        <v>15</v>
      </c>
      <c r="B5332" t="s">
        <v>39</v>
      </c>
      <c r="C5332" s="77" t="s">
        <v>90</v>
      </c>
      <c r="D5332" t="s">
        <v>81</v>
      </c>
      <c r="E5332" s="77" t="s">
        <v>104</v>
      </c>
      <c r="F5332" s="77" t="s">
        <v>73</v>
      </c>
      <c r="G5332" s="77" t="s">
        <v>74</v>
      </c>
      <c r="H5332" s="77" t="s">
        <v>127</v>
      </c>
      <c r="I5332" s="77" t="s">
        <v>84</v>
      </c>
      <c r="J5332" s="76">
        <v>0</v>
      </c>
    </row>
    <row r="5333" spans="1:10" x14ac:dyDescent="0.35">
      <c r="A5333" t="s">
        <v>15</v>
      </c>
      <c r="B5333" t="s">
        <v>39</v>
      </c>
      <c r="C5333" s="77" t="s">
        <v>90</v>
      </c>
      <c r="D5333" t="s">
        <v>81</v>
      </c>
      <c r="E5333" s="77" t="s">
        <v>106</v>
      </c>
      <c r="F5333" s="77" t="s">
        <v>73</v>
      </c>
      <c r="G5333" s="77" t="s">
        <v>74</v>
      </c>
      <c r="H5333" s="77" t="s">
        <v>127</v>
      </c>
      <c r="I5333" s="77" t="s">
        <v>84</v>
      </c>
      <c r="J5333" s="76">
        <v>0</v>
      </c>
    </row>
    <row r="5334" spans="1:10" x14ac:dyDescent="0.35">
      <c r="A5334" t="s">
        <v>15</v>
      </c>
      <c r="B5334" t="s">
        <v>39</v>
      </c>
      <c r="C5334" s="77" t="s">
        <v>91</v>
      </c>
      <c r="D5334" t="s">
        <v>81</v>
      </c>
      <c r="E5334" s="77" t="s">
        <v>119</v>
      </c>
      <c r="F5334" s="77" t="s">
        <v>73</v>
      </c>
      <c r="G5334" s="77" t="s">
        <v>74</v>
      </c>
      <c r="H5334" s="77" t="s">
        <v>127</v>
      </c>
      <c r="I5334" s="77" t="s">
        <v>84</v>
      </c>
      <c r="J5334" s="76">
        <f>'SUT_EU27 total'!$M$73</f>
        <v>0.15097500908393557</v>
      </c>
    </row>
    <row r="5335" spans="1:10" x14ac:dyDescent="0.35">
      <c r="A5335" t="s">
        <v>15</v>
      </c>
      <c r="B5335" t="s">
        <v>39</v>
      </c>
      <c r="C5335" s="77" t="s">
        <v>91</v>
      </c>
      <c r="D5335" t="s">
        <v>81</v>
      </c>
      <c r="E5335" s="77" t="s">
        <v>124</v>
      </c>
      <c r="F5335" s="77" t="s">
        <v>73</v>
      </c>
      <c r="G5335" s="77" t="s">
        <v>74</v>
      </c>
      <c r="H5335" s="77" t="s">
        <v>127</v>
      </c>
      <c r="I5335" s="77" t="s">
        <v>84</v>
      </c>
      <c r="J5335" s="76" cm="1">
        <f t="array" ref="J5335:J5343">'SUT_EU27 total'!$M$77:$M$85</f>
        <v>6.7728942399646885E-5</v>
      </c>
    </row>
    <row r="5336" spans="1:10" x14ac:dyDescent="0.35">
      <c r="A5336" t="s">
        <v>15</v>
      </c>
      <c r="B5336" t="s">
        <v>39</v>
      </c>
      <c r="C5336" s="77" t="s">
        <v>91</v>
      </c>
      <c r="D5336" t="s">
        <v>81</v>
      </c>
      <c r="E5336" s="77" t="s">
        <v>117</v>
      </c>
      <c r="F5336" s="77" t="s">
        <v>73</v>
      </c>
      <c r="G5336" s="77" t="s">
        <v>74</v>
      </c>
      <c r="H5336" s="77" t="s">
        <v>127</v>
      </c>
      <c r="I5336" s="77" t="s">
        <v>84</v>
      </c>
      <c r="J5336" s="76">
        <v>5.6233849622410815E-3</v>
      </c>
    </row>
    <row r="5337" spans="1:10" x14ac:dyDescent="0.35">
      <c r="A5337" t="s">
        <v>15</v>
      </c>
      <c r="B5337" t="s">
        <v>39</v>
      </c>
      <c r="C5337" s="77" t="s">
        <v>91</v>
      </c>
      <c r="D5337" t="s">
        <v>81</v>
      </c>
      <c r="E5337" s="77" t="s">
        <v>82</v>
      </c>
      <c r="F5337" s="77" t="s">
        <v>73</v>
      </c>
      <c r="G5337" s="77" t="s">
        <v>74</v>
      </c>
      <c r="H5337" s="77" t="s">
        <v>127</v>
      </c>
      <c r="I5337" s="77" t="s">
        <v>84</v>
      </c>
      <c r="J5337" s="76">
        <v>1.8068055269127655E-3</v>
      </c>
    </row>
    <row r="5338" spans="1:10" x14ac:dyDescent="0.35">
      <c r="A5338" t="s">
        <v>15</v>
      </c>
      <c r="B5338" t="s">
        <v>39</v>
      </c>
      <c r="C5338" s="77" t="s">
        <v>91</v>
      </c>
      <c r="D5338" t="s">
        <v>81</v>
      </c>
      <c r="E5338" s="77" t="s">
        <v>125</v>
      </c>
      <c r="F5338" s="77" t="s">
        <v>73</v>
      </c>
      <c r="G5338" s="77" t="s">
        <v>74</v>
      </c>
      <c r="H5338" s="77" t="s">
        <v>127</v>
      </c>
      <c r="I5338" s="77" t="s">
        <v>84</v>
      </c>
      <c r="J5338" s="76">
        <v>5.6492118062760293E-6</v>
      </c>
    </row>
    <row r="5339" spans="1:10" x14ac:dyDescent="0.35">
      <c r="A5339" t="s">
        <v>15</v>
      </c>
      <c r="B5339" t="s">
        <v>39</v>
      </c>
      <c r="C5339" s="77" t="s">
        <v>91</v>
      </c>
      <c r="D5339" t="s">
        <v>81</v>
      </c>
      <c r="E5339" s="77" t="s">
        <v>122</v>
      </c>
      <c r="F5339" s="77" t="s">
        <v>73</v>
      </c>
      <c r="G5339" s="77" t="s">
        <v>74</v>
      </c>
      <c r="H5339" s="77" t="s">
        <v>127</v>
      </c>
      <c r="I5339" s="77" t="s">
        <v>84</v>
      </c>
      <c r="J5339" s="76">
        <v>0</v>
      </c>
    </row>
    <row r="5340" spans="1:10" x14ac:dyDescent="0.35">
      <c r="A5340" t="s">
        <v>15</v>
      </c>
      <c r="B5340" t="s">
        <v>39</v>
      </c>
      <c r="C5340" s="77" t="s">
        <v>91</v>
      </c>
      <c r="D5340" t="s">
        <v>81</v>
      </c>
      <c r="E5340" s="77" t="s">
        <v>126</v>
      </c>
      <c r="F5340" s="77" t="s">
        <v>73</v>
      </c>
      <c r="G5340" s="77" t="s">
        <v>74</v>
      </c>
      <c r="H5340" s="77" t="s">
        <v>127</v>
      </c>
      <c r="I5340" s="77" t="s">
        <v>84</v>
      </c>
      <c r="J5340" s="76">
        <v>8.1093795177776388E-4</v>
      </c>
    </row>
    <row r="5341" spans="1:10" x14ac:dyDescent="0.35">
      <c r="A5341" t="s">
        <v>15</v>
      </c>
      <c r="B5341" t="s">
        <v>39</v>
      </c>
      <c r="C5341" s="77" t="s">
        <v>91</v>
      </c>
      <c r="D5341" t="s">
        <v>81</v>
      </c>
      <c r="E5341" s="77" t="s">
        <v>101</v>
      </c>
      <c r="F5341" s="77" t="s">
        <v>73</v>
      </c>
      <c r="G5341" s="77" t="s">
        <v>74</v>
      </c>
      <c r="H5341" s="77" t="s">
        <v>127</v>
      </c>
      <c r="I5341" s="77" t="s">
        <v>84</v>
      </c>
      <c r="J5341" s="76">
        <v>0</v>
      </c>
    </row>
    <row r="5342" spans="1:10" x14ac:dyDescent="0.35">
      <c r="A5342" t="s">
        <v>15</v>
      </c>
      <c r="B5342" t="s">
        <v>39</v>
      </c>
      <c r="C5342" s="77" t="s">
        <v>91</v>
      </c>
      <c r="D5342" t="s">
        <v>81</v>
      </c>
      <c r="E5342" s="77" t="s">
        <v>104</v>
      </c>
      <c r="F5342" s="77" t="s">
        <v>73</v>
      </c>
      <c r="G5342" s="77" t="s">
        <v>74</v>
      </c>
      <c r="H5342" s="77" t="s">
        <v>127</v>
      </c>
      <c r="I5342" s="77" t="s">
        <v>84</v>
      </c>
      <c r="J5342" s="76">
        <v>0</v>
      </c>
    </row>
    <row r="5343" spans="1:10" x14ac:dyDescent="0.35">
      <c r="A5343" t="s">
        <v>15</v>
      </c>
      <c r="B5343" t="s">
        <v>39</v>
      </c>
      <c r="C5343" s="77" t="s">
        <v>91</v>
      </c>
      <c r="D5343" t="s">
        <v>81</v>
      </c>
      <c r="E5343" s="77" t="s">
        <v>106</v>
      </c>
      <c r="F5343" s="77" t="s">
        <v>73</v>
      </c>
      <c r="G5343" s="77" t="s">
        <v>74</v>
      </c>
      <c r="H5343" s="77" t="s">
        <v>127</v>
      </c>
      <c r="I5343" s="77" t="s">
        <v>84</v>
      </c>
      <c r="J5343" s="76">
        <v>0</v>
      </c>
    </row>
    <row r="5344" spans="1:10" x14ac:dyDescent="0.35">
      <c r="A5344" t="s">
        <v>15</v>
      </c>
      <c r="B5344" t="s">
        <v>39</v>
      </c>
      <c r="C5344" s="77" t="s">
        <v>92</v>
      </c>
      <c r="D5344" t="s">
        <v>81</v>
      </c>
      <c r="E5344" s="77" t="s">
        <v>119</v>
      </c>
      <c r="F5344" s="77" t="s">
        <v>73</v>
      </c>
      <c r="G5344" s="77" t="s">
        <v>74</v>
      </c>
      <c r="H5344" s="77" t="s">
        <v>127</v>
      </c>
      <c r="I5344" s="77" t="s">
        <v>84</v>
      </c>
      <c r="J5344" s="76">
        <f>'SUT_EU27 total'!$M$90</f>
        <v>0.13886309499777949</v>
      </c>
    </row>
    <row r="5345" spans="1:10" x14ac:dyDescent="0.35">
      <c r="A5345" t="s">
        <v>15</v>
      </c>
      <c r="B5345" t="s">
        <v>39</v>
      </c>
      <c r="C5345" s="77" t="s">
        <v>92</v>
      </c>
      <c r="D5345" t="s">
        <v>81</v>
      </c>
      <c r="E5345" s="77" t="s">
        <v>124</v>
      </c>
      <c r="F5345" s="77" t="s">
        <v>73</v>
      </c>
      <c r="G5345" s="77" t="s">
        <v>74</v>
      </c>
      <c r="H5345" s="77" t="s">
        <v>127</v>
      </c>
      <c r="I5345" s="77" t="s">
        <v>84</v>
      </c>
      <c r="J5345" s="76" cm="1">
        <f t="array" ref="J5345:J5353">'SUT_EU27 total'!$M$94:$M$102</f>
        <v>9.2968907089085616E-5</v>
      </c>
    </row>
    <row r="5346" spans="1:10" x14ac:dyDescent="0.35">
      <c r="A5346" t="s">
        <v>15</v>
      </c>
      <c r="B5346" t="s">
        <v>39</v>
      </c>
      <c r="C5346" s="77" t="s">
        <v>92</v>
      </c>
      <c r="D5346" t="s">
        <v>81</v>
      </c>
      <c r="E5346" s="77" t="s">
        <v>117</v>
      </c>
      <c r="F5346" s="77" t="s">
        <v>73</v>
      </c>
      <c r="G5346" s="77" t="s">
        <v>74</v>
      </c>
      <c r="H5346" s="77" t="s">
        <v>127</v>
      </c>
      <c r="I5346" s="77" t="s">
        <v>84</v>
      </c>
      <c r="J5346" s="76">
        <v>0</v>
      </c>
    </row>
    <row r="5347" spans="1:10" x14ac:dyDescent="0.35">
      <c r="A5347" t="s">
        <v>15</v>
      </c>
      <c r="B5347" t="s">
        <v>39</v>
      </c>
      <c r="C5347" s="77" t="s">
        <v>92</v>
      </c>
      <c r="D5347" t="s">
        <v>81</v>
      </c>
      <c r="E5347" s="77" t="s">
        <v>82</v>
      </c>
      <c r="F5347" s="77" t="s">
        <v>73</v>
      </c>
      <c r="G5347" s="77" t="s">
        <v>74</v>
      </c>
      <c r="H5347" s="77" t="s">
        <v>127</v>
      </c>
      <c r="I5347" s="77" t="s">
        <v>84</v>
      </c>
      <c r="J5347" s="76">
        <v>1.1251392039595793E-3</v>
      </c>
    </row>
    <row r="5348" spans="1:10" x14ac:dyDescent="0.35">
      <c r="A5348" t="s">
        <v>15</v>
      </c>
      <c r="B5348" t="s">
        <v>39</v>
      </c>
      <c r="C5348" s="77" t="s">
        <v>92</v>
      </c>
      <c r="D5348" t="s">
        <v>81</v>
      </c>
      <c r="E5348" s="77" t="s">
        <v>125</v>
      </c>
      <c r="F5348" s="77" t="s">
        <v>73</v>
      </c>
      <c r="G5348" s="77" t="s">
        <v>74</v>
      </c>
      <c r="H5348" s="77" t="s">
        <v>127</v>
      </c>
      <c r="I5348" s="77" t="s">
        <v>84</v>
      </c>
      <c r="J5348" s="76">
        <v>5.0048817841215026E-7</v>
      </c>
    </row>
    <row r="5349" spans="1:10" x14ac:dyDescent="0.35">
      <c r="A5349" t="s">
        <v>15</v>
      </c>
      <c r="B5349" t="s">
        <v>39</v>
      </c>
      <c r="C5349" s="77" t="s">
        <v>92</v>
      </c>
      <c r="D5349" t="s">
        <v>81</v>
      </c>
      <c r="E5349" s="77" t="s">
        <v>122</v>
      </c>
      <c r="F5349" s="77" t="s">
        <v>73</v>
      </c>
      <c r="G5349" s="77" t="s">
        <v>74</v>
      </c>
      <c r="H5349" s="77" t="s">
        <v>127</v>
      </c>
      <c r="I5349" s="77" t="s">
        <v>84</v>
      </c>
      <c r="J5349" s="76">
        <v>0</v>
      </c>
    </row>
    <row r="5350" spans="1:10" x14ac:dyDescent="0.35">
      <c r="A5350" t="s">
        <v>15</v>
      </c>
      <c r="B5350" t="s">
        <v>39</v>
      </c>
      <c r="C5350" s="77" t="s">
        <v>92</v>
      </c>
      <c r="D5350" t="s">
        <v>81</v>
      </c>
      <c r="E5350" s="77" t="s">
        <v>126</v>
      </c>
      <c r="F5350" s="77" t="s">
        <v>73</v>
      </c>
      <c r="G5350" s="77" t="s">
        <v>74</v>
      </c>
      <c r="H5350" s="77" t="s">
        <v>127</v>
      </c>
      <c r="I5350" s="77" t="s">
        <v>84</v>
      </c>
      <c r="J5350" s="76">
        <v>0</v>
      </c>
    </row>
    <row r="5351" spans="1:10" x14ac:dyDescent="0.35">
      <c r="A5351" t="s">
        <v>15</v>
      </c>
      <c r="B5351" t="s">
        <v>39</v>
      </c>
      <c r="C5351" s="77" t="s">
        <v>92</v>
      </c>
      <c r="D5351" t="s">
        <v>81</v>
      </c>
      <c r="E5351" s="77" t="s">
        <v>101</v>
      </c>
      <c r="F5351" s="77" t="s">
        <v>73</v>
      </c>
      <c r="G5351" s="77" t="s">
        <v>74</v>
      </c>
      <c r="H5351" s="77" t="s">
        <v>127</v>
      </c>
      <c r="I5351" s="77" t="s">
        <v>84</v>
      </c>
      <c r="J5351" s="76">
        <v>0</v>
      </c>
    </row>
    <row r="5352" spans="1:10" x14ac:dyDescent="0.35">
      <c r="A5352" t="s">
        <v>15</v>
      </c>
      <c r="B5352" t="s">
        <v>39</v>
      </c>
      <c r="C5352" s="77" t="s">
        <v>92</v>
      </c>
      <c r="D5352" t="s">
        <v>81</v>
      </c>
      <c r="E5352" s="77" t="s">
        <v>104</v>
      </c>
      <c r="F5352" s="77" t="s">
        <v>73</v>
      </c>
      <c r="G5352" s="77" t="s">
        <v>74</v>
      </c>
      <c r="H5352" s="77" t="s">
        <v>127</v>
      </c>
      <c r="I5352" s="77" t="s">
        <v>84</v>
      </c>
      <c r="J5352" s="76">
        <v>0</v>
      </c>
    </row>
    <row r="5353" spans="1:10" x14ac:dyDescent="0.35">
      <c r="A5353" t="s">
        <v>15</v>
      </c>
      <c r="B5353" t="s">
        <v>39</v>
      </c>
      <c r="C5353" s="77" t="s">
        <v>92</v>
      </c>
      <c r="D5353" t="s">
        <v>81</v>
      </c>
      <c r="E5353" s="77" t="s">
        <v>106</v>
      </c>
      <c r="F5353" s="77" t="s">
        <v>73</v>
      </c>
      <c r="G5353" s="77" t="s">
        <v>74</v>
      </c>
      <c r="H5353" s="77" t="s">
        <v>127</v>
      </c>
      <c r="I5353" s="77" t="s">
        <v>84</v>
      </c>
      <c r="J5353" s="76">
        <v>0</v>
      </c>
    </row>
    <row r="5354" spans="1:10" x14ac:dyDescent="0.35">
      <c r="A5354" t="s">
        <v>15</v>
      </c>
      <c r="B5354" t="s">
        <v>39</v>
      </c>
      <c r="C5354" s="77" t="s">
        <v>93</v>
      </c>
      <c r="D5354" t="s">
        <v>81</v>
      </c>
      <c r="E5354" s="77" t="s">
        <v>119</v>
      </c>
      <c r="F5354" s="77" t="s">
        <v>73</v>
      </c>
      <c r="G5354" s="77" t="s">
        <v>74</v>
      </c>
      <c r="H5354" s="77" t="s">
        <v>127</v>
      </c>
      <c r="I5354" s="77" t="s">
        <v>84</v>
      </c>
      <c r="J5354" s="76">
        <f>'SUT_EU27 total'!$M$107</f>
        <v>1.0000807460939076</v>
      </c>
    </row>
    <row r="5355" spans="1:10" x14ac:dyDescent="0.35">
      <c r="A5355" t="s">
        <v>15</v>
      </c>
      <c r="B5355" t="s">
        <v>39</v>
      </c>
      <c r="C5355" s="77" t="s">
        <v>93</v>
      </c>
      <c r="D5355" t="s">
        <v>81</v>
      </c>
      <c r="E5355" s="77" t="s">
        <v>124</v>
      </c>
      <c r="F5355" s="77" t="s">
        <v>73</v>
      </c>
      <c r="G5355" s="77" t="s">
        <v>74</v>
      </c>
      <c r="H5355" s="77" t="s">
        <v>127</v>
      </c>
      <c r="I5355" s="77" t="s">
        <v>84</v>
      </c>
      <c r="J5355" s="76" cm="1">
        <f t="array" ref="J5355:J5363">'SUT_EU27 total'!$M$111:$M$119</f>
        <v>3.7052409430862396E-4</v>
      </c>
    </row>
    <row r="5356" spans="1:10" x14ac:dyDescent="0.35">
      <c r="A5356" t="s">
        <v>15</v>
      </c>
      <c r="B5356" t="s">
        <v>39</v>
      </c>
      <c r="C5356" s="77" t="s">
        <v>93</v>
      </c>
      <c r="D5356" t="s">
        <v>81</v>
      </c>
      <c r="E5356" s="77" t="s">
        <v>117</v>
      </c>
      <c r="F5356" s="77" t="s">
        <v>73</v>
      </c>
      <c r="G5356" s="77" t="s">
        <v>74</v>
      </c>
      <c r="H5356" s="77" t="s">
        <v>127</v>
      </c>
      <c r="I5356" s="77" t="s">
        <v>84</v>
      </c>
      <c r="J5356" s="76">
        <v>5.8414042458127093E-3</v>
      </c>
    </row>
    <row r="5357" spans="1:10" x14ac:dyDescent="0.35">
      <c r="A5357" t="s">
        <v>15</v>
      </c>
      <c r="B5357" t="s">
        <v>39</v>
      </c>
      <c r="C5357" s="77" t="s">
        <v>93</v>
      </c>
      <c r="D5357" t="s">
        <v>81</v>
      </c>
      <c r="E5357" s="77" t="s">
        <v>82</v>
      </c>
      <c r="F5357" s="77" t="s">
        <v>73</v>
      </c>
      <c r="G5357" s="77" t="s">
        <v>74</v>
      </c>
      <c r="H5357" s="77" t="s">
        <v>127</v>
      </c>
      <c r="I5357" s="77" t="s">
        <v>84</v>
      </c>
      <c r="J5357" s="76">
        <v>5.0319447308723453E-3</v>
      </c>
    </row>
    <row r="5358" spans="1:10" x14ac:dyDescent="0.35">
      <c r="A5358" t="s">
        <v>15</v>
      </c>
      <c r="B5358" t="s">
        <v>39</v>
      </c>
      <c r="C5358" s="77" t="s">
        <v>93</v>
      </c>
      <c r="D5358" t="s">
        <v>81</v>
      </c>
      <c r="E5358" s="77" t="s">
        <v>125</v>
      </c>
      <c r="F5358" s="77" t="s">
        <v>73</v>
      </c>
      <c r="G5358" s="77" t="s">
        <v>74</v>
      </c>
      <c r="H5358" s="77" t="s">
        <v>127</v>
      </c>
      <c r="I5358" s="77" t="s">
        <v>84</v>
      </c>
      <c r="J5358" s="76">
        <v>4.336096678710085E-4</v>
      </c>
    </row>
    <row r="5359" spans="1:10" x14ac:dyDescent="0.35">
      <c r="A5359" t="s">
        <v>15</v>
      </c>
      <c r="B5359" t="s">
        <v>39</v>
      </c>
      <c r="C5359" s="77" t="s">
        <v>93</v>
      </c>
      <c r="D5359" t="s">
        <v>81</v>
      </c>
      <c r="E5359" s="77" t="s">
        <v>122</v>
      </c>
      <c r="F5359" s="77" t="s">
        <v>73</v>
      </c>
      <c r="G5359" s="77" t="s">
        <v>74</v>
      </c>
      <c r="H5359" s="77" t="s">
        <v>127</v>
      </c>
      <c r="I5359" s="77" t="s">
        <v>84</v>
      </c>
      <c r="J5359" s="76">
        <v>2.7129607609988112E-3</v>
      </c>
    </row>
    <row r="5360" spans="1:10" x14ac:dyDescent="0.35">
      <c r="A5360" t="s">
        <v>15</v>
      </c>
      <c r="B5360" t="s">
        <v>39</v>
      </c>
      <c r="C5360" s="77" t="s">
        <v>93</v>
      </c>
      <c r="D5360" t="s">
        <v>81</v>
      </c>
      <c r="E5360" s="77" t="s">
        <v>126</v>
      </c>
      <c r="F5360" s="77" t="s">
        <v>73</v>
      </c>
      <c r="G5360" s="77" t="s">
        <v>74</v>
      </c>
      <c r="H5360" s="77" t="s">
        <v>127</v>
      </c>
      <c r="I5360" s="77" t="s">
        <v>84</v>
      </c>
      <c r="J5360" s="76">
        <v>4.3855511603587784E-2</v>
      </c>
    </row>
    <row r="5361" spans="1:10" x14ac:dyDescent="0.35">
      <c r="A5361" t="s">
        <v>15</v>
      </c>
      <c r="B5361" t="s">
        <v>39</v>
      </c>
      <c r="C5361" s="77" t="s">
        <v>93</v>
      </c>
      <c r="D5361" t="s">
        <v>81</v>
      </c>
      <c r="E5361" s="77" t="s">
        <v>101</v>
      </c>
      <c r="F5361" s="77" t="s">
        <v>73</v>
      </c>
      <c r="G5361" s="77" t="s">
        <v>74</v>
      </c>
      <c r="H5361" s="77" t="s">
        <v>127</v>
      </c>
      <c r="I5361" s="77" t="s">
        <v>84</v>
      </c>
      <c r="J5361" s="76">
        <v>0</v>
      </c>
    </row>
    <row r="5362" spans="1:10" x14ac:dyDescent="0.35">
      <c r="A5362" t="s">
        <v>15</v>
      </c>
      <c r="B5362" t="s">
        <v>39</v>
      </c>
      <c r="C5362" s="77" t="s">
        <v>93</v>
      </c>
      <c r="D5362" t="s">
        <v>81</v>
      </c>
      <c r="E5362" s="77" t="s">
        <v>104</v>
      </c>
      <c r="F5362" s="77" t="s">
        <v>73</v>
      </c>
      <c r="G5362" s="77" t="s">
        <v>74</v>
      </c>
      <c r="H5362" s="77" t="s">
        <v>127</v>
      </c>
      <c r="I5362" s="77" t="s">
        <v>84</v>
      </c>
      <c r="J5362" s="76">
        <v>0</v>
      </c>
    </row>
    <row r="5363" spans="1:10" x14ac:dyDescent="0.35">
      <c r="A5363" t="s">
        <v>15</v>
      </c>
      <c r="B5363" t="s">
        <v>39</v>
      </c>
      <c r="C5363" s="77" t="s">
        <v>93</v>
      </c>
      <c r="D5363" t="s">
        <v>81</v>
      </c>
      <c r="E5363" s="77" t="s">
        <v>106</v>
      </c>
      <c r="F5363" s="77" t="s">
        <v>73</v>
      </c>
      <c r="G5363" s="77" t="s">
        <v>74</v>
      </c>
      <c r="H5363" s="77" t="s">
        <v>127</v>
      </c>
      <c r="I5363" s="77" t="s">
        <v>84</v>
      </c>
      <c r="J5363" s="76">
        <v>0</v>
      </c>
    </row>
    <row r="5364" spans="1:10" x14ac:dyDescent="0.35">
      <c r="A5364" t="s">
        <v>15</v>
      </c>
      <c r="B5364" t="s">
        <v>39</v>
      </c>
      <c r="C5364" s="77" t="s">
        <v>73</v>
      </c>
      <c r="D5364" t="s">
        <v>81</v>
      </c>
      <c r="E5364" s="77" t="s">
        <v>82</v>
      </c>
      <c r="F5364" s="77" t="s">
        <v>73</v>
      </c>
      <c r="G5364" s="77" t="s">
        <v>74</v>
      </c>
      <c r="H5364" s="77" t="s">
        <v>128</v>
      </c>
      <c r="I5364" s="77" t="s">
        <v>84</v>
      </c>
      <c r="J5364" s="76">
        <f>'SUT_EU27 total'!$N$28</f>
        <v>1.4658301341380521E-2</v>
      </c>
    </row>
    <row r="5365" spans="1:10" x14ac:dyDescent="0.35">
      <c r="A5365" t="s">
        <v>15</v>
      </c>
      <c r="B5365" t="s">
        <v>39</v>
      </c>
      <c r="C5365" s="77" t="s">
        <v>73</v>
      </c>
      <c r="D5365" t="s">
        <v>81</v>
      </c>
      <c r="E5365" s="77" t="s">
        <v>86</v>
      </c>
      <c r="F5365" s="77" t="s">
        <v>73</v>
      </c>
      <c r="G5365" s="77" t="s">
        <v>74</v>
      </c>
      <c r="H5365" s="77" t="s">
        <v>128</v>
      </c>
      <c r="I5365" s="77" t="s">
        <v>84</v>
      </c>
      <c r="J5365" s="76">
        <f>'SUT_EU27 total'!$N$35</f>
        <v>3.0740776778828832E-3</v>
      </c>
    </row>
    <row r="5366" spans="1:10" x14ac:dyDescent="0.35">
      <c r="A5366" t="s">
        <v>15</v>
      </c>
      <c r="B5366" t="s">
        <v>39</v>
      </c>
      <c r="C5366" s="77" t="s">
        <v>88</v>
      </c>
      <c r="D5366" t="s">
        <v>81</v>
      </c>
      <c r="E5366" s="77" t="s">
        <v>82</v>
      </c>
      <c r="F5366" s="77" t="s">
        <v>73</v>
      </c>
      <c r="G5366" s="77" t="s">
        <v>74</v>
      </c>
      <c r="H5366" s="77" t="s">
        <v>128</v>
      </c>
      <c r="I5366" s="77" t="s">
        <v>84</v>
      </c>
      <c r="J5366" s="76">
        <f>'SUT_EU27 total'!$N$45</f>
        <v>9.2276548594747033E-3</v>
      </c>
    </row>
    <row r="5367" spans="1:10" x14ac:dyDescent="0.35">
      <c r="A5367" t="s">
        <v>15</v>
      </c>
      <c r="B5367" t="s">
        <v>39</v>
      </c>
      <c r="C5367" s="77" t="s">
        <v>88</v>
      </c>
      <c r="D5367" t="s">
        <v>81</v>
      </c>
      <c r="E5367" s="77" t="s">
        <v>86</v>
      </c>
      <c r="F5367" s="77" t="s">
        <v>73</v>
      </c>
      <c r="G5367" s="77" t="s">
        <v>74</v>
      </c>
      <c r="H5367" s="77" t="s">
        <v>128</v>
      </c>
      <c r="I5367" s="77" t="s">
        <v>84</v>
      </c>
      <c r="J5367" s="76">
        <f>'SUT_EU27 total'!$N$52</f>
        <v>6.9627451701437512E-2</v>
      </c>
    </row>
    <row r="5368" spans="1:10" x14ac:dyDescent="0.35">
      <c r="A5368" t="s">
        <v>15</v>
      </c>
      <c r="B5368" t="s">
        <v>39</v>
      </c>
      <c r="C5368" s="77" t="s">
        <v>90</v>
      </c>
      <c r="D5368" t="s">
        <v>81</v>
      </c>
      <c r="E5368" s="77" t="s">
        <v>82</v>
      </c>
      <c r="F5368" s="77" t="s">
        <v>73</v>
      </c>
      <c r="G5368" s="77" t="s">
        <v>74</v>
      </c>
      <c r="H5368" s="77" t="s">
        <v>128</v>
      </c>
      <c r="I5368" s="77" t="s">
        <v>84</v>
      </c>
      <c r="J5368" s="76">
        <f>'SUT_EU27 total'!$N$62</f>
        <v>2.2200107734217647E-6</v>
      </c>
    </row>
    <row r="5369" spans="1:10" x14ac:dyDescent="0.35">
      <c r="A5369" t="s">
        <v>15</v>
      </c>
      <c r="B5369" t="s">
        <v>39</v>
      </c>
      <c r="C5369" s="77" t="s">
        <v>90</v>
      </c>
      <c r="D5369" t="s">
        <v>81</v>
      </c>
      <c r="E5369" s="77" t="s">
        <v>86</v>
      </c>
      <c r="F5369" s="77" t="s">
        <v>73</v>
      </c>
      <c r="G5369" s="77" t="s">
        <v>74</v>
      </c>
      <c r="H5369" s="77" t="s">
        <v>128</v>
      </c>
      <c r="I5369" s="77" t="s">
        <v>84</v>
      </c>
      <c r="J5369" s="76">
        <f>'SUT_EU27 total'!$N$69</f>
        <v>9.1135123377023061E-3</v>
      </c>
    </row>
    <row r="5370" spans="1:10" x14ac:dyDescent="0.35">
      <c r="A5370" t="s">
        <v>15</v>
      </c>
      <c r="B5370" t="s">
        <v>39</v>
      </c>
      <c r="C5370" s="77" t="s">
        <v>91</v>
      </c>
      <c r="D5370" t="s">
        <v>81</v>
      </c>
      <c r="E5370" s="77" t="s">
        <v>82</v>
      </c>
      <c r="F5370" s="77" t="s">
        <v>73</v>
      </c>
      <c r="G5370" s="77" t="s">
        <v>74</v>
      </c>
      <c r="H5370" s="77" t="s">
        <v>128</v>
      </c>
      <c r="I5370" s="77" t="s">
        <v>84</v>
      </c>
      <c r="J5370" s="76">
        <f>'SUT_EU27 total'!$N$79</f>
        <v>4.3195382907628159E-4</v>
      </c>
    </row>
    <row r="5371" spans="1:10" x14ac:dyDescent="0.35">
      <c r="A5371" t="s">
        <v>15</v>
      </c>
      <c r="B5371" t="s">
        <v>39</v>
      </c>
      <c r="C5371" s="77" t="s">
        <v>91</v>
      </c>
      <c r="D5371" t="s">
        <v>81</v>
      </c>
      <c r="E5371" s="77" t="s">
        <v>86</v>
      </c>
      <c r="F5371" s="77" t="s">
        <v>73</v>
      </c>
      <c r="G5371" s="77" t="s">
        <v>74</v>
      </c>
      <c r="H5371" s="77" t="s">
        <v>128</v>
      </c>
      <c r="I5371" s="77" t="s">
        <v>84</v>
      </c>
      <c r="J5371" s="76">
        <f>'SUT_EU27 total'!$N$86</f>
        <v>1.1339568587203704E-2</v>
      </c>
    </row>
    <row r="5372" spans="1:10" x14ac:dyDescent="0.35">
      <c r="A5372" t="s">
        <v>15</v>
      </c>
      <c r="B5372" t="s">
        <v>39</v>
      </c>
      <c r="C5372" s="77" t="s">
        <v>92</v>
      </c>
      <c r="D5372" t="s">
        <v>81</v>
      </c>
      <c r="E5372" s="77" t="s">
        <v>82</v>
      </c>
      <c r="F5372" s="77" t="s">
        <v>73</v>
      </c>
      <c r="G5372" s="77" t="s">
        <v>74</v>
      </c>
      <c r="H5372" s="77" t="s">
        <v>128</v>
      </c>
      <c r="I5372" s="77" t="s">
        <v>84</v>
      </c>
      <c r="J5372" s="76">
        <f>'SUT_EU27 total'!$N$96</f>
        <v>5.9963902402539811E-4</v>
      </c>
    </row>
    <row r="5373" spans="1:10" x14ac:dyDescent="0.35">
      <c r="A5373" t="s">
        <v>15</v>
      </c>
      <c r="B5373" t="s">
        <v>39</v>
      </c>
      <c r="C5373" s="77" t="s">
        <v>92</v>
      </c>
      <c r="D5373" t="s">
        <v>81</v>
      </c>
      <c r="E5373" s="77" t="s">
        <v>86</v>
      </c>
      <c r="F5373" s="77" t="s">
        <v>73</v>
      </c>
      <c r="G5373" s="77" t="s">
        <v>74</v>
      </c>
      <c r="H5373" s="77" t="s">
        <v>128</v>
      </c>
      <c r="I5373" s="77" t="s">
        <v>84</v>
      </c>
      <c r="J5373" s="76">
        <f>'SUT_EU27 total'!$N$103</f>
        <v>7.0614092017150581E-3</v>
      </c>
    </row>
    <row r="5374" spans="1:10" x14ac:dyDescent="0.35">
      <c r="A5374" t="s">
        <v>15</v>
      </c>
      <c r="B5374" t="s">
        <v>39</v>
      </c>
      <c r="C5374" s="77" t="s">
        <v>93</v>
      </c>
      <c r="D5374" t="s">
        <v>81</v>
      </c>
      <c r="E5374" s="77" t="s">
        <v>82</v>
      </c>
      <c r="F5374" s="77" t="s">
        <v>73</v>
      </c>
      <c r="G5374" s="77" t="s">
        <v>74</v>
      </c>
      <c r="H5374" s="77" t="s">
        <v>128</v>
      </c>
      <c r="I5374" s="77" t="s">
        <v>84</v>
      </c>
      <c r="J5374" s="76">
        <f>'SUT_EU27 total'!$N$113</f>
        <v>2.4854239602480213E-3</v>
      </c>
    </row>
    <row r="5375" spans="1:10" x14ac:dyDescent="0.35">
      <c r="A5375" t="s">
        <v>15</v>
      </c>
      <c r="B5375" t="s">
        <v>39</v>
      </c>
      <c r="C5375" s="77" t="s">
        <v>93</v>
      </c>
      <c r="D5375" t="s">
        <v>81</v>
      </c>
      <c r="E5375" s="77" t="s">
        <v>86</v>
      </c>
      <c r="F5375" s="77" t="s">
        <v>73</v>
      </c>
      <c r="G5375" s="77" t="s">
        <v>74</v>
      </c>
      <c r="H5375" s="77" t="s">
        <v>128</v>
      </c>
      <c r="I5375" s="77" t="s">
        <v>84</v>
      </c>
      <c r="J5375" s="76">
        <f>'SUT_EU27 total'!$N$120</f>
        <v>3.1580644155014347E-2</v>
      </c>
    </row>
    <row r="5376" spans="1:10" x14ac:dyDescent="0.35">
      <c r="A5376" t="s">
        <v>15</v>
      </c>
      <c r="B5376" t="s">
        <v>39</v>
      </c>
      <c r="C5376" s="77" t="s">
        <v>73</v>
      </c>
      <c r="D5376" t="s">
        <v>81</v>
      </c>
      <c r="E5376" s="77" t="s">
        <v>82</v>
      </c>
      <c r="F5376" s="77" t="s">
        <v>73</v>
      </c>
      <c r="G5376" s="77" t="s">
        <v>74</v>
      </c>
      <c r="H5376" s="77" t="s">
        <v>129</v>
      </c>
      <c r="I5376" s="77" t="s">
        <v>84</v>
      </c>
      <c r="J5376" s="76">
        <f>'SUT_EU27 total'!$O$28</f>
        <v>1.4658301341380521E-2</v>
      </c>
    </row>
    <row r="5377" spans="1:10" x14ac:dyDescent="0.35">
      <c r="A5377" t="s">
        <v>15</v>
      </c>
      <c r="B5377" t="s">
        <v>39</v>
      </c>
      <c r="C5377" s="77" t="s">
        <v>73</v>
      </c>
      <c r="D5377" t="s">
        <v>81</v>
      </c>
      <c r="E5377" s="77" t="s">
        <v>86</v>
      </c>
      <c r="F5377" s="77" t="s">
        <v>73</v>
      </c>
      <c r="G5377" s="77" t="s">
        <v>74</v>
      </c>
      <c r="H5377" s="77" t="s">
        <v>129</v>
      </c>
      <c r="I5377" s="77" t="s">
        <v>84</v>
      </c>
      <c r="J5377" s="76">
        <f>'SUT_EU27 total'!$O$35</f>
        <v>3.0740776778828832E-3</v>
      </c>
    </row>
    <row r="5378" spans="1:10" x14ac:dyDescent="0.35">
      <c r="A5378" t="s">
        <v>15</v>
      </c>
      <c r="B5378" t="s">
        <v>39</v>
      </c>
      <c r="C5378" s="77" t="s">
        <v>88</v>
      </c>
      <c r="D5378" t="s">
        <v>81</v>
      </c>
      <c r="E5378" s="77" t="s">
        <v>82</v>
      </c>
      <c r="F5378" s="77" t="s">
        <v>73</v>
      </c>
      <c r="G5378" s="77" t="s">
        <v>74</v>
      </c>
      <c r="H5378" s="77" t="s">
        <v>129</v>
      </c>
      <c r="I5378" s="77" t="s">
        <v>84</v>
      </c>
      <c r="J5378" s="76">
        <f>'SUT_EU27 total'!$O$45</f>
        <v>9.2276548594747033E-3</v>
      </c>
    </row>
    <row r="5379" spans="1:10" x14ac:dyDescent="0.35">
      <c r="A5379" t="s">
        <v>15</v>
      </c>
      <c r="B5379" t="s">
        <v>39</v>
      </c>
      <c r="C5379" s="77" t="s">
        <v>88</v>
      </c>
      <c r="D5379" t="s">
        <v>81</v>
      </c>
      <c r="E5379" s="77" t="s">
        <v>86</v>
      </c>
      <c r="F5379" s="77" t="s">
        <v>73</v>
      </c>
      <c r="G5379" s="77" t="s">
        <v>74</v>
      </c>
      <c r="H5379" s="77" t="s">
        <v>129</v>
      </c>
      <c r="I5379" s="77" t="s">
        <v>84</v>
      </c>
      <c r="J5379" s="76">
        <f>'SUT_EU27 total'!$O$52</f>
        <v>6.9627451701437512E-2</v>
      </c>
    </row>
    <row r="5380" spans="1:10" x14ac:dyDescent="0.35">
      <c r="A5380" t="s">
        <v>15</v>
      </c>
      <c r="B5380" t="s">
        <v>39</v>
      </c>
      <c r="C5380" s="77" t="s">
        <v>90</v>
      </c>
      <c r="D5380" t="s">
        <v>81</v>
      </c>
      <c r="E5380" s="77" t="s">
        <v>82</v>
      </c>
      <c r="F5380" s="77" t="s">
        <v>73</v>
      </c>
      <c r="G5380" s="77" t="s">
        <v>74</v>
      </c>
      <c r="H5380" s="77" t="s">
        <v>129</v>
      </c>
      <c r="I5380" s="77" t="s">
        <v>84</v>
      </c>
      <c r="J5380" s="76">
        <f>'SUT_EU27 total'!$O$62</f>
        <v>2.2200107734217647E-6</v>
      </c>
    </row>
    <row r="5381" spans="1:10" x14ac:dyDescent="0.35">
      <c r="A5381" t="s">
        <v>15</v>
      </c>
      <c r="B5381" t="s">
        <v>39</v>
      </c>
      <c r="C5381" s="77" t="s">
        <v>90</v>
      </c>
      <c r="D5381" t="s">
        <v>81</v>
      </c>
      <c r="E5381" s="77" t="s">
        <v>86</v>
      </c>
      <c r="F5381" s="77" t="s">
        <v>73</v>
      </c>
      <c r="G5381" s="77" t="s">
        <v>74</v>
      </c>
      <c r="H5381" s="77" t="s">
        <v>129</v>
      </c>
      <c r="I5381" s="77" t="s">
        <v>84</v>
      </c>
      <c r="J5381" s="76">
        <f>'SUT_EU27 total'!$O$69</f>
        <v>9.1135123377023061E-3</v>
      </c>
    </row>
    <row r="5382" spans="1:10" x14ac:dyDescent="0.35">
      <c r="A5382" t="s">
        <v>15</v>
      </c>
      <c r="B5382" t="s">
        <v>39</v>
      </c>
      <c r="C5382" s="77" t="s">
        <v>91</v>
      </c>
      <c r="D5382" t="s">
        <v>81</v>
      </c>
      <c r="E5382" s="77" t="s">
        <v>82</v>
      </c>
      <c r="F5382" s="77" t="s">
        <v>73</v>
      </c>
      <c r="G5382" s="77" t="s">
        <v>74</v>
      </c>
      <c r="H5382" s="77" t="s">
        <v>129</v>
      </c>
      <c r="I5382" s="77" t="s">
        <v>84</v>
      </c>
      <c r="J5382" s="76">
        <f>'SUT_EU27 total'!$O$79</f>
        <v>4.3195382907628159E-4</v>
      </c>
    </row>
    <row r="5383" spans="1:10" x14ac:dyDescent="0.35">
      <c r="A5383" t="s">
        <v>15</v>
      </c>
      <c r="B5383" t="s">
        <v>39</v>
      </c>
      <c r="C5383" s="77" t="s">
        <v>91</v>
      </c>
      <c r="D5383" t="s">
        <v>81</v>
      </c>
      <c r="E5383" s="77" t="s">
        <v>86</v>
      </c>
      <c r="F5383" s="77" t="s">
        <v>73</v>
      </c>
      <c r="G5383" s="77" t="s">
        <v>74</v>
      </c>
      <c r="H5383" s="77" t="s">
        <v>129</v>
      </c>
      <c r="I5383" s="77" t="s">
        <v>84</v>
      </c>
      <c r="J5383" s="76">
        <f>'SUT_EU27 total'!$O$86</f>
        <v>1.1339568587203704E-2</v>
      </c>
    </row>
    <row r="5384" spans="1:10" x14ac:dyDescent="0.35">
      <c r="A5384" t="s">
        <v>15</v>
      </c>
      <c r="B5384" t="s">
        <v>39</v>
      </c>
      <c r="C5384" s="77" t="s">
        <v>92</v>
      </c>
      <c r="D5384" t="s">
        <v>81</v>
      </c>
      <c r="E5384" s="77" t="s">
        <v>82</v>
      </c>
      <c r="F5384" s="77" t="s">
        <v>73</v>
      </c>
      <c r="G5384" s="77" t="s">
        <v>74</v>
      </c>
      <c r="H5384" s="77" t="s">
        <v>129</v>
      </c>
      <c r="I5384" s="77" t="s">
        <v>84</v>
      </c>
      <c r="J5384" s="76">
        <f>'SUT_EU27 total'!$O$96</f>
        <v>5.9963902402539811E-4</v>
      </c>
    </row>
    <row r="5385" spans="1:10" x14ac:dyDescent="0.35">
      <c r="A5385" t="s">
        <v>15</v>
      </c>
      <c r="B5385" t="s">
        <v>39</v>
      </c>
      <c r="C5385" s="77" t="s">
        <v>92</v>
      </c>
      <c r="D5385" t="s">
        <v>81</v>
      </c>
      <c r="E5385" s="77" t="s">
        <v>86</v>
      </c>
      <c r="F5385" s="77" t="s">
        <v>73</v>
      </c>
      <c r="G5385" s="77" t="s">
        <v>74</v>
      </c>
      <c r="H5385" s="77" t="s">
        <v>129</v>
      </c>
      <c r="I5385" s="77" t="s">
        <v>84</v>
      </c>
      <c r="J5385" s="76">
        <f>'SUT_EU27 total'!$O$103</f>
        <v>7.0614092017150581E-3</v>
      </c>
    </row>
    <row r="5386" spans="1:10" x14ac:dyDescent="0.35">
      <c r="A5386" t="s">
        <v>15</v>
      </c>
      <c r="B5386" t="s">
        <v>39</v>
      </c>
      <c r="C5386" s="77" t="s">
        <v>93</v>
      </c>
      <c r="D5386" t="s">
        <v>81</v>
      </c>
      <c r="E5386" s="77" t="s">
        <v>82</v>
      </c>
      <c r="F5386" s="77" t="s">
        <v>73</v>
      </c>
      <c r="G5386" s="77" t="s">
        <v>74</v>
      </c>
      <c r="H5386" s="77" t="s">
        <v>129</v>
      </c>
      <c r="I5386" s="77" t="s">
        <v>84</v>
      </c>
      <c r="J5386" s="76">
        <f>'SUT_EU27 total'!$O$113</f>
        <v>2.4854239602480213E-3</v>
      </c>
    </row>
    <row r="5387" spans="1:10" x14ac:dyDescent="0.35">
      <c r="A5387" t="s">
        <v>15</v>
      </c>
      <c r="B5387" t="s">
        <v>39</v>
      </c>
      <c r="C5387" s="77" t="s">
        <v>93</v>
      </c>
      <c r="D5387" t="s">
        <v>81</v>
      </c>
      <c r="E5387" s="77" t="s">
        <v>86</v>
      </c>
      <c r="F5387" s="77" t="s">
        <v>73</v>
      </c>
      <c r="G5387" s="77" t="s">
        <v>74</v>
      </c>
      <c r="H5387" s="77" t="s">
        <v>129</v>
      </c>
      <c r="I5387" s="77" t="s">
        <v>84</v>
      </c>
      <c r="J5387" s="76">
        <f>'SUT_EU27 total'!$O$120</f>
        <v>3.1580644155014347E-2</v>
      </c>
    </row>
    <row r="5388" spans="1:10" x14ac:dyDescent="0.35">
      <c r="A5388" t="s">
        <v>15</v>
      </c>
      <c r="B5388" t="s">
        <v>39</v>
      </c>
      <c r="C5388" s="77" t="s">
        <v>73</v>
      </c>
      <c r="D5388" t="s">
        <v>81</v>
      </c>
      <c r="E5388" s="77" t="s">
        <v>82</v>
      </c>
      <c r="F5388" s="77" t="s">
        <v>73</v>
      </c>
      <c r="G5388" s="77" t="s">
        <v>74</v>
      </c>
      <c r="H5388" s="77" t="s">
        <v>130</v>
      </c>
      <c r="I5388" s="77" t="s">
        <v>84</v>
      </c>
      <c r="J5388" s="76">
        <f>'SUT_EU27 total'!$Q$28</f>
        <v>7.0611384178638645E-2</v>
      </c>
    </row>
    <row r="5389" spans="1:10" x14ac:dyDescent="0.35">
      <c r="A5389" t="s">
        <v>15</v>
      </c>
      <c r="B5389" t="s">
        <v>39</v>
      </c>
      <c r="C5389" s="77" t="s">
        <v>88</v>
      </c>
      <c r="D5389" t="s">
        <v>81</v>
      </c>
      <c r="E5389" s="77" t="s">
        <v>82</v>
      </c>
      <c r="F5389" s="77" t="s">
        <v>73</v>
      </c>
      <c r="G5389" s="77" t="s">
        <v>74</v>
      </c>
      <c r="H5389" s="77" t="s">
        <v>130</v>
      </c>
      <c r="I5389" s="77" t="s">
        <v>84</v>
      </c>
      <c r="J5389" s="76">
        <f>'SUT_EU27 total'!$Q$45</f>
        <v>4.4451090694311274E-2</v>
      </c>
    </row>
    <row r="5390" spans="1:10" x14ac:dyDescent="0.35">
      <c r="A5390" t="s">
        <v>15</v>
      </c>
      <c r="B5390" t="s">
        <v>39</v>
      </c>
      <c r="C5390" s="77" t="s">
        <v>90</v>
      </c>
      <c r="D5390" t="s">
        <v>81</v>
      </c>
      <c r="E5390" s="77" t="s">
        <v>82</v>
      </c>
      <c r="F5390" s="77" t="s">
        <v>73</v>
      </c>
      <c r="G5390" s="77" t="s">
        <v>74</v>
      </c>
      <c r="H5390" s="77" t="s">
        <v>130</v>
      </c>
      <c r="I5390" s="77" t="s">
        <v>84</v>
      </c>
      <c r="J5390" s="76">
        <f>'SUT_EU27 total'!$Q$62</f>
        <v>1.0694147292515508E-5</v>
      </c>
    </row>
    <row r="5391" spans="1:10" x14ac:dyDescent="0.35">
      <c r="A5391" t="s">
        <v>15</v>
      </c>
      <c r="B5391" t="s">
        <v>39</v>
      </c>
      <c r="C5391" s="77" t="s">
        <v>91</v>
      </c>
      <c r="D5391" t="s">
        <v>81</v>
      </c>
      <c r="E5391" s="77" t="s">
        <v>82</v>
      </c>
      <c r="F5391" s="77" t="s">
        <v>73</v>
      </c>
      <c r="G5391" s="77" t="s">
        <v>74</v>
      </c>
      <c r="H5391" s="77" t="s">
        <v>130</v>
      </c>
      <c r="I5391" s="77" t="s">
        <v>84</v>
      </c>
      <c r="J5391" s="76">
        <f>'SUT_EU27 total'!$Q$79</f>
        <v>2.0807907452574416E-3</v>
      </c>
    </row>
    <row r="5392" spans="1:10" x14ac:dyDescent="0.35">
      <c r="A5392" t="s">
        <v>15</v>
      </c>
      <c r="B5392" t="s">
        <v>39</v>
      </c>
      <c r="C5392" s="77" t="s">
        <v>92</v>
      </c>
      <c r="D5392" t="s">
        <v>81</v>
      </c>
      <c r="E5392" s="77" t="s">
        <v>82</v>
      </c>
      <c r="F5392" s="77" t="s">
        <v>73</v>
      </c>
      <c r="G5392" s="77" t="s">
        <v>74</v>
      </c>
      <c r="H5392" s="77" t="s">
        <v>130</v>
      </c>
      <c r="I5392" s="77" t="s">
        <v>84</v>
      </c>
      <c r="J5392" s="76">
        <f>'SUT_EU27 total'!$Q$96</f>
        <v>2.8885571737041122E-3</v>
      </c>
    </row>
    <row r="5393" spans="1:10" x14ac:dyDescent="0.35">
      <c r="A5393" t="s">
        <v>15</v>
      </c>
      <c r="B5393" t="s">
        <v>39</v>
      </c>
      <c r="C5393" s="77" t="s">
        <v>93</v>
      </c>
      <c r="D5393" t="s">
        <v>81</v>
      </c>
      <c r="E5393" s="77" t="s">
        <v>82</v>
      </c>
      <c r="F5393" s="77" t="s">
        <v>73</v>
      </c>
      <c r="G5393" s="77" t="s">
        <v>74</v>
      </c>
      <c r="H5393" s="77" t="s">
        <v>130</v>
      </c>
      <c r="I5393" s="77" t="s">
        <v>84</v>
      </c>
      <c r="J5393" s="76">
        <f>'SUT_EU27 total'!$Q$113</f>
        <v>1.1972685102906883E-2</v>
      </c>
    </row>
    <row r="5394" spans="1:10" x14ac:dyDescent="0.35">
      <c r="A5394" t="s">
        <v>15</v>
      </c>
      <c r="B5394" t="s">
        <v>39</v>
      </c>
      <c r="C5394" s="77" t="s">
        <v>73</v>
      </c>
      <c r="D5394" t="s">
        <v>81</v>
      </c>
      <c r="E5394" s="77" t="s">
        <v>131</v>
      </c>
      <c r="F5394" s="77" t="s">
        <v>73</v>
      </c>
      <c r="G5394" s="77" t="s">
        <v>74</v>
      </c>
      <c r="H5394" s="77" t="s">
        <v>112</v>
      </c>
      <c r="I5394" s="77" t="s">
        <v>84</v>
      </c>
      <c r="J5394" s="76">
        <f>'SUT_EU27 total'!$R$24</f>
        <v>4.0146105919003111E-8</v>
      </c>
    </row>
    <row r="5395" spans="1:10" x14ac:dyDescent="0.35">
      <c r="A5395" t="s">
        <v>15</v>
      </c>
      <c r="B5395" t="s">
        <v>39</v>
      </c>
      <c r="C5395" s="77" t="s">
        <v>73</v>
      </c>
      <c r="D5395" t="s">
        <v>81</v>
      </c>
      <c r="E5395" s="77" t="s">
        <v>122</v>
      </c>
      <c r="F5395" s="77" t="s">
        <v>73</v>
      </c>
      <c r="G5395" s="77" t="s">
        <v>74</v>
      </c>
      <c r="H5395" s="77" t="s">
        <v>112</v>
      </c>
      <c r="I5395" s="77" t="s">
        <v>84</v>
      </c>
      <c r="J5395" s="76">
        <f>'SUT_EU27 total'!$R$30</f>
        <v>3.9708116569218732E-4</v>
      </c>
    </row>
    <row r="5396" spans="1:10" x14ac:dyDescent="0.35">
      <c r="A5396" t="s">
        <v>15</v>
      </c>
      <c r="B5396" t="s">
        <v>39</v>
      </c>
      <c r="C5396" s="77" t="s">
        <v>73</v>
      </c>
      <c r="D5396" t="s">
        <v>81</v>
      </c>
      <c r="E5396" s="77" t="s">
        <v>101</v>
      </c>
      <c r="F5396" s="77" t="s">
        <v>73</v>
      </c>
      <c r="G5396" s="77" t="s">
        <v>74</v>
      </c>
      <c r="H5396" s="77" t="s">
        <v>112</v>
      </c>
      <c r="I5396" s="77" t="s">
        <v>84</v>
      </c>
      <c r="J5396" s="471" cm="1">
        <f t="array" ref="J5396:J5398">Sensitivity!J98:J100</f>
        <v>4.6878208830362335E-7</v>
      </c>
    </row>
    <row r="5397" spans="1:10" x14ac:dyDescent="0.35">
      <c r="A5397" t="s">
        <v>15</v>
      </c>
      <c r="B5397" t="s">
        <v>39</v>
      </c>
      <c r="C5397" s="77" t="s">
        <v>73</v>
      </c>
      <c r="D5397" t="s">
        <v>81</v>
      </c>
      <c r="E5397" s="77" t="s">
        <v>104</v>
      </c>
      <c r="F5397" s="77" t="s">
        <v>73</v>
      </c>
      <c r="G5397" s="77" t="s">
        <v>74</v>
      </c>
      <c r="H5397" s="77" t="s">
        <v>112</v>
      </c>
      <c r="I5397" s="77" t="s">
        <v>84</v>
      </c>
      <c r="J5397" s="471">
        <v>2.6881315678867343E-7</v>
      </c>
    </row>
    <row r="5398" spans="1:10" x14ac:dyDescent="0.35">
      <c r="A5398" t="s">
        <v>15</v>
      </c>
      <c r="B5398" t="s">
        <v>39</v>
      </c>
      <c r="C5398" s="77" t="s">
        <v>73</v>
      </c>
      <c r="D5398" t="s">
        <v>81</v>
      </c>
      <c r="E5398" s="77" t="s">
        <v>106</v>
      </c>
      <c r="F5398" s="77" t="s">
        <v>73</v>
      </c>
      <c r="G5398" s="77" t="s">
        <v>74</v>
      </c>
      <c r="H5398" s="77" t="s">
        <v>112</v>
      </c>
      <c r="I5398" s="77" t="s">
        <v>84</v>
      </c>
      <c r="J5398" s="471">
        <v>3.99557996266552E-7</v>
      </c>
    </row>
    <row r="5399" spans="1:10" x14ac:dyDescent="0.35">
      <c r="A5399" t="s">
        <v>15</v>
      </c>
      <c r="B5399" t="s">
        <v>39</v>
      </c>
      <c r="C5399" s="77" t="s">
        <v>88</v>
      </c>
      <c r="D5399" t="s">
        <v>81</v>
      </c>
      <c r="E5399" s="77" t="s">
        <v>131</v>
      </c>
      <c r="F5399" s="77" t="s">
        <v>73</v>
      </c>
      <c r="G5399" s="77" t="s">
        <v>74</v>
      </c>
      <c r="H5399" s="77" t="s">
        <v>112</v>
      </c>
      <c r="I5399" s="77" t="s">
        <v>84</v>
      </c>
      <c r="J5399" s="76">
        <f>'SUT_EU27 total'!$R$41</f>
        <v>0</v>
      </c>
    </row>
    <row r="5400" spans="1:10" x14ac:dyDescent="0.35">
      <c r="A5400" t="s">
        <v>15</v>
      </c>
      <c r="B5400" t="s">
        <v>39</v>
      </c>
      <c r="C5400" s="77" t="s">
        <v>88</v>
      </c>
      <c r="D5400" t="s">
        <v>81</v>
      </c>
      <c r="E5400" s="77" t="s">
        <v>122</v>
      </c>
      <c r="F5400" s="77" t="s">
        <v>73</v>
      </c>
      <c r="G5400" s="77" t="s">
        <v>74</v>
      </c>
      <c r="H5400" s="77" t="s">
        <v>112</v>
      </c>
      <c r="I5400" s="77" t="s">
        <v>84</v>
      </c>
      <c r="J5400" s="76">
        <f>'SUT_EU27 total'!$R$47</f>
        <v>0</v>
      </c>
    </row>
    <row r="5401" spans="1:10" x14ac:dyDescent="0.35">
      <c r="A5401" t="s">
        <v>15</v>
      </c>
      <c r="B5401" t="s">
        <v>39</v>
      </c>
      <c r="C5401" s="77" t="s">
        <v>88</v>
      </c>
      <c r="D5401" t="s">
        <v>81</v>
      </c>
      <c r="E5401" s="77" t="s">
        <v>101</v>
      </c>
      <c r="F5401" s="77" t="s">
        <v>73</v>
      </c>
      <c r="G5401" s="77" t="s">
        <v>74</v>
      </c>
      <c r="H5401" s="77" t="s">
        <v>112</v>
      </c>
      <c r="I5401" s="77" t="s">
        <v>84</v>
      </c>
      <c r="J5401" s="76" cm="1">
        <f t="array" ref="J5401:J5403">'SUT_EU27 total'!$R$49:$R$51</f>
        <v>0</v>
      </c>
    </row>
    <row r="5402" spans="1:10" x14ac:dyDescent="0.35">
      <c r="A5402" t="s">
        <v>15</v>
      </c>
      <c r="B5402" t="s">
        <v>39</v>
      </c>
      <c r="C5402" s="77" t="s">
        <v>88</v>
      </c>
      <c r="D5402" t="s">
        <v>81</v>
      </c>
      <c r="E5402" s="77" t="s">
        <v>104</v>
      </c>
      <c r="F5402" s="77" t="s">
        <v>73</v>
      </c>
      <c r="G5402" s="77" t="s">
        <v>74</v>
      </c>
      <c r="H5402" s="77" t="s">
        <v>112</v>
      </c>
      <c r="I5402" s="77" t="s">
        <v>84</v>
      </c>
      <c r="J5402" s="76">
        <v>0</v>
      </c>
    </row>
    <row r="5403" spans="1:10" x14ac:dyDescent="0.35">
      <c r="A5403" t="s">
        <v>15</v>
      </c>
      <c r="B5403" t="s">
        <v>39</v>
      </c>
      <c r="C5403" s="77" t="s">
        <v>88</v>
      </c>
      <c r="D5403" t="s">
        <v>81</v>
      </c>
      <c r="E5403" s="77" t="s">
        <v>106</v>
      </c>
      <c r="F5403" s="77" t="s">
        <v>73</v>
      </c>
      <c r="G5403" s="77" t="s">
        <v>74</v>
      </c>
      <c r="H5403" s="77" t="s">
        <v>112</v>
      </c>
      <c r="I5403" s="77" t="s">
        <v>84</v>
      </c>
      <c r="J5403" s="76">
        <v>0</v>
      </c>
    </row>
    <row r="5404" spans="1:10" x14ac:dyDescent="0.35">
      <c r="A5404" t="s">
        <v>15</v>
      </c>
      <c r="B5404" t="s">
        <v>39</v>
      </c>
      <c r="C5404" s="77" t="s">
        <v>90</v>
      </c>
      <c r="D5404" t="s">
        <v>81</v>
      </c>
      <c r="E5404" s="77" t="s">
        <v>131</v>
      </c>
      <c r="F5404" s="77" t="s">
        <v>73</v>
      </c>
      <c r="G5404" s="77" t="s">
        <v>74</v>
      </c>
      <c r="H5404" s="77" t="s">
        <v>112</v>
      </c>
      <c r="I5404" s="77" t="s">
        <v>84</v>
      </c>
      <c r="J5404" s="76">
        <f>'SUT_EU27 total'!$R$58</f>
        <v>0</v>
      </c>
    </row>
    <row r="5405" spans="1:10" x14ac:dyDescent="0.35">
      <c r="A5405" t="s">
        <v>15</v>
      </c>
      <c r="B5405" t="s">
        <v>39</v>
      </c>
      <c r="C5405" s="77" t="s">
        <v>90</v>
      </c>
      <c r="D5405" t="s">
        <v>81</v>
      </c>
      <c r="E5405" s="77" t="s">
        <v>122</v>
      </c>
      <c r="F5405" s="77" t="s">
        <v>73</v>
      </c>
      <c r="G5405" s="77" t="s">
        <v>74</v>
      </c>
      <c r="H5405" s="77" t="s">
        <v>112</v>
      </c>
      <c r="I5405" s="77" t="s">
        <v>84</v>
      </c>
      <c r="J5405" s="76">
        <f>'SUT_EU27 total'!$R$64</f>
        <v>6.4108466461028498E-4</v>
      </c>
    </row>
    <row r="5406" spans="1:10" x14ac:dyDescent="0.35">
      <c r="A5406" t="s">
        <v>15</v>
      </c>
      <c r="B5406" t="s">
        <v>39</v>
      </c>
      <c r="C5406" s="77" t="s">
        <v>90</v>
      </c>
      <c r="D5406" t="s">
        <v>81</v>
      </c>
      <c r="E5406" s="77" t="s">
        <v>101</v>
      </c>
      <c r="F5406" s="77" t="s">
        <v>73</v>
      </c>
      <c r="G5406" s="77" t="s">
        <v>74</v>
      </c>
      <c r="H5406" s="77" t="s">
        <v>112</v>
      </c>
      <c r="I5406" s="77" t="s">
        <v>84</v>
      </c>
      <c r="J5406" s="76" cm="1">
        <f t="array" ref="J5406:J5408">'SUT_EU27 total'!$R$66:$R$68</f>
        <v>0</v>
      </c>
    </row>
    <row r="5407" spans="1:10" x14ac:dyDescent="0.35">
      <c r="A5407" t="s">
        <v>15</v>
      </c>
      <c r="B5407" t="s">
        <v>39</v>
      </c>
      <c r="C5407" s="77" t="s">
        <v>90</v>
      </c>
      <c r="D5407" t="s">
        <v>81</v>
      </c>
      <c r="E5407" s="77" t="s">
        <v>104</v>
      </c>
      <c r="F5407" s="77" t="s">
        <v>73</v>
      </c>
      <c r="G5407" s="77" t="s">
        <v>74</v>
      </c>
      <c r="H5407" s="77" t="s">
        <v>112</v>
      </c>
      <c r="I5407" s="77" t="s">
        <v>84</v>
      </c>
      <c r="J5407" s="76">
        <v>0</v>
      </c>
    </row>
    <row r="5408" spans="1:10" x14ac:dyDescent="0.35">
      <c r="A5408" t="s">
        <v>15</v>
      </c>
      <c r="B5408" t="s">
        <v>39</v>
      </c>
      <c r="C5408" s="77" t="s">
        <v>90</v>
      </c>
      <c r="D5408" t="s">
        <v>81</v>
      </c>
      <c r="E5408" s="77" t="s">
        <v>106</v>
      </c>
      <c r="F5408" s="77" t="s">
        <v>73</v>
      </c>
      <c r="G5408" s="77" t="s">
        <v>74</v>
      </c>
      <c r="H5408" s="77" t="s">
        <v>112</v>
      </c>
      <c r="I5408" s="77" t="s">
        <v>84</v>
      </c>
      <c r="J5408" s="76">
        <v>0</v>
      </c>
    </row>
    <row r="5409" spans="1:10" x14ac:dyDescent="0.35">
      <c r="A5409" t="s">
        <v>15</v>
      </c>
      <c r="B5409" t="s">
        <v>39</v>
      </c>
      <c r="C5409" s="77" t="s">
        <v>91</v>
      </c>
      <c r="D5409" t="s">
        <v>81</v>
      </c>
      <c r="E5409" s="77" t="s">
        <v>131</v>
      </c>
      <c r="F5409" s="77" t="s">
        <v>73</v>
      </c>
      <c r="G5409" s="77" t="s">
        <v>74</v>
      </c>
      <c r="H5409" s="77" t="s">
        <v>112</v>
      </c>
      <c r="I5409" s="77" t="s">
        <v>84</v>
      </c>
      <c r="J5409" s="76">
        <f>'SUT_EU27 total'!$R$75</f>
        <v>0</v>
      </c>
    </row>
    <row r="5410" spans="1:10" x14ac:dyDescent="0.35">
      <c r="A5410" t="s">
        <v>15</v>
      </c>
      <c r="B5410" t="s">
        <v>39</v>
      </c>
      <c r="C5410" s="77" t="s">
        <v>91</v>
      </c>
      <c r="D5410" t="s">
        <v>81</v>
      </c>
      <c r="E5410" s="77" t="s">
        <v>122</v>
      </c>
      <c r="F5410" s="77" t="s">
        <v>73</v>
      </c>
      <c r="G5410" s="77" t="s">
        <v>74</v>
      </c>
      <c r="H5410" s="77" t="s">
        <v>112</v>
      </c>
      <c r="I5410" s="77" t="s">
        <v>84</v>
      </c>
      <c r="J5410" s="76">
        <f>'SUT_EU27 total'!$R$81</f>
        <v>0</v>
      </c>
    </row>
    <row r="5411" spans="1:10" x14ac:dyDescent="0.35">
      <c r="A5411" t="s">
        <v>15</v>
      </c>
      <c r="B5411" t="s">
        <v>39</v>
      </c>
      <c r="C5411" s="77" t="s">
        <v>91</v>
      </c>
      <c r="D5411" t="s">
        <v>81</v>
      </c>
      <c r="E5411" s="77" t="s">
        <v>101</v>
      </c>
      <c r="F5411" s="77" t="s">
        <v>73</v>
      </c>
      <c r="G5411" s="77" t="s">
        <v>74</v>
      </c>
      <c r="H5411" s="77" t="s">
        <v>112</v>
      </c>
      <c r="I5411" s="77" t="s">
        <v>84</v>
      </c>
      <c r="J5411" s="76" cm="1">
        <f t="array" ref="J5411:J5413">'SUT_EU27 total'!$R$83:$R$85</f>
        <v>0</v>
      </c>
    </row>
    <row r="5412" spans="1:10" x14ac:dyDescent="0.35">
      <c r="A5412" t="s">
        <v>15</v>
      </c>
      <c r="B5412" t="s">
        <v>39</v>
      </c>
      <c r="C5412" s="77" t="s">
        <v>91</v>
      </c>
      <c r="D5412" t="s">
        <v>81</v>
      </c>
      <c r="E5412" s="77" t="s">
        <v>104</v>
      </c>
      <c r="F5412" s="77" t="s">
        <v>73</v>
      </c>
      <c r="G5412" s="77" t="s">
        <v>74</v>
      </c>
      <c r="H5412" s="77" t="s">
        <v>112</v>
      </c>
      <c r="I5412" s="77" t="s">
        <v>84</v>
      </c>
      <c r="J5412" s="76">
        <v>0</v>
      </c>
    </row>
    <row r="5413" spans="1:10" x14ac:dyDescent="0.35">
      <c r="A5413" t="s">
        <v>15</v>
      </c>
      <c r="B5413" t="s">
        <v>39</v>
      </c>
      <c r="C5413" s="77" t="s">
        <v>91</v>
      </c>
      <c r="D5413" t="s">
        <v>81</v>
      </c>
      <c r="E5413" s="77" t="s">
        <v>106</v>
      </c>
      <c r="F5413" s="77" t="s">
        <v>73</v>
      </c>
      <c r="G5413" s="77" t="s">
        <v>74</v>
      </c>
      <c r="H5413" s="77" t="s">
        <v>112</v>
      </c>
      <c r="I5413" s="77" t="s">
        <v>84</v>
      </c>
      <c r="J5413" s="76">
        <v>0</v>
      </c>
    </row>
    <row r="5414" spans="1:10" x14ac:dyDescent="0.35">
      <c r="A5414" t="s">
        <v>15</v>
      </c>
      <c r="B5414" t="s">
        <v>39</v>
      </c>
      <c r="C5414" s="77" t="s">
        <v>92</v>
      </c>
      <c r="D5414" t="s">
        <v>81</v>
      </c>
      <c r="E5414" s="77" t="s">
        <v>131</v>
      </c>
      <c r="F5414" s="77" t="s">
        <v>73</v>
      </c>
      <c r="G5414" s="77" t="s">
        <v>74</v>
      </c>
      <c r="H5414" s="77" t="s">
        <v>112</v>
      </c>
      <c r="I5414" s="77" t="s">
        <v>84</v>
      </c>
      <c r="J5414" s="76">
        <f>'SUT_EU27 total'!$R$92</f>
        <v>0</v>
      </c>
    </row>
    <row r="5415" spans="1:10" x14ac:dyDescent="0.35">
      <c r="A5415" t="s">
        <v>15</v>
      </c>
      <c r="B5415" t="s">
        <v>39</v>
      </c>
      <c r="C5415" s="77" t="s">
        <v>92</v>
      </c>
      <c r="D5415" t="s">
        <v>81</v>
      </c>
      <c r="E5415" s="77" t="s">
        <v>122</v>
      </c>
      <c r="F5415" s="77" t="s">
        <v>73</v>
      </c>
      <c r="G5415" s="77" t="s">
        <v>74</v>
      </c>
      <c r="H5415" s="77" t="s">
        <v>112</v>
      </c>
      <c r="I5415" s="77" t="s">
        <v>84</v>
      </c>
      <c r="J5415" s="76">
        <f>'SUT_EU27 total'!$R$98</f>
        <v>0</v>
      </c>
    </row>
    <row r="5416" spans="1:10" x14ac:dyDescent="0.35">
      <c r="A5416" t="s">
        <v>15</v>
      </c>
      <c r="B5416" t="s">
        <v>39</v>
      </c>
      <c r="C5416" s="77" t="s">
        <v>92</v>
      </c>
      <c r="D5416" t="s">
        <v>81</v>
      </c>
      <c r="E5416" s="77" t="s">
        <v>101</v>
      </c>
      <c r="F5416" s="77" t="s">
        <v>73</v>
      </c>
      <c r="G5416" s="77" t="s">
        <v>74</v>
      </c>
      <c r="H5416" s="77" t="s">
        <v>112</v>
      </c>
      <c r="I5416" s="77" t="s">
        <v>84</v>
      </c>
      <c r="J5416" s="76" cm="1">
        <f t="array" ref="J5416:J5418">'SUT_EU27 total'!$R$100:$R$102</f>
        <v>0</v>
      </c>
    </row>
    <row r="5417" spans="1:10" x14ac:dyDescent="0.35">
      <c r="A5417" t="s">
        <v>15</v>
      </c>
      <c r="B5417" t="s">
        <v>39</v>
      </c>
      <c r="C5417" s="77" t="s">
        <v>92</v>
      </c>
      <c r="D5417" t="s">
        <v>81</v>
      </c>
      <c r="E5417" s="77" t="s">
        <v>104</v>
      </c>
      <c r="F5417" s="77" t="s">
        <v>73</v>
      </c>
      <c r="G5417" s="77" t="s">
        <v>74</v>
      </c>
      <c r="H5417" s="77" t="s">
        <v>112</v>
      </c>
      <c r="I5417" s="77" t="s">
        <v>84</v>
      </c>
      <c r="J5417" s="76">
        <v>0</v>
      </c>
    </row>
    <row r="5418" spans="1:10" x14ac:dyDescent="0.35">
      <c r="A5418" t="s">
        <v>15</v>
      </c>
      <c r="B5418" t="s">
        <v>39</v>
      </c>
      <c r="C5418" s="77" t="s">
        <v>92</v>
      </c>
      <c r="D5418" t="s">
        <v>81</v>
      </c>
      <c r="E5418" s="77" t="s">
        <v>106</v>
      </c>
      <c r="F5418" s="77" t="s">
        <v>73</v>
      </c>
      <c r="G5418" s="77" t="s">
        <v>74</v>
      </c>
      <c r="H5418" s="77" t="s">
        <v>112</v>
      </c>
      <c r="I5418" s="77" t="s">
        <v>84</v>
      </c>
      <c r="J5418" s="76">
        <v>0</v>
      </c>
    </row>
    <row r="5419" spans="1:10" x14ac:dyDescent="0.35">
      <c r="A5419" t="s">
        <v>15</v>
      </c>
      <c r="B5419" t="s">
        <v>39</v>
      </c>
      <c r="C5419" s="77" t="s">
        <v>93</v>
      </c>
      <c r="D5419" t="s">
        <v>81</v>
      </c>
      <c r="E5419" s="77" t="s">
        <v>131</v>
      </c>
      <c r="F5419" s="77" t="s">
        <v>73</v>
      </c>
      <c r="G5419" s="77" t="s">
        <v>74</v>
      </c>
      <c r="H5419" s="77" t="s">
        <v>112</v>
      </c>
      <c r="I5419" s="77" t="s">
        <v>84</v>
      </c>
      <c r="J5419" s="76">
        <f>'SUT_EU27 total'!$R$109</f>
        <v>0</v>
      </c>
    </row>
    <row r="5420" spans="1:10" x14ac:dyDescent="0.35">
      <c r="A5420" t="s">
        <v>15</v>
      </c>
      <c r="B5420" t="s">
        <v>39</v>
      </c>
      <c r="C5420" s="77" t="s">
        <v>93</v>
      </c>
      <c r="D5420" t="s">
        <v>81</v>
      </c>
      <c r="E5420" s="77" t="s">
        <v>122</v>
      </c>
      <c r="F5420" s="77" t="s">
        <v>73</v>
      </c>
      <c r="G5420" s="77" t="s">
        <v>74</v>
      </c>
      <c r="H5420" s="77" t="s">
        <v>112</v>
      </c>
      <c r="I5420" s="77" t="s">
        <v>84</v>
      </c>
      <c r="J5420" s="76">
        <f>'SUT_EU27 total'!$R$115</f>
        <v>2.188358424259166E-3</v>
      </c>
    </row>
    <row r="5421" spans="1:10" x14ac:dyDescent="0.35">
      <c r="A5421" t="s">
        <v>15</v>
      </c>
      <c r="B5421" t="s">
        <v>39</v>
      </c>
      <c r="C5421" s="77" t="s">
        <v>93</v>
      </c>
      <c r="D5421" t="s">
        <v>81</v>
      </c>
      <c r="E5421" s="77" t="s">
        <v>101</v>
      </c>
      <c r="F5421" s="77" t="s">
        <v>73</v>
      </c>
      <c r="G5421" s="77" t="s">
        <v>74</v>
      </c>
      <c r="H5421" s="77" t="s">
        <v>112</v>
      </c>
      <c r="I5421" s="77" t="s">
        <v>84</v>
      </c>
      <c r="J5421" s="76" cm="1">
        <f t="array" ref="J5421:J5423">'SUT_EU27 total'!$R$117:$R$119</f>
        <v>0</v>
      </c>
    </row>
    <row r="5422" spans="1:10" x14ac:dyDescent="0.35">
      <c r="A5422" t="s">
        <v>15</v>
      </c>
      <c r="B5422" t="s">
        <v>39</v>
      </c>
      <c r="C5422" s="77" t="s">
        <v>93</v>
      </c>
      <c r="D5422" t="s">
        <v>81</v>
      </c>
      <c r="E5422" s="77" t="s">
        <v>104</v>
      </c>
      <c r="F5422" s="77" t="s">
        <v>73</v>
      </c>
      <c r="G5422" s="77" t="s">
        <v>74</v>
      </c>
      <c r="H5422" s="77" t="s">
        <v>112</v>
      </c>
      <c r="I5422" s="77" t="s">
        <v>84</v>
      </c>
      <c r="J5422" s="76">
        <v>0</v>
      </c>
    </row>
    <row r="5423" spans="1:10" x14ac:dyDescent="0.35">
      <c r="A5423" t="s">
        <v>15</v>
      </c>
      <c r="B5423" t="s">
        <v>39</v>
      </c>
      <c r="C5423" s="77" t="s">
        <v>93</v>
      </c>
      <c r="D5423" t="s">
        <v>81</v>
      </c>
      <c r="E5423" s="77" t="s">
        <v>106</v>
      </c>
      <c r="F5423" s="77" t="s">
        <v>73</v>
      </c>
      <c r="G5423" s="77" t="s">
        <v>74</v>
      </c>
      <c r="H5423" s="77" t="s">
        <v>112</v>
      </c>
      <c r="I5423" s="77" t="s">
        <v>84</v>
      </c>
      <c r="J5423" s="76">
        <v>0</v>
      </c>
    </row>
    <row r="5424" spans="1:10" x14ac:dyDescent="0.35">
      <c r="A5424" t="s">
        <v>15</v>
      </c>
      <c r="B5424" t="s">
        <v>39</v>
      </c>
      <c r="C5424" s="77" t="s">
        <v>73</v>
      </c>
      <c r="D5424" t="s">
        <v>81</v>
      </c>
      <c r="E5424" s="77" t="s">
        <v>131</v>
      </c>
      <c r="F5424" s="77" t="s">
        <v>73</v>
      </c>
      <c r="G5424" s="77" t="s">
        <v>74</v>
      </c>
      <c r="H5424" s="77" t="s">
        <v>113</v>
      </c>
      <c r="I5424" s="77" t="s">
        <v>84</v>
      </c>
      <c r="J5424" s="76">
        <f>'SUT_EU27 total'!$S$24</f>
        <v>5.0294789999999994E-8</v>
      </c>
    </row>
    <row r="5425" spans="1:10" x14ac:dyDescent="0.35">
      <c r="A5425" t="s">
        <v>15</v>
      </c>
      <c r="B5425" t="s">
        <v>39</v>
      </c>
      <c r="C5425" s="77" t="s">
        <v>73</v>
      </c>
      <c r="D5425" t="s">
        <v>81</v>
      </c>
      <c r="E5425" s="77" t="s">
        <v>101</v>
      </c>
      <c r="F5425" s="77" t="s">
        <v>73</v>
      </c>
      <c r="G5425" s="77" t="s">
        <v>74</v>
      </c>
      <c r="H5425" s="77" t="s">
        <v>113</v>
      </c>
      <c r="I5425" s="77" t="s">
        <v>84</v>
      </c>
      <c r="J5425" s="471" cm="1">
        <f t="array" ref="J5425:J5427">Sensitivity!J101:J103</f>
        <v>6.8810429691480707E-5</v>
      </c>
    </row>
    <row r="5426" spans="1:10" x14ac:dyDescent="0.35">
      <c r="A5426" t="s">
        <v>15</v>
      </c>
      <c r="B5426" t="s">
        <v>39</v>
      </c>
      <c r="C5426" s="77" t="s">
        <v>73</v>
      </c>
      <c r="D5426" t="s">
        <v>81</v>
      </c>
      <c r="E5426" s="77" t="s">
        <v>104</v>
      </c>
      <c r="F5426" s="77" t="s">
        <v>73</v>
      </c>
      <c r="G5426" s="77" t="s">
        <v>74</v>
      </c>
      <c r="H5426" s="77" t="s">
        <v>113</v>
      </c>
      <c r="I5426" s="77" t="s">
        <v>84</v>
      </c>
      <c r="J5426" s="471">
        <v>3.9457883069482079E-5</v>
      </c>
    </row>
    <row r="5427" spans="1:10" x14ac:dyDescent="0.35">
      <c r="A5427" t="s">
        <v>15</v>
      </c>
      <c r="B5427" t="s">
        <v>39</v>
      </c>
      <c r="C5427" s="77" t="s">
        <v>73</v>
      </c>
      <c r="D5427" t="s">
        <v>81</v>
      </c>
      <c r="E5427" s="77" t="s">
        <v>106</v>
      </c>
      <c r="F5427" s="77" t="s">
        <v>73</v>
      </c>
      <c r="G5427" s="77" t="s">
        <v>74</v>
      </c>
      <c r="H5427" s="77" t="s">
        <v>113</v>
      </c>
      <c r="I5427" s="77" t="s">
        <v>84</v>
      </c>
      <c r="J5427" s="471">
        <v>5.8649334297860749E-5</v>
      </c>
    </row>
    <row r="5428" spans="1:10" x14ac:dyDescent="0.35">
      <c r="A5428" t="s">
        <v>15</v>
      </c>
      <c r="B5428" t="s">
        <v>39</v>
      </c>
      <c r="C5428" s="77" t="s">
        <v>88</v>
      </c>
      <c r="D5428" t="s">
        <v>81</v>
      </c>
      <c r="E5428" s="77" t="s">
        <v>131</v>
      </c>
      <c r="F5428" s="77" t="s">
        <v>73</v>
      </c>
      <c r="G5428" s="77" t="s">
        <v>74</v>
      </c>
      <c r="H5428" s="77" t="s">
        <v>113</v>
      </c>
      <c r="I5428" s="77" t="s">
        <v>84</v>
      </c>
      <c r="J5428" s="76">
        <f>'SUT_EU27 total'!$S$41</f>
        <v>0</v>
      </c>
    </row>
    <row r="5429" spans="1:10" x14ac:dyDescent="0.35">
      <c r="A5429" t="s">
        <v>15</v>
      </c>
      <c r="B5429" t="s">
        <v>39</v>
      </c>
      <c r="C5429" s="77" t="s">
        <v>88</v>
      </c>
      <c r="D5429" t="s">
        <v>81</v>
      </c>
      <c r="E5429" s="77" t="s">
        <v>101</v>
      </c>
      <c r="F5429" s="77" t="s">
        <v>73</v>
      </c>
      <c r="G5429" s="77" t="s">
        <v>74</v>
      </c>
      <c r="H5429" s="77" t="s">
        <v>113</v>
      </c>
      <c r="I5429" s="77" t="s">
        <v>84</v>
      </c>
      <c r="J5429" s="76" cm="1">
        <f t="array" ref="J5429:J5431">'SUT_EU27 total'!$S$49:$S$51</f>
        <v>0</v>
      </c>
    </row>
    <row r="5430" spans="1:10" x14ac:dyDescent="0.35">
      <c r="A5430" t="s">
        <v>15</v>
      </c>
      <c r="B5430" t="s">
        <v>39</v>
      </c>
      <c r="C5430" s="77" t="s">
        <v>88</v>
      </c>
      <c r="D5430" t="s">
        <v>81</v>
      </c>
      <c r="E5430" s="77" t="s">
        <v>104</v>
      </c>
      <c r="F5430" s="77" t="s">
        <v>73</v>
      </c>
      <c r="G5430" s="77" t="s">
        <v>74</v>
      </c>
      <c r="H5430" s="77" t="s">
        <v>113</v>
      </c>
      <c r="I5430" s="77" t="s">
        <v>84</v>
      </c>
      <c r="J5430" s="76">
        <v>0</v>
      </c>
    </row>
    <row r="5431" spans="1:10" x14ac:dyDescent="0.35">
      <c r="A5431" t="s">
        <v>15</v>
      </c>
      <c r="B5431" t="s">
        <v>39</v>
      </c>
      <c r="C5431" s="77" t="s">
        <v>88</v>
      </c>
      <c r="D5431" t="s">
        <v>81</v>
      </c>
      <c r="E5431" s="77" t="s">
        <v>106</v>
      </c>
      <c r="F5431" s="77" t="s">
        <v>73</v>
      </c>
      <c r="G5431" s="77" t="s">
        <v>74</v>
      </c>
      <c r="H5431" s="77" t="s">
        <v>113</v>
      </c>
      <c r="I5431" s="77" t="s">
        <v>84</v>
      </c>
      <c r="J5431" s="76">
        <v>0</v>
      </c>
    </row>
    <row r="5432" spans="1:10" x14ac:dyDescent="0.35">
      <c r="A5432" t="s">
        <v>15</v>
      </c>
      <c r="B5432" t="s">
        <v>39</v>
      </c>
      <c r="C5432" s="77" t="s">
        <v>90</v>
      </c>
      <c r="D5432" t="s">
        <v>81</v>
      </c>
      <c r="E5432" s="77" t="s">
        <v>131</v>
      </c>
      <c r="F5432" s="77" t="s">
        <v>73</v>
      </c>
      <c r="G5432" s="77" t="s">
        <v>74</v>
      </c>
      <c r="H5432" s="77" t="s">
        <v>113</v>
      </c>
      <c r="I5432" s="77" t="s">
        <v>84</v>
      </c>
      <c r="J5432" s="76">
        <f>'SUT_EU27 total'!$S$58</f>
        <v>0</v>
      </c>
    </row>
    <row r="5433" spans="1:10" x14ac:dyDescent="0.35">
      <c r="A5433" t="s">
        <v>15</v>
      </c>
      <c r="B5433" t="s">
        <v>39</v>
      </c>
      <c r="C5433" s="77" t="s">
        <v>90</v>
      </c>
      <c r="D5433" t="s">
        <v>81</v>
      </c>
      <c r="E5433" s="77" t="s">
        <v>101</v>
      </c>
      <c r="F5433" s="77" t="s">
        <v>73</v>
      </c>
      <c r="G5433" s="77" t="s">
        <v>74</v>
      </c>
      <c r="H5433" s="77" t="s">
        <v>113</v>
      </c>
      <c r="I5433" s="77" t="s">
        <v>84</v>
      </c>
      <c r="J5433" s="76" cm="1">
        <f t="array" ref="J5433:J5435">'SUT_EU27 total'!$S$66:$S$68</f>
        <v>0</v>
      </c>
    </row>
    <row r="5434" spans="1:10" x14ac:dyDescent="0.35">
      <c r="A5434" t="s">
        <v>15</v>
      </c>
      <c r="B5434" t="s">
        <v>39</v>
      </c>
      <c r="C5434" s="77" t="s">
        <v>90</v>
      </c>
      <c r="D5434" t="s">
        <v>81</v>
      </c>
      <c r="E5434" s="77" t="s">
        <v>104</v>
      </c>
      <c r="F5434" s="77" t="s">
        <v>73</v>
      </c>
      <c r="G5434" s="77" t="s">
        <v>74</v>
      </c>
      <c r="H5434" s="77" t="s">
        <v>113</v>
      </c>
      <c r="I5434" s="77" t="s">
        <v>84</v>
      </c>
      <c r="J5434" s="76">
        <v>0</v>
      </c>
    </row>
    <row r="5435" spans="1:10" x14ac:dyDescent="0.35">
      <c r="A5435" t="s">
        <v>15</v>
      </c>
      <c r="B5435" t="s">
        <v>39</v>
      </c>
      <c r="C5435" s="77" t="s">
        <v>90</v>
      </c>
      <c r="D5435" t="s">
        <v>81</v>
      </c>
      <c r="E5435" s="77" t="s">
        <v>106</v>
      </c>
      <c r="F5435" s="77" t="s">
        <v>73</v>
      </c>
      <c r="G5435" s="77" t="s">
        <v>74</v>
      </c>
      <c r="H5435" s="77" t="s">
        <v>113</v>
      </c>
      <c r="I5435" s="77" t="s">
        <v>84</v>
      </c>
      <c r="J5435" s="76">
        <v>0</v>
      </c>
    </row>
    <row r="5436" spans="1:10" x14ac:dyDescent="0.35">
      <c r="A5436" t="s">
        <v>15</v>
      </c>
      <c r="B5436" t="s">
        <v>39</v>
      </c>
      <c r="C5436" s="77" t="s">
        <v>91</v>
      </c>
      <c r="D5436" t="s">
        <v>81</v>
      </c>
      <c r="E5436" s="77" t="s">
        <v>131</v>
      </c>
      <c r="F5436" s="77" t="s">
        <v>73</v>
      </c>
      <c r="G5436" s="77" t="s">
        <v>74</v>
      </c>
      <c r="H5436" s="77" t="s">
        <v>113</v>
      </c>
      <c r="I5436" s="77" t="s">
        <v>84</v>
      </c>
      <c r="J5436" s="76">
        <f>'SUT_EU27 total'!$S$75</f>
        <v>0</v>
      </c>
    </row>
    <row r="5437" spans="1:10" x14ac:dyDescent="0.35">
      <c r="A5437" t="s">
        <v>15</v>
      </c>
      <c r="B5437" t="s">
        <v>39</v>
      </c>
      <c r="C5437" s="77" t="s">
        <v>91</v>
      </c>
      <c r="D5437" t="s">
        <v>81</v>
      </c>
      <c r="E5437" s="77" t="s">
        <v>101</v>
      </c>
      <c r="F5437" s="77" t="s">
        <v>73</v>
      </c>
      <c r="G5437" s="77" t="s">
        <v>74</v>
      </c>
      <c r="H5437" s="77" t="s">
        <v>113</v>
      </c>
      <c r="I5437" s="77" t="s">
        <v>84</v>
      </c>
      <c r="J5437" s="76" cm="1">
        <f t="array" ref="J5437:J5439">'SUT_EU27 total'!$S$83:$S$85</f>
        <v>0</v>
      </c>
    </row>
    <row r="5438" spans="1:10" x14ac:dyDescent="0.35">
      <c r="A5438" t="s">
        <v>15</v>
      </c>
      <c r="B5438" t="s">
        <v>39</v>
      </c>
      <c r="C5438" s="77" t="s">
        <v>91</v>
      </c>
      <c r="D5438" t="s">
        <v>81</v>
      </c>
      <c r="E5438" s="77" t="s">
        <v>104</v>
      </c>
      <c r="F5438" s="77" t="s">
        <v>73</v>
      </c>
      <c r="G5438" s="77" t="s">
        <v>74</v>
      </c>
      <c r="H5438" s="77" t="s">
        <v>113</v>
      </c>
      <c r="I5438" s="77" t="s">
        <v>84</v>
      </c>
      <c r="J5438" s="76">
        <v>0</v>
      </c>
    </row>
    <row r="5439" spans="1:10" x14ac:dyDescent="0.35">
      <c r="A5439" t="s">
        <v>15</v>
      </c>
      <c r="B5439" t="s">
        <v>39</v>
      </c>
      <c r="C5439" s="77" t="s">
        <v>91</v>
      </c>
      <c r="D5439" t="s">
        <v>81</v>
      </c>
      <c r="E5439" s="77" t="s">
        <v>106</v>
      </c>
      <c r="F5439" s="77" t="s">
        <v>73</v>
      </c>
      <c r="G5439" s="77" t="s">
        <v>74</v>
      </c>
      <c r="H5439" s="77" t="s">
        <v>113</v>
      </c>
      <c r="I5439" s="77" t="s">
        <v>84</v>
      </c>
      <c r="J5439" s="76">
        <v>0</v>
      </c>
    </row>
    <row r="5440" spans="1:10" x14ac:dyDescent="0.35">
      <c r="A5440" t="s">
        <v>15</v>
      </c>
      <c r="B5440" t="s">
        <v>39</v>
      </c>
      <c r="C5440" s="77" t="s">
        <v>92</v>
      </c>
      <c r="D5440" t="s">
        <v>81</v>
      </c>
      <c r="E5440" s="77" t="s">
        <v>131</v>
      </c>
      <c r="F5440" s="77" t="s">
        <v>73</v>
      </c>
      <c r="G5440" s="77" t="s">
        <v>74</v>
      </c>
      <c r="H5440" s="77" t="s">
        <v>113</v>
      </c>
      <c r="I5440" s="77" t="s">
        <v>84</v>
      </c>
      <c r="J5440" s="76">
        <f>'SUT_EU27 total'!$S$92</f>
        <v>0</v>
      </c>
    </row>
    <row r="5441" spans="1:10" x14ac:dyDescent="0.35">
      <c r="A5441" t="s">
        <v>15</v>
      </c>
      <c r="B5441" t="s">
        <v>39</v>
      </c>
      <c r="C5441" s="77" t="s">
        <v>92</v>
      </c>
      <c r="D5441" t="s">
        <v>81</v>
      </c>
      <c r="E5441" s="77" t="s">
        <v>101</v>
      </c>
      <c r="F5441" s="77" t="s">
        <v>73</v>
      </c>
      <c r="G5441" s="77" t="s">
        <v>74</v>
      </c>
      <c r="H5441" s="77" t="s">
        <v>113</v>
      </c>
      <c r="I5441" s="77" t="s">
        <v>84</v>
      </c>
      <c r="J5441" s="76" cm="1">
        <f t="array" ref="J5441:J5443">'SUT_EU27 total'!$S$100:$S$102</f>
        <v>0</v>
      </c>
    </row>
    <row r="5442" spans="1:10" x14ac:dyDescent="0.35">
      <c r="A5442" t="s">
        <v>15</v>
      </c>
      <c r="B5442" t="s">
        <v>39</v>
      </c>
      <c r="C5442" s="77" t="s">
        <v>92</v>
      </c>
      <c r="D5442" t="s">
        <v>81</v>
      </c>
      <c r="E5442" s="77" t="s">
        <v>104</v>
      </c>
      <c r="F5442" s="77" t="s">
        <v>73</v>
      </c>
      <c r="G5442" s="77" t="s">
        <v>74</v>
      </c>
      <c r="H5442" s="77" t="s">
        <v>113</v>
      </c>
      <c r="I5442" s="77" t="s">
        <v>84</v>
      </c>
      <c r="J5442" s="76">
        <v>0</v>
      </c>
    </row>
    <row r="5443" spans="1:10" x14ac:dyDescent="0.35">
      <c r="A5443" t="s">
        <v>15</v>
      </c>
      <c r="B5443" t="s">
        <v>39</v>
      </c>
      <c r="C5443" s="77" t="s">
        <v>92</v>
      </c>
      <c r="D5443" t="s">
        <v>81</v>
      </c>
      <c r="E5443" s="77" t="s">
        <v>106</v>
      </c>
      <c r="F5443" s="77" t="s">
        <v>73</v>
      </c>
      <c r="G5443" s="77" t="s">
        <v>74</v>
      </c>
      <c r="H5443" s="77" t="s">
        <v>113</v>
      </c>
      <c r="I5443" s="77" t="s">
        <v>84</v>
      </c>
      <c r="J5443" s="76">
        <v>0</v>
      </c>
    </row>
    <row r="5444" spans="1:10" x14ac:dyDescent="0.35">
      <c r="A5444" t="s">
        <v>15</v>
      </c>
      <c r="B5444" t="s">
        <v>39</v>
      </c>
      <c r="C5444" s="77" t="s">
        <v>93</v>
      </c>
      <c r="D5444" t="s">
        <v>81</v>
      </c>
      <c r="E5444" s="77" t="s">
        <v>131</v>
      </c>
      <c r="F5444" s="77" t="s">
        <v>73</v>
      </c>
      <c r="G5444" s="77" t="s">
        <v>74</v>
      </c>
      <c r="H5444" s="77" t="s">
        <v>113</v>
      </c>
      <c r="I5444" s="77" t="s">
        <v>84</v>
      </c>
      <c r="J5444" s="76">
        <f>'SUT_EU27 total'!$S$109</f>
        <v>0</v>
      </c>
    </row>
    <row r="5445" spans="1:10" x14ac:dyDescent="0.35">
      <c r="A5445" t="s">
        <v>15</v>
      </c>
      <c r="B5445" t="s">
        <v>39</v>
      </c>
      <c r="C5445" s="77" t="s">
        <v>93</v>
      </c>
      <c r="D5445" t="s">
        <v>81</v>
      </c>
      <c r="E5445" s="77" t="s">
        <v>101</v>
      </c>
      <c r="F5445" s="77" t="s">
        <v>73</v>
      </c>
      <c r="G5445" s="77" t="s">
        <v>74</v>
      </c>
      <c r="H5445" s="77" t="s">
        <v>113</v>
      </c>
      <c r="I5445" s="77" t="s">
        <v>84</v>
      </c>
      <c r="J5445" s="76" cm="1">
        <f t="array" ref="J5445:J5447">'SUT_EU27 total'!$S$117:$S$119</f>
        <v>0</v>
      </c>
    </row>
    <row r="5446" spans="1:10" x14ac:dyDescent="0.35">
      <c r="A5446" t="s">
        <v>15</v>
      </c>
      <c r="B5446" t="s">
        <v>39</v>
      </c>
      <c r="C5446" s="77" t="s">
        <v>93</v>
      </c>
      <c r="D5446" t="s">
        <v>81</v>
      </c>
      <c r="E5446" s="77" t="s">
        <v>104</v>
      </c>
      <c r="F5446" s="77" t="s">
        <v>73</v>
      </c>
      <c r="G5446" s="77" t="s">
        <v>74</v>
      </c>
      <c r="H5446" s="77" t="s">
        <v>113</v>
      </c>
      <c r="I5446" s="77" t="s">
        <v>84</v>
      </c>
      <c r="J5446" s="76">
        <v>0</v>
      </c>
    </row>
    <row r="5447" spans="1:10" x14ac:dyDescent="0.35">
      <c r="A5447" t="s">
        <v>15</v>
      </c>
      <c r="B5447" t="s">
        <v>39</v>
      </c>
      <c r="C5447" s="77" t="s">
        <v>93</v>
      </c>
      <c r="D5447" t="s">
        <v>81</v>
      </c>
      <c r="E5447" s="77" t="s">
        <v>106</v>
      </c>
      <c r="F5447" s="77" t="s">
        <v>73</v>
      </c>
      <c r="G5447" s="77" t="s">
        <v>74</v>
      </c>
      <c r="H5447" s="77" t="s">
        <v>113</v>
      </c>
      <c r="I5447" s="77" t="s">
        <v>84</v>
      </c>
      <c r="J5447" s="76">
        <v>0</v>
      </c>
    </row>
    <row r="5448" spans="1:10" x14ac:dyDescent="0.35">
      <c r="A5448" t="s">
        <v>15</v>
      </c>
      <c r="B5448" t="s">
        <v>39</v>
      </c>
      <c r="C5448" s="77" t="s">
        <v>73</v>
      </c>
      <c r="D5448" t="s">
        <v>74</v>
      </c>
      <c r="E5448" s="77" t="s">
        <v>123</v>
      </c>
      <c r="F5448" s="77" t="s">
        <v>73</v>
      </c>
      <c r="G5448" s="77" t="s">
        <v>81</v>
      </c>
      <c r="H5448" s="77" t="s">
        <v>115</v>
      </c>
      <c r="I5448" s="77" t="s">
        <v>84</v>
      </c>
      <c r="J5448" s="76" cm="1">
        <f t="array" ref="J5448:J5454">TRANSPOSE('2030 pathways'!$C$10:$I$10)</f>
        <v>0.1003</v>
      </c>
    </row>
    <row r="5449" spans="1:10" x14ac:dyDescent="0.35">
      <c r="A5449" t="s">
        <v>15</v>
      </c>
      <c r="B5449" t="s">
        <v>39</v>
      </c>
      <c r="C5449" s="77" t="s">
        <v>73</v>
      </c>
      <c r="D5449" t="s">
        <v>74</v>
      </c>
      <c r="E5449" s="77" t="s">
        <v>127</v>
      </c>
      <c r="F5449" s="77" t="s">
        <v>73</v>
      </c>
      <c r="G5449" s="77" t="s">
        <v>81</v>
      </c>
      <c r="H5449" s="77" t="s">
        <v>115</v>
      </c>
      <c r="I5449" s="77" t="s">
        <v>84</v>
      </c>
      <c r="J5449" s="76">
        <v>2.9499999999999998E-2</v>
      </c>
    </row>
    <row r="5450" spans="1:10" x14ac:dyDescent="0.35">
      <c r="A5450" t="s">
        <v>15</v>
      </c>
      <c r="B5450" t="s">
        <v>39</v>
      </c>
      <c r="C5450" s="77" t="s">
        <v>73</v>
      </c>
      <c r="D5450" t="s">
        <v>74</v>
      </c>
      <c r="E5450" s="77" t="s">
        <v>128</v>
      </c>
      <c r="F5450" s="77" t="s">
        <v>73</v>
      </c>
      <c r="G5450" s="77" t="s">
        <v>81</v>
      </c>
      <c r="H5450" s="77" t="s">
        <v>115</v>
      </c>
      <c r="I5450" s="77" t="s">
        <v>84</v>
      </c>
      <c r="J5450" s="76">
        <v>8.8499999999999995E-2</v>
      </c>
    </row>
    <row r="5451" spans="1:10" x14ac:dyDescent="0.35">
      <c r="A5451" t="s">
        <v>15</v>
      </c>
      <c r="B5451" t="s">
        <v>39</v>
      </c>
      <c r="C5451" s="77" t="s">
        <v>73</v>
      </c>
      <c r="D5451" t="s">
        <v>74</v>
      </c>
      <c r="E5451" s="77" t="s">
        <v>129</v>
      </c>
      <c r="F5451" s="77" t="s">
        <v>73</v>
      </c>
      <c r="G5451" s="77" t="s">
        <v>81</v>
      </c>
      <c r="H5451" s="77" t="s">
        <v>115</v>
      </c>
      <c r="I5451" s="77" t="s">
        <v>84</v>
      </c>
      <c r="J5451" s="76">
        <v>5.8999999999999999E-3</v>
      </c>
    </row>
    <row r="5452" spans="1:10" x14ac:dyDescent="0.35">
      <c r="A5452" t="s">
        <v>15</v>
      </c>
      <c r="B5452" t="s">
        <v>39</v>
      </c>
      <c r="C5452" s="77" t="s">
        <v>73</v>
      </c>
      <c r="D5452" t="s">
        <v>74</v>
      </c>
      <c r="E5452" s="77" t="s">
        <v>77</v>
      </c>
      <c r="F5452" s="77" t="s">
        <v>73</v>
      </c>
      <c r="G5452" s="77" t="s">
        <v>81</v>
      </c>
      <c r="H5452" s="77" t="s">
        <v>115</v>
      </c>
      <c r="I5452" s="77" t="s">
        <v>84</v>
      </c>
      <c r="J5452" s="76">
        <v>5.8999999999999999E-3</v>
      </c>
    </row>
    <row r="5453" spans="1:10" x14ac:dyDescent="0.35">
      <c r="A5453" t="s">
        <v>15</v>
      </c>
      <c r="B5453" t="s">
        <v>39</v>
      </c>
      <c r="C5453" s="77" t="s">
        <v>73</v>
      </c>
      <c r="D5453" t="s">
        <v>74</v>
      </c>
      <c r="E5453" s="77" t="s">
        <v>130</v>
      </c>
      <c r="F5453" s="77" t="s">
        <v>73</v>
      </c>
      <c r="G5453" s="77" t="s">
        <v>81</v>
      </c>
      <c r="H5453" s="77" t="s">
        <v>115</v>
      </c>
      <c r="I5453" s="77" t="s">
        <v>84</v>
      </c>
      <c r="J5453" s="76">
        <v>0.3599</v>
      </c>
    </row>
    <row r="5454" spans="1:10" x14ac:dyDescent="0.35">
      <c r="A5454" t="s">
        <v>15</v>
      </c>
      <c r="B5454" t="s">
        <v>39</v>
      </c>
      <c r="C5454" s="77" t="s">
        <v>73</v>
      </c>
      <c r="D5454" t="s">
        <v>74</v>
      </c>
      <c r="E5454" s="77" t="s">
        <v>132</v>
      </c>
      <c r="F5454" s="77" t="s">
        <v>73</v>
      </c>
      <c r="G5454" s="77" t="s">
        <v>81</v>
      </c>
      <c r="H5454" s="77" t="s">
        <v>115</v>
      </c>
      <c r="I5454" s="77" t="s">
        <v>84</v>
      </c>
      <c r="J5454" s="76">
        <v>0.41</v>
      </c>
    </row>
    <row r="5455" spans="1:10" x14ac:dyDescent="0.35">
      <c r="A5455" t="s">
        <v>15</v>
      </c>
      <c r="B5455" t="s">
        <v>39</v>
      </c>
      <c r="C5455" s="77" t="s">
        <v>73</v>
      </c>
      <c r="D5455" t="s">
        <v>74</v>
      </c>
      <c r="E5455" s="77" t="s">
        <v>133</v>
      </c>
      <c r="F5455" s="77" t="s">
        <v>73</v>
      </c>
      <c r="G5455" s="77" t="s">
        <v>81</v>
      </c>
      <c r="H5455" s="77" t="s">
        <v>115</v>
      </c>
      <c r="I5455" s="77" t="s">
        <v>84</v>
      </c>
      <c r="J5455" s="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9B77-A359-4539-B574-D3DF90EBDFE0}">
  <dimension ref="A1:J2418"/>
  <sheetViews>
    <sheetView workbookViewId="0">
      <selection activeCell="J506" sqref="J506"/>
    </sheetView>
  </sheetViews>
  <sheetFormatPr defaultRowHeight="14.5" x14ac:dyDescent="0.35"/>
  <cols>
    <col min="1" max="2" width="10.54296875" bestFit="1" customWidth="1"/>
    <col min="3" max="3" width="11.1796875" bestFit="1" customWidth="1"/>
    <col min="4" max="4" width="10.453125" bestFit="1" customWidth="1"/>
    <col min="5" max="5" width="55.453125" bestFit="1" customWidth="1"/>
    <col min="6" max="6" width="14.1796875" bestFit="1" customWidth="1"/>
    <col min="7" max="7" width="12.54296875" bestFit="1" customWidth="1"/>
    <col min="8" max="8" width="33.54296875" bestFit="1" customWidth="1"/>
    <col min="10" max="10" width="13" style="4" bestFit="1" customWidth="1"/>
  </cols>
  <sheetData>
    <row r="1" spans="1:10" x14ac:dyDescent="0.35">
      <c r="A1" s="396" t="s">
        <v>114</v>
      </c>
      <c r="B1" s="396" t="s">
        <v>54</v>
      </c>
      <c r="C1" s="396" t="s">
        <v>78</v>
      </c>
      <c r="D1" s="396" t="s">
        <v>79</v>
      </c>
      <c r="E1" s="396" t="s">
        <v>64</v>
      </c>
      <c r="F1" s="396" t="s">
        <v>65</v>
      </c>
      <c r="G1" s="396" t="s">
        <v>66</v>
      </c>
      <c r="H1" s="396" t="s">
        <v>67</v>
      </c>
      <c r="I1" s="396" t="s">
        <v>68</v>
      </c>
      <c r="J1" s="397" t="s">
        <v>69</v>
      </c>
    </row>
    <row r="2" spans="1:10" x14ac:dyDescent="0.35">
      <c r="A2" s="385" t="s">
        <v>18</v>
      </c>
      <c r="B2" s="385" t="s">
        <v>33</v>
      </c>
      <c r="C2" s="385" t="s">
        <v>73</v>
      </c>
      <c r="D2" s="385" t="s">
        <v>81</v>
      </c>
      <c r="E2" s="385" t="s">
        <v>115</v>
      </c>
      <c r="F2" s="385" t="s">
        <v>73</v>
      </c>
      <c r="G2" s="385" t="s">
        <v>74</v>
      </c>
      <c r="H2" s="385" t="s">
        <v>102</v>
      </c>
      <c r="I2" s="385" t="s">
        <v>84</v>
      </c>
      <c r="J2" s="475" cm="1">
        <f t="array" ref="J2:J3">'SUT_EU27 total'!$J$19:$J$20</f>
        <v>11.828571428571427</v>
      </c>
    </row>
    <row r="3" spans="1:10" x14ac:dyDescent="0.35">
      <c r="A3" t="s">
        <v>18</v>
      </c>
      <c r="B3" t="s">
        <v>33</v>
      </c>
      <c r="C3" t="s">
        <v>73</v>
      </c>
      <c r="D3" t="s">
        <v>81</v>
      </c>
      <c r="E3" t="s">
        <v>116</v>
      </c>
      <c r="F3" t="s">
        <v>73</v>
      </c>
      <c r="G3" t="s">
        <v>74</v>
      </c>
      <c r="H3" t="s">
        <v>102</v>
      </c>
      <c r="I3" t="s">
        <v>84</v>
      </c>
      <c r="J3" s="4">
        <v>3.3421988920214002E-2</v>
      </c>
    </row>
    <row r="4" spans="1:10" x14ac:dyDescent="0.35">
      <c r="A4" t="s">
        <v>18</v>
      </c>
      <c r="B4" t="s">
        <v>33</v>
      </c>
      <c r="C4" t="s">
        <v>73</v>
      </c>
      <c r="D4" t="s">
        <v>81</v>
      </c>
      <c r="E4" t="s">
        <v>117</v>
      </c>
      <c r="F4" t="s">
        <v>73</v>
      </c>
      <c r="G4" t="s">
        <v>74</v>
      </c>
      <c r="H4" t="s">
        <v>102</v>
      </c>
      <c r="I4" t="s">
        <v>84</v>
      </c>
      <c r="J4" s="76">
        <f>'SUT_EU27 total'!$J$27</f>
        <v>20.996100000000002</v>
      </c>
    </row>
    <row r="5" spans="1:10" x14ac:dyDescent="0.35">
      <c r="A5" t="s">
        <v>18</v>
      </c>
      <c r="B5" t="s">
        <v>33</v>
      </c>
      <c r="C5" t="s">
        <v>73</v>
      </c>
      <c r="D5" t="s">
        <v>81</v>
      </c>
      <c r="E5" t="s">
        <v>101</v>
      </c>
      <c r="F5" t="s">
        <v>73</v>
      </c>
      <c r="G5" t="s">
        <v>74</v>
      </c>
      <c r="H5" t="s">
        <v>102</v>
      </c>
      <c r="I5" t="s">
        <v>84</v>
      </c>
      <c r="J5" s="76" cm="1">
        <f t="array" ref="J5:J7">'SUT_EU27 total'!$J$32:$J$34</f>
        <v>0.13437998483817604</v>
      </c>
    </row>
    <row r="6" spans="1:10" x14ac:dyDescent="0.35">
      <c r="A6" t="s">
        <v>18</v>
      </c>
      <c r="B6" t="s">
        <v>33</v>
      </c>
      <c r="C6" t="s">
        <v>73</v>
      </c>
      <c r="D6" t="s">
        <v>81</v>
      </c>
      <c r="E6" t="s">
        <v>104</v>
      </c>
      <c r="F6" t="s">
        <v>73</v>
      </c>
      <c r="G6" t="s">
        <v>74</v>
      </c>
      <c r="H6" t="s">
        <v>102</v>
      </c>
      <c r="I6" t="s">
        <v>84</v>
      </c>
      <c r="J6" s="4">
        <v>0.25443647306582401</v>
      </c>
    </row>
    <row r="7" spans="1:10" x14ac:dyDescent="0.35">
      <c r="A7" t="s">
        <v>18</v>
      </c>
      <c r="B7" t="s">
        <v>33</v>
      </c>
      <c r="C7" t="s">
        <v>73</v>
      </c>
      <c r="D7" t="s">
        <v>81</v>
      </c>
      <c r="E7" t="s">
        <v>106</v>
      </c>
      <c r="F7" t="s">
        <v>73</v>
      </c>
      <c r="G7" t="s">
        <v>74</v>
      </c>
      <c r="H7" t="s">
        <v>102</v>
      </c>
      <c r="I7" t="s">
        <v>84</v>
      </c>
      <c r="J7" s="4">
        <v>0.86543018049599985</v>
      </c>
    </row>
    <row r="8" spans="1:10" x14ac:dyDescent="0.35">
      <c r="A8" t="s">
        <v>18</v>
      </c>
      <c r="B8" t="s">
        <v>33</v>
      </c>
      <c r="C8" t="s">
        <v>88</v>
      </c>
      <c r="D8" t="s">
        <v>81</v>
      </c>
      <c r="E8" t="s">
        <v>115</v>
      </c>
      <c r="F8" t="s">
        <v>73</v>
      </c>
      <c r="G8" t="s">
        <v>74</v>
      </c>
      <c r="H8" t="s">
        <v>102</v>
      </c>
      <c r="I8" t="s">
        <v>84</v>
      </c>
      <c r="J8" s="76" cm="1">
        <f t="array" ref="J8:J9">'SUT_EU27 total'!$J$36:$J$37</f>
        <v>78.857142857142847</v>
      </c>
    </row>
    <row r="9" spans="1:10" x14ac:dyDescent="0.35">
      <c r="A9" t="s">
        <v>18</v>
      </c>
      <c r="B9" t="s">
        <v>33</v>
      </c>
      <c r="C9" t="s">
        <v>88</v>
      </c>
      <c r="D9" t="s">
        <v>81</v>
      </c>
      <c r="E9" t="s">
        <v>116</v>
      </c>
      <c r="F9" t="s">
        <v>73</v>
      </c>
      <c r="G9" t="s">
        <v>74</v>
      </c>
      <c r="H9" t="s">
        <v>102</v>
      </c>
      <c r="I9" t="s">
        <v>84</v>
      </c>
      <c r="J9" s="4">
        <v>0.7862213561563367</v>
      </c>
    </row>
    <row r="10" spans="1:10" x14ac:dyDescent="0.35">
      <c r="A10" t="s">
        <v>18</v>
      </c>
      <c r="B10" t="s">
        <v>33</v>
      </c>
      <c r="C10" t="s">
        <v>88</v>
      </c>
      <c r="D10" t="s">
        <v>81</v>
      </c>
      <c r="E10" t="s">
        <v>117</v>
      </c>
      <c r="F10" t="s">
        <v>73</v>
      </c>
      <c r="G10" t="s">
        <v>74</v>
      </c>
      <c r="H10" t="s">
        <v>102</v>
      </c>
      <c r="I10" t="s">
        <v>84</v>
      </c>
      <c r="J10" s="76">
        <f>'SUT_EU27 total'!$J$44</f>
        <v>286.26390000000004</v>
      </c>
    </row>
    <row r="11" spans="1:10" x14ac:dyDescent="0.35">
      <c r="A11" t="s">
        <v>18</v>
      </c>
      <c r="B11" t="s">
        <v>33</v>
      </c>
      <c r="C11" t="s">
        <v>88</v>
      </c>
      <c r="D11" t="s">
        <v>81</v>
      </c>
      <c r="E11" t="s">
        <v>101</v>
      </c>
      <c r="F11" t="s">
        <v>73</v>
      </c>
      <c r="G11" t="s">
        <v>74</v>
      </c>
      <c r="H11" t="s">
        <v>102</v>
      </c>
      <c r="I11" t="s">
        <v>84</v>
      </c>
      <c r="J11" s="4" cm="1">
        <f t="array" ref="J11:J13">'SUT_EU27 total'!$J$49:$J$51</f>
        <v>0</v>
      </c>
    </row>
    <row r="12" spans="1:10" x14ac:dyDescent="0.35">
      <c r="A12" t="s">
        <v>18</v>
      </c>
      <c r="B12" t="s">
        <v>33</v>
      </c>
      <c r="C12" t="s">
        <v>88</v>
      </c>
      <c r="D12" t="s">
        <v>81</v>
      </c>
      <c r="E12" t="s">
        <v>104</v>
      </c>
      <c r="F12" t="s">
        <v>73</v>
      </c>
      <c r="G12" t="s">
        <v>74</v>
      </c>
      <c r="H12" t="s">
        <v>102</v>
      </c>
      <c r="I12" t="s">
        <v>84</v>
      </c>
      <c r="J12" s="4">
        <v>0</v>
      </c>
    </row>
    <row r="13" spans="1:10" x14ac:dyDescent="0.35">
      <c r="A13" t="s">
        <v>18</v>
      </c>
      <c r="B13" t="s">
        <v>33</v>
      </c>
      <c r="C13" t="s">
        <v>88</v>
      </c>
      <c r="D13" t="s">
        <v>81</v>
      </c>
      <c r="E13" t="s">
        <v>106</v>
      </c>
      <c r="F13" t="s">
        <v>73</v>
      </c>
      <c r="G13" t="s">
        <v>74</v>
      </c>
      <c r="H13" t="s">
        <v>102</v>
      </c>
      <c r="I13" t="s">
        <v>84</v>
      </c>
      <c r="J13" s="4">
        <v>0</v>
      </c>
    </row>
    <row r="14" spans="1:10" x14ac:dyDescent="0.35">
      <c r="A14" t="s">
        <v>18</v>
      </c>
      <c r="B14" t="s">
        <v>33</v>
      </c>
      <c r="C14" t="s">
        <v>90</v>
      </c>
      <c r="D14" t="s">
        <v>81</v>
      </c>
      <c r="E14" t="s">
        <v>115</v>
      </c>
      <c r="F14" t="s">
        <v>73</v>
      </c>
      <c r="G14" t="s">
        <v>74</v>
      </c>
      <c r="H14" t="s">
        <v>102</v>
      </c>
      <c r="I14" t="s">
        <v>84</v>
      </c>
      <c r="J14" s="76" cm="1">
        <f t="array" ref="J14:J15">'SUT_EU27 total'!$J$53:$J$54</f>
        <v>7.7904761904761894</v>
      </c>
    </row>
    <row r="15" spans="1:10" x14ac:dyDescent="0.35">
      <c r="A15" t="s">
        <v>18</v>
      </c>
      <c r="B15" t="s">
        <v>33</v>
      </c>
      <c r="C15" t="s">
        <v>90</v>
      </c>
      <c r="D15" t="s">
        <v>81</v>
      </c>
      <c r="E15" t="s">
        <v>116</v>
      </c>
      <c r="F15" t="s">
        <v>73</v>
      </c>
      <c r="G15" t="s">
        <v>74</v>
      </c>
      <c r="H15" t="s">
        <v>102</v>
      </c>
      <c r="I15" t="s">
        <v>84</v>
      </c>
      <c r="J15" s="4">
        <v>1.5473889063756709E-2</v>
      </c>
    </row>
    <row r="16" spans="1:10" x14ac:dyDescent="0.35">
      <c r="A16" t="s">
        <v>18</v>
      </c>
      <c r="B16" t="s">
        <v>33</v>
      </c>
      <c r="C16" t="s">
        <v>90</v>
      </c>
      <c r="D16" t="s">
        <v>81</v>
      </c>
      <c r="E16" t="s">
        <v>117</v>
      </c>
      <c r="F16" t="s">
        <v>73</v>
      </c>
      <c r="G16" t="s">
        <v>74</v>
      </c>
      <c r="H16" t="s">
        <v>102</v>
      </c>
      <c r="I16" t="s">
        <v>84</v>
      </c>
      <c r="J16" s="76">
        <f>'SUT_EU27 total'!$J$61</f>
        <v>11.2662</v>
      </c>
    </row>
    <row r="17" spans="1:10" x14ac:dyDescent="0.35">
      <c r="A17" t="s">
        <v>18</v>
      </c>
      <c r="B17" t="s">
        <v>33</v>
      </c>
      <c r="C17" t="s">
        <v>90</v>
      </c>
      <c r="D17" t="s">
        <v>81</v>
      </c>
      <c r="E17" t="s">
        <v>101</v>
      </c>
      <c r="F17" t="s">
        <v>73</v>
      </c>
      <c r="G17" t="s">
        <v>74</v>
      </c>
      <c r="H17" t="s">
        <v>102</v>
      </c>
      <c r="I17" t="s">
        <v>84</v>
      </c>
      <c r="J17" s="4" cm="1">
        <f t="array" ref="J17:J19">'SUT_EU27 total'!$J$66:$J$68</f>
        <v>0</v>
      </c>
    </row>
    <row r="18" spans="1:10" x14ac:dyDescent="0.35">
      <c r="A18" t="s">
        <v>18</v>
      </c>
      <c r="B18" t="s">
        <v>33</v>
      </c>
      <c r="C18" t="s">
        <v>90</v>
      </c>
      <c r="D18" t="s">
        <v>81</v>
      </c>
      <c r="E18" t="s">
        <v>104</v>
      </c>
      <c r="F18" t="s">
        <v>73</v>
      </c>
      <c r="G18" t="s">
        <v>74</v>
      </c>
      <c r="H18" t="s">
        <v>102</v>
      </c>
      <c r="I18" t="s">
        <v>84</v>
      </c>
      <c r="J18" s="4">
        <v>0</v>
      </c>
    </row>
    <row r="19" spans="1:10" x14ac:dyDescent="0.35">
      <c r="A19" t="s">
        <v>18</v>
      </c>
      <c r="B19" t="s">
        <v>33</v>
      </c>
      <c r="C19" t="s">
        <v>90</v>
      </c>
      <c r="D19" t="s">
        <v>81</v>
      </c>
      <c r="E19" t="s">
        <v>106</v>
      </c>
      <c r="F19" t="s">
        <v>73</v>
      </c>
      <c r="G19" t="s">
        <v>74</v>
      </c>
      <c r="H19" t="s">
        <v>102</v>
      </c>
      <c r="I19" t="s">
        <v>84</v>
      </c>
      <c r="J19" s="4">
        <v>0</v>
      </c>
    </row>
    <row r="20" spans="1:10" x14ac:dyDescent="0.35">
      <c r="A20" t="s">
        <v>18</v>
      </c>
      <c r="B20" t="s">
        <v>33</v>
      </c>
      <c r="C20" t="s">
        <v>91</v>
      </c>
      <c r="D20" t="s">
        <v>81</v>
      </c>
      <c r="E20" t="s">
        <v>115</v>
      </c>
      <c r="F20" t="s">
        <v>73</v>
      </c>
      <c r="G20" t="s">
        <v>74</v>
      </c>
      <c r="H20" t="s">
        <v>102</v>
      </c>
      <c r="I20" t="s">
        <v>84</v>
      </c>
      <c r="J20" s="76" cm="1">
        <f t="array" ref="J20:J21">'SUT_EU27 total'!$J$70:$J$71</f>
        <v>15.771428571428569</v>
      </c>
    </row>
    <row r="21" spans="1:10" x14ac:dyDescent="0.35">
      <c r="A21" t="s">
        <v>18</v>
      </c>
      <c r="B21" t="s">
        <v>33</v>
      </c>
      <c r="C21" t="s">
        <v>91</v>
      </c>
      <c r="D21" t="s">
        <v>81</v>
      </c>
      <c r="E21" t="s">
        <v>116</v>
      </c>
      <c r="F21" t="s">
        <v>73</v>
      </c>
      <c r="G21" t="s">
        <v>74</v>
      </c>
      <c r="H21" t="s">
        <v>102</v>
      </c>
      <c r="I21" t="s">
        <v>84</v>
      </c>
      <c r="J21" s="4">
        <v>8.7507175559917313E-2</v>
      </c>
    </row>
    <row r="22" spans="1:10" x14ac:dyDescent="0.35">
      <c r="A22" t="s">
        <v>18</v>
      </c>
      <c r="B22" t="s">
        <v>33</v>
      </c>
      <c r="C22" t="s">
        <v>91</v>
      </c>
      <c r="D22" t="s">
        <v>81</v>
      </c>
      <c r="E22" t="s">
        <v>117</v>
      </c>
      <c r="F22" t="s">
        <v>73</v>
      </c>
      <c r="G22" t="s">
        <v>74</v>
      </c>
      <c r="H22" t="s">
        <v>102</v>
      </c>
      <c r="I22" t="s">
        <v>84</v>
      </c>
      <c r="J22" s="76">
        <f>'SUT_EU27 total'!$J$78</f>
        <v>41.4801</v>
      </c>
    </row>
    <row r="23" spans="1:10" x14ac:dyDescent="0.35">
      <c r="A23" t="s">
        <v>18</v>
      </c>
      <c r="B23" t="s">
        <v>33</v>
      </c>
      <c r="C23" t="s">
        <v>91</v>
      </c>
      <c r="D23" t="s">
        <v>81</v>
      </c>
      <c r="E23" t="s">
        <v>101</v>
      </c>
      <c r="F23" t="s">
        <v>73</v>
      </c>
      <c r="G23" t="s">
        <v>74</v>
      </c>
      <c r="H23" t="s">
        <v>102</v>
      </c>
      <c r="I23" t="s">
        <v>84</v>
      </c>
      <c r="J23" s="4" cm="1">
        <f t="array" ref="J23:J25">'SUT_EU27 total'!$J$83:$J$85</f>
        <v>0</v>
      </c>
    </row>
    <row r="24" spans="1:10" x14ac:dyDescent="0.35">
      <c r="A24" t="s">
        <v>18</v>
      </c>
      <c r="B24" t="s">
        <v>33</v>
      </c>
      <c r="C24" t="s">
        <v>91</v>
      </c>
      <c r="D24" t="s">
        <v>81</v>
      </c>
      <c r="E24" t="s">
        <v>104</v>
      </c>
      <c r="F24" t="s">
        <v>73</v>
      </c>
      <c r="G24" t="s">
        <v>74</v>
      </c>
      <c r="H24" t="s">
        <v>102</v>
      </c>
      <c r="I24" t="s">
        <v>84</v>
      </c>
      <c r="J24" s="4">
        <v>0</v>
      </c>
    </row>
    <row r="25" spans="1:10" x14ac:dyDescent="0.35">
      <c r="A25" t="s">
        <v>18</v>
      </c>
      <c r="B25" t="s">
        <v>33</v>
      </c>
      <c r="C25" t="s">
        <v>91</v>
      </c>
      <c r="D25" t="s">
        <v>81</v>
      </c>
      <c r="E25" t="s">
        <v>106</v>
      </c>
      <c r="F25" t="s">
        <v>73</v>
      </c>
      <c r="G25" t="s">
        <v>74</v>
      </c>
      <c r="H25" t="s">
        <v>102</v>
      </c>
      <c r="I25" t="s">
        <v>84</v>
      </c>
      <c r="J25" s="4">
        <v>0</v>
      </c>
    </row>
    <row r="26" spans="1:10" x14ac:dyDescent="0.35">
      <c r="A26" t="s">
        <v>18</v>
      </c>
      <c r="B26" t="s">
        <v>33</v>
      </c>
      <c r="C26" t="s">
        <v>92</v>
      </c>
      <c r="D26" t="s">
        <v>81</v>
      </c>
      <c r="E26" t="s">
        <v>115</v>
      </c>
      <c r="F26" t="s">
        <v>73</v>
      </c>
      <c r="G26" t="s">
        <v>74</v>
      </c>
      <c r="H26" t="s">
        <v>102</v>
      </c>
      <c r="I26" t="s">
        <v>84</v>
      </c>
      <c r="J26" s="76" cm="1">
        <f t="array" ref="J26:J27">'SUT_EU27 total'!$J$87:$J$88</f>
        <v>6.6239999999999997</v>
      </c>
    </row>
    <row r="27" spans="1:10" x14ac:dyDescent="0.35">
      <c r="A27" t="s">
        <v>18</v>
      </c>
      <c r="B27" t="s">
        <v>33</v>
      </c>
      <c r="C27" t="s">
        <v>92</v>
      </c>
      <c r="D27" t="s">
        <v>81</v>
      </c>
      <c r="E27" t="s">
        <v>116</v>
      </c>
      <c r="F27" t="s">
        <v>73</v>
      </c>
      <c r="G27" t="s">
        <v>74</v>
      </c>
      <c r="H27" t="s">
        <v>102</v>
      </c>
      <c r="I27" t="s">
        <v>84</v>
      </c>
      <c r="J27" s="4">
        <v>6.0040746268656714E-2</v>
      </c>
    </row>
    <row r="28" spans="1:10" x14ac:dyDescent="0.35">
      <c r="A28" t="s">
        <v>18</v>
      </c>
      <c r="B28" t="s">
        <v>33</v>
      </c>
      <c r="C28" t="s">
        <v>92</v>
      </c>
      <c r="D28" t="s">
        <v>81</v>
      </c>
      <c r="E28" t="s">
        <v>117</v>
      </c>
      <c r="F28" t="s">
        <v>73</v>
      </c>
      <c r="G28" t="s">
        <v>74</v>
      </c>
      <c r="H28" t="s">
        <v>102</v>
      </c>
      <c r="I28" t="s">
        <v>84</v>
      </c>
      <c r="J28" s="76">
        <f>'SUT_EU27 total'!$J$95</f>
        <v>13.3146</v>
      </c>
    </row>
    <row r="29" spans="1:10" x14ac:dyDescent="0.35">
      <c r="A29" t="s">
        <v>18</v>
      </c>
      <c r="B29" t="s">
        <v>33</v>
      </c>
      <c r="C29" t="s">
        <v>92</v>
      </c>
      <c r="D29" t="s">
        <v>81</v>
      </c>
      <c r="E29" t="s">
        <v>101</v>
      </c>
      <c r="F29" t="s">
        <v>73</v>
      </c>
      <c r="G29" t="s">
        <v>74</v>
      </c>
      <c r="H29" t="s">
        <v>102</v>
      </c>
      <c r="I29" t="s">
        <v>84</v>
      </c>
      <c r="J29" s="4" cm="1">
        <f t="array" ref="J29:J31">'SUT_EU27 total'!$J$100:$J$102</f>
        <v>0</v>
      </c>
    </row>
    <row r="30" spans="1:10" x14ac:dyDescent="0.35">
      <c r="A30" t="s">
        <v>18</v>
      </c>
      <c r="B30" t="s">
        <v>33</v>
      </c>
      <c r="C30" t="s">
        <v>92</v>
      </c>
      <c r="D30" t="s">
        <v>81</v>
      </c>
      <c r="E30" t="s">
        <v>104</v>
      </c>
      <c r="F30" t="s">
        <v>73</v>
      </c>
      <c r="G30" t="s">
        <v>74</v>
      </c>
      <c r="H30" t="s">
        <v>102</v>
      </c>
      <c r="I30" t="s">
        <v>84</v>
      </c>
      <c r="J30" s="4">
        <v>0</v>
      </c>
    </row>
    <row r="31" spans="1:10" x14ac:dyDescent="0.35">
      <c r="A31" t="s">
        <v>18</v>
      </c>
      <c r="B31" t="s">
        <v>33</v>
      </c>
      <c r="C31" t="s">
        <v>92</v>
      </c>
      <c r="D31" t="s">
        <v>81</v>
      </c>
      <c r="E31" t="s">
        <v>106</v>
      </c>
      <c r="F31" t="s">
        <v>73</v>
      </c>
      <c r="G31" t="s">
        <v>74</v>
      </c>
      <c r="H31" t="s">
        <v>102</v>
      </c>
      <c r="I31" t="s">
        <v>84</v>
      </c>
      <c r="J31" s="4">
        <v>0</v>
      </c>
    </row>
    <row r="32" spans="1:10" x14ac:dyDescent="0.35">
      <c r="A32" t="s">
        <v>18</v>
      </c>
      <c r="B32" t="s">
        <v>33</v>
      </c>
      <c r="C32" t="s">
        <v>93</v>
      </c>
      <c r="D32" t="s">
        <v>81</v>
      </c>
      <c r="E32" t="s">
        <v>115</v>
      </c>
      <c r="F32" t="s">
        <v>73</v>
      </c>
      <c r="G32" t="s">
        <v>74</v>
      </c>
      <c r="H32" t="s">
        <v>102</v>
      </c>
      <c r="I32" t="s">
        <v>84</v>
      </c>
      <c r="J32" s="76" cm="1">
        <f t="array" ref="J32:J33">'SUT_EU27 total'!$J$104:$J$105</f>
        <v>44.633142857142865</v>
      </c>
    </row>
    <row r="33" spans="1:10" x14ac:dyDescent="0.35">
      <c r="A33" t="s">
        <v>18</v>
      </c>
      <c r="B33" t="s">
        <v>33</v>
      </c>
      <c r="C33" t="s">
        <v>93</v>
      </c>
      <c r="D33" t="s">
        <v>81</v>
      </c>
      <c r="E33" t="s">
        <v>116</v>
      </c>
      <c r="F33" t="s">
        <v>73</v>
      </c>
      <c r="G33" t="s">
        <v>74</v>
      </c>
      <c r="H33" t="s">
        <v>102</v>
      </c>
      <c r="I33" t="s">
        <v>84</v>
      </c>
      <c r="J33" s="4">
        <v>0.3673348440311186</v>
      </c>
    </row>
    <row r="34" spans="1:10" x14ac:dyDescent="0.35">
      <c r="A34" t="s">
        <v>18</v>
      </c>
      <c r="B34" t="s">
        <v>33</v>
      </c>
      <c r="C34" t="s">
        <v>93</v>
      </c>
      <c r="D34" t="s">
        <v>81</v>
      </c>
      <c r="E34" t="s">
        <v>117</v>
      </c>
      <c r="F34" t="s">
        <v>73</v>
      </c>
      <c r="G34" t="s">
        <v>74</v>
      </c>
      <c r="H34" t="s">
        <v>102</v>
      </c>
      <c r="I34" t="s">
        <v>84</v>
      </c>
      <c r="J34" s="76">
        <f>'SUT_EU27 total'!$J$112</f>
        <v>138.77909999999997</v>
      </c>
    </row>
    <row r="35" spans="1:10" x14ac:dyDescent="0.35">
      <c r="A35" t="s">
        <v>18</v>
      </c>
      <c r="B35" t="s">
        <v>33</v>
      </c>
      <c r="C35" t="s">
        <v>93</v>
      </c>
      <c r="D35" t="s">
        <v>81</v>
      </c>
      <c r="E35" t="s">
        <v>101</v>
      </c>
      <c r="F35" t="s">
        <v>73</v>
      </c>
      <c r="G35" t="s">
        <v>74</v>
      </c>
      <c r="H35" t="s">
        <v>102</v>
      </c>
      <c r="I35" t="s">
        <v>84</v>
      </c>
      <c r="J35" s="4" cm="1">
        <f t="array" ref="J35:J37">'SUT_EU27 total'!$J$117:$J$119</f>
        <v>0</v>
      </c>
    </row>
    <row r="36" spans="1:10" x14ac:dyDescent="0.35">
      <c r="A36" t="s">
        <v>18</v>
      </c>
      <c r="B36" t="s">
        <v>33</v>
      </c>
      <c r="C36" t="s">
        <v>93</v>
      </c>
      <c r="D36" t="s">
        <v>81</v>
      </c>
      <c r="E36" t="s">
        <v>104</v>
      </c>
      <c r="F36" t="s">
        <v>73</v>
      </c>
      <c r="G36" t="s">
        <v>74</v>
      </c>
      <c r="H36" t="s">
        <v>102</v>
      </c>
      <c r="I36" t="s">
        <v>84</v>
      </c>
      <c r="J36" s="4">
        <v>0</v>
      </c>
    </row>
    <row r="37" spans="1:10" x14ac:dyDescent="0.35">
      <c r="A37" t="s">
        <v>18</v>
      </c>
      <c r="B37" t="s">
        <v>33</v>
      </c>
      <c r="C37" t="s">
        <v>93</v>
      </c>
      <c r="D37" t="s">
        <v>81</v>
      </c>
      <c r="E37" t="s">
        <v>106</v>
      </c>
      <c r="F37" t="s">
        <v>73</v>
      </c>
      <c r="G37" t="s">
        <v>74</v>
      </c>
      <c r="H37" t="s">
        <v>102</v>
      </c>
      <c r="I37" t="s">
        <v>84</v>
      </c>
      <c r="J37" s="4">
        <v>0</v>
      </c>
    </row>
    <row r="38" spans="1:10" x14ac:dyDescent="0.35">
      <c r="A38" t="s">
        <v>18</v>
      </c>
      <c r="B38" t="s">
        <v>33</v>
      </c>
      <c r="C38" t="s">
        <v>73</v>
      </c>
      <c r="D38" t="s">
        <v>81</v>
      </c>
      <c r="E38" t="s">
        <v>118</v>
      </c>
      <c r="F38" t="s">
        <v>73</v>
      </c>
      <c r="G38" t="s">
        <v>74</v>
      </c>
      <c r="H38" t="s">
        <v>108</v>
      </c>
      <c r="I38" t="s">
        <v>84</v>
      </c>
      <c r="J38" s="76" cm="1">
        <f t="array" ref="J38:J40">'SUT_EU27 total'!$K$21:$K$23</f>
        <v>1.4582562144772118E-3</v>
      </c>
    </row>
    <row r="39" spans="1:10" x14ac:dyDescent="0.35">
      <c r="A39" t="s">
        <v>18</v>
      </c>
      <c r="B39" t="s">
        <v>33</v>
      </c>
      <c r="C39" t="s">
        <v>73</v>
      </c>
      <c r="D39" t="s">
        <v>81</v>
      </c>
      <c r="E39" t="s">
        <v>119</v>
      </c>
      <c r="F39" t="s">
        <v>73</v>
      </c>
      <c r="G39" t="s">
        <v>74</v>
      </c>
      <c r="H39" t="s">
        <v>108</v>
      </c>
      <c r="I39" t="s">
        <v>84</v>
      </c>
      <c r="J39" s="4">
        <v>8.4634636521458274E-4</v>
      </c>
    </row>
    <row r="40" spans="1:10" x14ac:dyDescent="0.35">
      <c r="A40" t="s">
        <v>18</v>
      </c>
      <c r="B40" t="s">
        <v>33</v>
      </c>
      <c r="C40" t="s">
        <v>73</v>
      </c>
      <c r="D40" t="s">
        <v>81</v>
      </c>
      <c r="E40" t="s">
        <v>120</v>
      </c>
      <c r="F40" t="s">
        <v>73</v>
      </c>
      <c r="G40" t="s">
        <v>74</v>
      </c>
      <c r="H40" t="s">
        <v>108</v>
      </c>
      <c r="I40" t="s">
        <v>84</v>
      </c>
      <c r="J40" s="4">
        <v>1.2517329093179335E-4</v>
      </c>
    </row>
    <row r="41" spans="1:10" x14ac:dyDescent="0.35">
      <c r="A41" t="s">
        <v>18</v>
      </c>
      <c r="B41" t="s">
        <v>33</v>
      </c>
      <c r="C41" t="s">
        <v>73</v>
      </c>
      <c r="D41" t="s">
        <v>81</v>
      </c>
      <c r="E41" s="77" t="s">
        <v>121</v>
      </c>
      <c r="F41" t="s">
        <v>73</v>
      </c>
      <c r="G41" t="s">
        <v>74</v>
      </c>
      <c r="H41" t="s">
        <v>108</v>
      </c>
      <c r="I41" t="s">
        <v>84</v>
      </c>
      <c r="J41" s="76">
        <f>'SUT_EU27 total'!$K$25</f>
        <v>6.9749679999999994E-2</v>
      </c>
    </row>
    <row r="42" spans="1:10" x14ac:dyDescent="0.35">
      <c r="A42" t="s">
        <v>18</v>
      </c>
      <c r="B42" t="s">
        <v>33</v>
      </c>
      <c r="C42" t="s">
        <v>73</v>
      </c>
      <c r="D42" t="s">
        <v>81</v>
      </c>
      <c r="E42" t="s">
        <v>117</v>
      </c>
      <c r="F42" t="s">
        <v>73</v>
      </c>
      <c r="G42" t="s">
        <v>74</v>
      </c>
      <c r="H42" t="s">
        <v>108</v>
      </c>
      <c r="I42" t="s">
        <v>84</v>
      </c>
      <c r="J42" s="76">
        <f>'SUT_EU27 total'!$K$27</f>
        <v>1.1932942595726979E-3</v>
      </c>
    </row>
    <row r="43" spans="1:10" x14ac:dyDescent="0.35">
      <c r="A43" t="s">
        <v>18</v>
      </c>
      <c r="B43" t="s">
        <v>33</v>
      </c>
      <c r="C43" t="s">
        <v>73</v>
      </c>
      <c r="D43" t="s">
        <v>81</v>
      </c>
      <c r="E43" t="s">
        <v>122</v>
      </c>
      <c r="F43" t="s">
        <v>73</v>
      </c>
      <c r="G43" t="s">
        <v>74</v>
      </c>
      <c r="H43" t="s">
        <v>108</v>
      </c>
      <c r="I43" t="s">
        <v>84</v>
      </c>
      <c r="J43" s="76">
        <f>'SUT_EU27 total'!$K$30</f>
        <v>1.5965533412604042E-3</v>
      </c>
    </row>
    <row r="44" spans="1:10" x14ac:dyDescent="0.35">
      <c r="A44" t="s">
        <v>18</v>
      </c>
      <c r="B44" t="s">
        <v>33</v>
      </c>
      <c r="C44" t="s">
        <v>73</v>
      </c>
      <c r="D44" t="s">
        <v>81</v>
      </c>
      <c r="E44" t="s">
        <v>101</v>
      </c>
      <c r="F44" t="s">
        <v>73</v>
      </c>
      <c r="G44" t="s">
        <v>74</v>
      </c>
      <c r="H44" t="s">
        <v>108</v>
      </c>
      <c r="I44" t="s">
        <v>84</v>
      </c>
      <c r="J44" s="76" cm="1">
        <f t="array" ref="J44:J46">'SUT_EU27 total'!$K$32:$K$34</f>
        <v>2.4335351040000001E-4</v>
      </c>
    </row>
    <row r="45" spans="1:10" x14ac:dyDescent="0.35">
      <c r="A45" t="s">
        <v>18</v>
      </c>
      <c r="B45" t="s">
        <v>33</v>
      </c>
      <c r="C45" t="s">
        <v>73</v>
      </c>
      <c r="D45" t="s">
        <v>81</v>
      </c>
      <c r="E45" t="s">
        <v>104</v>
      </c>
      <c r="F45" t="s">
        <v>73</v>
      </c>
      <c r="G45" t="s">
        <v>74</v>
      </c>
      <c r="H45" t="s">
        <v>108</v>
      </c>
      <c r="I45" t="s">
        <v>84</v>
      </c>
      <c r="J45" s="4">
        <v>4.6076808959999996E-4</v>
      </c>
    </row>
    <row r="46" spans="1:10" x14ac:dyDescent="0.35">
      <c r="A46" t="s">
        <v>18</v>
      </c>
      <c r="B46" t="s">
        <v>33</v>
      </c>
      <c r="C46" t="s">
        <v>73</v>
      </c>
      <c r="D46" t="s">
        <v>81</v>
      </c>
      <c r="E46" t="s">
        <v>106</v>
      </c>
      <c r="F46" t="s">
        <v>73</v>
      </c>
      <c r="G46" t="s">
        <v>74</v>
      </c>
      <c r="H46" t="s">
        <v>108</v>
      </c>
      <c r="I46" t="s">
        <v>84</v>
      </c>
      <c r="J46" s="4">
        <v>1.5672383999999996E-3</v>
      </c>
    </row>
    <row r="47" spans="1:10" x14ac:dyDescent="0.35">
      <c r="A47" t="s">
        <v>18</v>
      </c>
      <c r="B47" t="s">
        <v>33</v>
      </c>
      <c r="C47" t="s">
        <v>88</v>
      </c>
      <c r="D47" t="s">
        <v>81</v>
      </c>
      <c r="E47" t="s">
        <v>118</v>
      </c>
      <c r="F47" t="s">
        <v>73</v>
      </c>
      <c r="G47" t="s">
        <v>74</v>
      </c>
      <c r="H47" t="s">
        <v>108</v>
      </c>
      <c r="I47" t="s">
        <v>84</v>
      </c>
      <c r="J47" s="76" cm="1">
        <f t="array" ref="J47:J49">'SUT_EU27 total'!$K$38:$K$40</f>
        <v>3.3029309855227888E-2</v>
      </c>
    </row>
    <row r="48" spans="1:10" x14ac:dyDescent="0.35">
      <c r="A48" t="s">
        <v>18</v>
      </c>
      <c r="B48" t="s">
        <v>33</v>
      </c>
      <c r="C48" t="s">
        <v>88</v>
      </c>
      <c r="D48" t="s">
        <v>81</v>
      </c>
      <c r="E48" t="s">
        <v>119</v>
      </c>
      <c r="F48" t="s">
        <v>73</v>
      </c>
      <c r="G48" t="s">
        <v>74</v>
      </c>
      <c r="H48" t="s">
        <v>108</v>
      </c>
      <c r="I48" t="s">
        <v>84</v>
      </c>
      <c r="J48" s="4">
        <v>6.9915569300335089E-3</v>
      </c>
    </row>
    <row r="49" spans="1:10" x14ac:dyDescent="0.35">
      <c r="A49" t="s">
        <v>18</v>
      </c>
      <c r="B49" t="s">
        <v>33</v>
      </c>
      <c r="C49" t="s">
        <v>88</v>
      </c>
      <c r="D49" t="s">
        <v>81</v>
      </c>
      <c r="E49" t="s">
        <v>120</v>
      </c>
      <c r="F49" t="s">
        <v>73</v>
      </c>
      <c r="G49" t="s">
        <v>74</v>
      </c>
      <c r="H49" t="s">
        <v>108</v>
      </c>
      <c r="I49" t="s">
        <v>84</v>
      </c>
      <c r="J49" s="4">
        <v>1.5283979779928203E-3</v>
      </c>
    </row>
    <row r="50" spans="1:10" x14ac:dyDescent="0.35">
      <c r="A50" t="s">
        <v>18</v>
      </c>
      <c r="B50" t="s">
        <v>33</v>
      </c>
      <c r="C50" t="s">
        <v>88</v>
      </c>
      <c r="D50" t="s">
        <v>81</v>
      </c>
      <c r="E50" s="77" t="s">
        <v>121</v>
      </c>
      <c r="F50" t="s">
        <v>73</v>
      </c>
      <c r="G50" t="s">
        <v>74</v>
      </c>
      <c r="H50" t="s">
        <v>108</v>
      </c>
      <c r="I50" t="s">
        <v>84</v>
      </c>
      <c r="J50" s="4">
        <f>'SUT_EU27 total'!$K$42</f>
        <v>0</v>
      </c>
    </row>
    <row r="51" spans="1:10" x14ac:dyDescent="0.35">
      <c r="A51" t="s">
        <v>18</v>
      </c>
      <c r="B51" t="s">
        <v>33</v>
      </c>
      <c r="C51" t="s">
        <v>88</v>
      </c>
      <c r="D51" t="s">
        <v>81</v>
      </c>
      <c r="E51" t="s">
        <v>117</v>
      </c>
      <c r="F51" t="s">
        <v>73</v>
      </c>
      <c r="G51" t="s">
        <v>74</v>
      </c>
      <c r="H51" t="s">
        <v>108</v>
      </c>
      <c r="I51" t="s">
        <v>84</v>
      </c>
      <c r="J51" s="76">
        <f>'SUT_EU27 total'!$K$44</f>
        <v>9.9090099874062521E-4</v>
      </c>
    </row>
    <row r="52" spans="1:10" x14ac:dyDescent="0.35">
      <c r="A52" t="s">
        <v>18</v>
      </c>
      <c r="B52" t="s">
        <v>33</v>
      </c>
      <c r="C52" t="s">
        <v>88</v>
      </c>
      <c r="D52" t="s">
        <v>81</v>
      </c>
      <c r="E52" t="s">
        <v>122</v>
      </c>
      <c r="F52" t="s">
        <v>73</v>
      </c>
      <c r="G52" t="s">
        <v>74</v>
      </c>
      <c r="H52" t="s">
        <v>108</v>
      </c>
      <c r="I52" t="s">
        <v>84</v>
      </c>
      <c r="J52" s="76">
        <f>'SUT_EU27 total'!$K$47</f>
        <v>0</v>
      </c>
    </row>
    <row r="53" spans="1:10" x14ac:dyDescent="0.35">
      <c r="A53" t="s">
        <v>18</v>
      </c>
      <c r="B53" t="s">
        <v>33</v>
      </c>
      <c r="C53" t="s">
        <v>88</v>
      </c>
      <c r="D53" t="s">
        <v>81</v>
      </c>
      <c r="E53" t="s">
        <v>101</v>
      </c>
      <c r="F53" t="s">
        <v>73</v>
      </c>
      <c r="G53" t="s">
        <v>74</v>
      </c>
      <c r="H53" t="s">
        <v>108</v>
      </c>
      <c r="I53" t="s">
        <v>84</v>
      </c>
      <c r="J53" s="4" cm="1">
        <f t="array" ref="J53:J55">'SUT_EU27 total'!$K$49:$K$51</f>
        <v>0</v>
      </c>
    </row>
    <row r="54" spans="1:10" x14ac:dyDescent="0.35">
      <c r="A54" t="s">
        <v>18</v>
      </c>
      <c r="B54" t="s">
        <v>33</v>
      </c>
      <c r="C54" t="s">
        <v>88</v>
      </c>
      <c r="D54" t="s">
        <v>81</v>
      </c>
      <c r="E54" t="s">
        <v>104</v>
      </c>
      <c r="F54" t="s">
        <v>73</v>
      </c>
      <c r="G54" t="s">
        <v>74</v>
      </c>
      <c r="H54" t="s">
        <v>108</v>
      </c>
      <c r="I54" t="s">
        <v>84</v>
      </c>
      <c r="J54" s="4">
        <v>0</v>
      </c>
    </row>
    <row r="55" spans="1:10" x14ac:dyDescent="0.35">
      <c r="A55" t="s">
        <v>18</v>
      </c>
      <c r="B55" t="s">
        <v>33</v>
      </c>
      <c r="C55" t="s">
        <v>88</v>
      </c>
      <c r="D55" t="s">
        <v>81</v>
      </c>
      <c r="E55" t="s">
        <v>106</v>
      </c>
      <c r="F55" t="s">
        <v>73</v>
      </c>
      <c r="G55" t="s">
        <v>74</v>
      </c>
      <c r="H55" t="s">
        <v>108</v>
      </c>
      <c r="I55" t="s">
        <v>84</v>
      </c>
      <c r="J55" s="4">
        <v>0</v>
      </c>
    </row>
    <row r="56" spans="1:10" x14ac:dyDescent="0.35">
      <c r="A56" t="s">
        <v>18</v>
      </c>
      <c r="B56" t="s">
        <v>33</v>
      </c>
      <c r="C56" t="s">
        <v>90</v>
      </c>
      <c r="D56" t="s">
        <v>81</v>
      </c>
      <c r="E56" t="s">
        <v>118</v>
      </c>
      <c r="F56" t="s">
        <v>73</v>
      </c>
      <c r="G56" t="s">
        <v>74</v>
      </c>
      <c r="H56" t="s">
        <v>108</v>
      </c>
      <c r="I56" t="s">
        <v>84</v>
      </c>
      <c r="J56" s="76" cm="1">
        <f t="array" ref="J56:J58">'SUT_EU27 total'!$K$55:$K$57</f>
        <v>4.323194595174263E-3</v>
      </c>
    </row>
    <row r="57" spans="1:10" x14ac:dyDescent="0.35">
      <c r="A57" t="s">
        <v>18</v>
      </c>
      <c r="B57" t="s">
        <v>33</v>
      </c>
      <c r="C57" t="s">
        <v>90</v>
      </c>
      <c r="D57" t="s">
        <v>81</v>
      </c>
      <c r="E57" t="s">
        <v>119</v>
      </c>
      <c r="F57" t="s">
        <v>73</v>
      </c>
      <c r="G57" t="s">
        <v>74</v>
      </c>
      <c r="H57" t="s">
        <v>108</v>
      </c>
      <c r="I57" t="s">
        <v>84</v>
      </c>
      <c r="J57" s="4">
        <v>1.2800331672655335E-3</v>
      </c>
    </row>
    <row r="58" spans="1:10" x14ac:dyDescent="0.35">
      <c r="A58" t="s">
        <v>18</v>
      </c>
      <c r="B58" t="s">
        <v>33</v>
      </c>
      <c r="C58" t="s">
        <v>90</v>
      </c>
      <c r="D58" t="s">
        <v>81</v>
      </c>
      <c r="E58" t="s">
        <v>120</v>
      </c>
      <c r="F58" t="s">
        <v>73</v>
      </c>
      <c r="G58" t="s">
        <v>74</v>
      </c>
      <c r="H58" t="s">
        <v>108</v>
      </c>
      <c r="I58" t="s">
        <v>84</v>
      </c>
      <c r="J58" s="4">
        <v>5.6700291220540041E-3</v>
      </c>
    </row>
    <row r="59" spans="1:10" x14ac:dyDescent="0.35">
      <c r="A59" t="s">
        <v>18</v>
      </c>
      <c r="B59" t="s">
        <v>33</v>
      </c>
      <c r="C59" t="s">
        <v>90</v>
      </c>
      <c r="D59" t="s">
        <v>81</v>
      </c>
      <c r="E59" s="77" t="s">
        <v>121</v>
      </c>
      <c r="F59" t="s">
        <v>73</v>
      </c>
      <c r="G59" t="s">
        <v>74</v>
      </c>
      <c r="H59" t="s">
        <v>108</v>
      </c>
      <c r="I59" t="s">
        <v>84</v>
      </c>
      <c r="J59" s="4">
        <f>'SUT_EU27 total'!$K$59</f>
        <v>0</v>
      </c>
    </row>
    <row r="60" spans="1:10" x14ac:dyDescent="0.35">
      <c r="A60" t="s">
        <v>18</v>
      </c>
      <c r="B60" t="s">
        <v>33</v>
      </c>
      <c r="C60" t="s">
        <v>90</v>
      </c>
      <c r="D60" t="s">
        <v>81</v>
      </c>
      <c r="E60" t="s">
        <v>117</v>
      </c>
      <c r="F60" t="s">
        <v>73</v>
      </c>
      <c r="G60" t="s">
        <v>74</v>
      </c>
      <c r="H60" t="s">
        <v>108</v>
      </c>
      <c r="I60" t="s">
        <v>84</v>
      </c>
      <c r="J60" s="76">
        <f>'SUT_EU27 total'!$K$61</f>
        <v>1.1930979242119881E-3</v>
      </c>
    </row>
    <row r="61" spans="1:10" x14ac:dyDescent="0.35">
      <c r="A61" t="s">
        <v>18</v>
      </c>
      <c r="B61" t="s">
        <v>33</v>
      </c>
      <c r="C61" t="s">
        <v>90</v>
      </c>
      <c r="D61" t="s">
        <v>81</v>
      </c>
      <c r="E61" t="s">
        <v>122</v>
      </c>
      <c r="F61" t="s">
        <v>73</v>
      </c>
      <c r="G61" t="s">
        <v>74</v>
      </c>
      <c r="H61" t="s">
        <v>108</v>
      </c>
      <c r="I61" t="s">
        <v>84</v>
      </c>
      <c r="J61" s="76">
        <f>'SUT_EU27 total'!$K$64</f>
        <v>2.5776238002378116E-3</v>
      </c>
    </row>
    <row r="62" spans="1:10" x14ac:dyDescent="0.35">
      <c r="A62" t="s">
        <v>18</v>
      </c>
      <c r="B62" t="s">
        <v>33</v>
      </c>
      <c r="C62" t="s">
        <v>90</v>
      </c>
      <c r="D62" t="s">
        <v>81</v>
      </c>
      <c r="E62" t="s">
        <v>101</v>
      </c>
      <c r="F62" t="s">
        <v>73</v>
      </c>
      <c r="G62" t="s">
        <v>74</v>
      </c>
      <c r="H62" t="s">
        <v>108</v>
      </c>
      <c r="I62" t="s">
        <v>84</v>
      </c>
      <c r="J62" s="4" cm="1">
        <f t="array" ref="J62:J64">'SUT_EU27 total'!$K$66:$K$68</f>
        <v>0</v>
      </c>
    </row>
    <row r="63" spans="1:10" x14ac:dyDescent="0.35">
      <c r="A63" t="s">
        <v>18</v>
      </c>
      <c r="B63" t="s">
        <v>33</v>
      </c>
      <c r="C63" t="s">
        <v>90</v>
      </c>
      <c r="D63" t="s">
        <v>81</v>
      </c>
      <c r="E63" t="s">
        <v>104</v>
      </c>
      <c r="F63" t="s">
        <v>73</v>
      </c>
      <c r="G63" t="s">
        <v>74</v>
      </c>
      <c r="H63" t="s">
        <v>108</v>
      </c>
      <c r="I63" t="s">
        <v>84</v>
      </c>
      <c r="J63" s="4">
        <v>0</v>
      </c>
    </row>
    <row r="64" spans="1:10" x14ac:dyDescent="0.35">
      <c r="A64" t="s">
        <v>18</v>
      </c>
      <c r="B64" t="s">
        <v>33</v>
      </c>
      <c r="C64" t="s">
        <v>90</v>
      </c>
      <c r="D64" t="s">
        <v>81</v>
      </c>
      <c r="E64" t="s">
        <v>106</v>
      </c>
      <c r="F64" t="s">
        <v>73</v>
      </c>
      <c r="G64" t="s">
        <v>74</v>
      </c>
      <c r="H64" t="s">
        <v>108</v>
      </c>
      <c r="I64" t="s">
        <v>84</v>
      </c>
      <c r="J64" s="4">
        <v>0</v>
      </c>
    </row>
    <row r="65" spans="1:10" x14ac:dyDescent="0.35">
      <c r="A65" t="s">
        <v>18</v>
      </c>
      <c r="B65" t="s">
        <v>33</v>
      </c>
      <c r="C65" t="s">
        <v>91</v>
      </c>
      <c r="D65" t="s">
        <v>81</v>
      </c>
      <c r="E65" t="s">
        <v>118</v>
      </c>
      <c r="F65" t="s">
        <v>73</v>
      </c>
      <c r="G65" t="s">
        <v>74</v>
      </c>
      <c r="H65" t="s">
        <v>108</v>
      </c>
      <c r="I65" t="s">
        <v>84</v>
      </c>
      <c r="J65" s="76" cm="1">
        <f t="array" ref="J65:J67">'SUT_EU27 total'!$K$72:$K$74</f>
        <v>5.3791732332439677E-3</v>
      </c>
    </row>
    <row r="66" spans="1:10" x14ac:dyDescent="0.35">
      <c r="A66" t="s">
        <v>18</v>
      </c>
      <c r="B66" t="s">
        <v>33</v>
      </c>
      <c r="C66" t="s">
        <v>91</v>
      </c>
      <c r="D66" t="s">
        <v>81</v>
      </c>
      <c r="E66" t="s">
        <v>119</v>
      </c>
      <c r="F66" t="s">
        <v>73</v>
      </c>
      <c r="G66" t="s">
        <v>74</v>
      </c>
      <c r="H66" t="s">
        <v>108</v>
      </c>
      <c r="I66" t="s">
        <v>84</v>
      </c>
      <c r="J66" s="4">
        <v>6.5526133182607291E-3</v>
      </c>
    </row>
    <row r="67" spans="1:10" x14ac:dyDescent="0.35">
      <c r="A67" t="s">
        <v>18</v>
      </c>
      <c r="B67" t="s">
        <v>33</v>
      </c>
      <c r="C67" t="s">
        <v>91</v>
      </c>
      <c r="D67" t="s">
        <v>81</v>
      </c>
      <c r="E67" t="s">
        <v>120</v>
      </c>
      <c r="F67" t="s">
        <v>73</v>
      </c>
      <c r="G67" t="s">
        <v>74</v>
      </c>
      <c r="H67" t="s">
        <v>108</v>
      </c>
      <c r="I67" t="s">
        <v>84</v>
      </c>
      <c r="J67" s="4">
        <v>2.464950959887623E-4</v>
      </c>
    </row>
    <row r="68" spans="1:10" x14ac:dyDescent="0.35">
      <c r="A68" t="s">
        <v>18</v>
      </c>
      <c r="B68" t="s">
        <v>33</v>
      </c>
      <c r="C68" t="s">
        <v>91</v>
      </c>
      <c r="D68" t="s">
        <v>81</v>
      </c>
      <c r="E68" s="77" t="s">
        <v>121</v>
      </c>
      <c r="F68" t="s">
        <v>73</v>
      </c>
      <c r="G68" t="s">
        <v>74</v>
      </c>
      <c r="H68" t="s">
        <v>108</v>
      </c>
      <c r="I68" t="s">
        <v>84</v>
      </c>
      <c r="J68" s="4">
        <f>'SUT_EU27 total'!$K$76</f>
        <v>0</v>
      </c>
    </row>
    <row r="69" spans="1:10" x14ac:dyDescent="0.35">
      <c r="A69" t="s">
        <v>18</v>
      </c>
      <c r="B69" t="s">
        <v>33</v>
      </c>
      <c r="C69" t="s">
        <v>91</v>
      </c>
      <c r="D69" t="s">
        <v>81</v>
      </c>
      <c r="E69" t="s">
        <v>117</v>
      </c>
      <c r="F69" t="s">
        <v>73</v>
      </c>
      <c r="G69" t="s">
        <v>74</v>
      </c>
      <c r="H69" t="s">
        <v>108</v>
      </c>
      <c r="I69" t="s">
        <v>84</v>
      </c>
      <c r="J69" s="76">
        <f>'SUT_EU27 total'!$K$78</f>
        <v>1.1485683451306521E-3</v>
      </c>
    </row>
    <row r="70" spans="1:10" x14ac:dyDescent="0.35">
      <c r="A70" t="s">
        <v>18</v>
      </c>
      <c r="B70" t="s">
        <v>33</v>
      </c>
      <c r="C70" t="s">
        <v>91</v>
      </c>
      <c r="D70" t="s">
        <v>81</v>
      </c>
      <c r="E70" t="s">
        <v>122</v>
      </c>
      <c r="F70" t="s">
        <v>73</v>
      </c>
      <c r="G70" t="s">
        <v>74</v>
      </c>
      <c r="H70" t="s">
        <v>108</v>
      </c>
      <c r="I70" t="s">
        <v>84</v>
      </c>
      <c r="J70" s="76">
        <f>'SUT_EU27 total'!$K$81</f>
        <v>0</v>
      </c>
    </row>
    <row r="71" spans="1:10" x14ac:dyDescent="0.35">
      <c r="A71" t="s">
        <v>18</v>
      </c>
      <c r="B71" t="s">
        <v>33</v>
      </c>
      <c r="C71" t="s">
        <v>91</v>
      </c>
      <c r="D71" t="s">
        <v>81</v>
      </c>
      <c r="E71" t="s">
        <v>101</v>
      </c>
      <c r="F71" t="s">
        <v>73</v>
      </c>
      <c r="G71" t="s">
        <v>74</v>
      </c>
      <c r="H71" t="s">
        <v>108</v>
      </c>
      <c r="I71" t="s">
        <v>84</v>
      </c>
      <c r="J71" s="4" cm="1">
        <f t="array" ref="J71:J73">'SUT_EU27 total'!$K$83:$K$85</f>
        <v>0</v>
      </c>
    </row>
    <row r="72" spans="1:10" x14ac:dyDescent="0.35">
      <c r="A72" t="s">
        <v>18</v>
      </c>
      <c r="B72" t="s">
        <v>33</v>
      </c>
      <c r="C72" t="s">
        <v>91</v>
      </c>
      <c r="D72" t="s">
        <v>81</v>
      </c>
      <c r="E72" t="s">
        <v>104</v>
      </c>
      <c r="F72" t="s">
        <v>73</v>
      </c>
      <c r="G72" t="s">
        <v>74</v>
      </c>
      <c r="H72" t="s">
        <v>108</v>
      </c>
      <c r="I72" t="s">
        <v>84</v>
      </c>
      <c r="J72" s="4">
        <v>0</v>
      </c>
    </row>
    <row r="73" spans="1:10" x14ac:dyDescent="0.35">
      <c r="A73" t="s">
        <v>18</v>
      </c>
      <c r="B73" t="s">
        <v>33</v>
      </c>
      <c r="C73" t="s">
        <v>91</v>
      </c>
      <c r="D73" t="s">
        <v>81</v>
      </c>
      <c r="E73" t="s">
        <v>106</v>
      </c>
      <c r="F73" t="s">
        <v>73</v>
      </c>
      <c r="G73" t="s">
        <v>74</v>
      </c>
      <c r="H73" t="s">
        <v>108</v>
      </c>
      <c r="I73" t="s">
        <v>84</v>
      </c>
      <c r="J73" s="4">
        <v>0</v>
      </c>
    </row>
    <row r="74" spans="1:10" x14ac:dyDescent="0.35">
      <c r="A74" t="s">
        <v>18</v>
      </c>
      <c r="B74" t="s">
        <v>33</v>
      </c>
      <c r="C74" t="s">
        <v>92</v>
      </c>
      <c r="D74" t="s">
        <v>81</v>
      </c>
      <c r="E74" t="s">
        <v>118</v>
      </c>
      <c r="F74" t="s">
        <v>73</v>
      </c>
      <c r="G74" t="s">
        <v>74</v>
      </c>
      <c r="H74" t="s">
        <v>108</v>
      </c>
      <c r="I74" t="s">
        <v>84</v>
      </c>
      <c r="J74" s="76" cm="1">
        <f t="array" ref="J74:J76">'SUT_EU27 total'!$K$89:$K$91</f>
        <v>3.3497344343163542E-3</v>
      </c>
    </row>
    <row r="75" spans="1:10" x14ac:dyDescent="0.35">
      <c r="A75" t="s">
        <v>18</v>
      </c>
      <c r="B75" t="s">
        <v>33</v>
      </c>
      <c r="C75" t="s">
        <v>92</v>
      </c>
      <c r="D75" t="s">
        <v>81</v>
      </c>
      <c r="E75" t="s">
        <v>119</v>
      </c>
      <c r="F75" t="s">
        <v>73</v>
      </c>
      <c r="G75" t="s">
        <v>74</v>
      </c>
      <c r="H75" t="s">
        <v>108</v>
      </c>
      <c r="I75" t="s">
        <v>84</v>
      </c>
      <c r="J75" s="4">
        <v>6.0269323460777589E-3</v>
      </c>
    </row>
    <row r="76" spans="1:10" x14ac:dyDescent="0.35">
      <c r="A76" t="s">
        <v>18</v>
      </c>
      <c r="B76" t="s">
        <v>33</v>
      </c>
      <c r="C76" t="s">
        <v>92</v>
      </c>
      <c r="D76" t="s">
        <v>81</v>
      </c>
      <c r="E76" t="s">
        <v>120</v>
      </c>
      <c r="F76" t="s">
        <v>73</v>
      </c>
      <c r="G76" t="s">
        <v>74</v>
      </c>
      <c r="H76" t="s">
        <v>108</v>
      </c>
      <c r="I76" t="s">
        <v>84</v>
      </c>
      <c r="J76" s="4">
        <v>4.0947713992508196E-3</v>
      </c>
    </row>
    <row r="77" spans="1:10" x14ac:dyDescent="0.35">
      <c r="A77" t="s">
        <v>18</v>
      </c>
      <c r="B77" t="s">
        <v>33</v>
      </c>
      <c r="C77" t="s">
        <v>92</v>
      </c>
      <c r="D77" t="s">
        <v>81</v>
      </c>
      <c r="E77" s="77" t="s">
        <v>121</v>
      </c>
      <c r="F77" t="s">
        <v>73</v>
      </c>
      <c r="G77" t="s">
        <v>74</v>
      </c>
      <c r="H77" t="s">
        <v>108</v>
      </c>
      <c r="I77" t="s">
        <v>84</v>
      </c>
      <c r="J77" s="4">
        <f>'SUT_EU27 total'!$K$93</f>
        <v>0</v>
      </c>
    </row>
    <row r="78" spans="1:10" x14ac:dyDescent="0.35">
      <c r="A78" t="s">
        <v>18</v>
      </c>
      <c r="B78" t="s">
        <v>33</v>
      </c>
      <c r="C78" t="s">
        <v>92</v>
      </c>
      <c r="D78" t="s">
        <v>81</v>
      </c>
      <c r="E78" t="s">
        <v>117</v>
      </c>
      <c r="F78" t="s">
        <v>73</v>
      </c>
      <c r="G78" t="s">
        <v>74</v>
      </c>
      <c r="H78" t="s">
        <v>108</v>
      </c>
      <c r="I78" t="s">
        <v>84</v>
      </c>
      <c r="J78" s="4">
        <f>'SUT_EU27 total'!$K$95</f>
        <v>0</v>
      </c>
    </row>
    <row r="79" spans="1:10" x14ac:dyDescent="0.35">
      <c r="A79" t="s">
        <v>18</v>
      </c>
      <c r="B79" t="s">
        <v>33</v>
      </c>
      <c r="C79" t="s">
        <v>92</v>
      </c>
      <c r="D79" t="s">
        <v>81</v>
      </c>
      <c r="E79" t="s">
        <v>122</v>
      </c>
      <c r="F79" t="s">
        <v>73</v>
      </c>
      <c r="G79" t="s">
        <v>74</v>
      </c>
      <c r="H79" t="s">
        <v>108</v>
      </c>
      <c r="I79" t="s">
        <v>84</v>
      </c>
      <c r="J79" s="76">
        <f>'SUT_EU27 total'!$K$98</f>
        <v>0</v>
      </c>
    </row>
    <row r="80" spans="1:10" x14ac:dyDescent="0.35">
      <c r="A80" t="s">
        <v>18</v>
      </c>
      <c r="B80" t="s">
        <v>33</v>
      </c>
      <c r="C80" t="s">
        <v>92</v>
      </c>
      <c r="D80" t="s">
        <v>81</v>
      </c>
      <c r="E80" t="s">
        <v>101</v>
      </c>
      <c r="F80" t="s">
        <v>73</v>
      </c>
      <c r="G80" t="s">
        <v>74</v>
      </c>
      <c r="H80" t="s">
        <v>108</v>
      </c>
      <c r="I80" t="s">
        <v>84</v>
      </c>
      <c r="J80" s="4" cm="1">
        <f t="array" ref="J80:J82">'SUT_EU27 total'!$K$100:$K$102</f>
        <v>0</v>
      </c>
    </row>
    <row r="81" spans="1:10" x14ac:dyDescent="0.35">
      <c r="A81" t="s">
        <v>18</v>
      </c>
      <c r="B81" t="s">
        <v>33</v>
      </c>
      <c r="C81" t="s">
        <v>92</v>
      </c>
      <c r="D81" t="s">
        <v>81</v>
      </c>
      <c r="E81" t="s">
        <v>104</v>
      </c>
      <c r="F81" t="s">
        <v>73</v>
      </c>
      <c r="G81" t="s">
        <v>74</v>
      </c>
      <c r="H81" t="s">
        <v>108</v>
      </c>
      <c r="I81" t="s">
        <v>84</v>
      </c>
      <c r="J81" s="4">
        <v>0</v>
      </c>
    </row>
    <row r="82" spans="1:10" x14ac:dyDescent="0.35">
      <c r="A82" t="s">
        <v>18</v>
      </c>
      <c r="B82" t="s">
        <v>33</v>
      </c>
      <c r="C82" t="s">
        <v>92</v>
      </c>
      <c r="D82" t="s">
        <v>81</v>
      </c>
      <c r="E82" t="s">
        <v>106</v>
      </c>
      <c r="F82" t="s">
        <v>73</v>
      </c>
      <c r="G82" t="s">
        <v>74</v>
      </c>
      <c r="H82" t="s">
        <v>108</v>
      </c>
      <c r="I82" t="s">
        <v>84</v>
      </c>
      <c r="J82" s="4">
        <v>0</v>
      </c>
    </row>
    <row r="83" spans="1:10" x14ac:dyDescent="0.35">
      <c r="A83" t="s">
        <v>18</v>
      </c>
      <c r="B83" t="s">
        <v>33</v>
      </c>
      <c r="C83" t="s">
        <v>93</v>
      </c>
      <c r="D83" t="s">
        <v>81</v>
      </c>
      <c r="E83" t="s">
        <v>118</v>
      </c>
      <c r="F83" t="s">
        <v>73</v>
      </c>
      <c r="G83" t="s">
        <v>74</v>
      </c>
      <c r="H83" t="s">
        <v>108</v>
      </c>
      <c r="I83" t="s">
        <v>84</v>
      </c>
      <c r="J83" s="76" cm="1">
        <f t="array" ref="J83:J85">'SUT_EU27 total'!$K$106:$K$108</f>
        <v>1.4980971667560324E-2</v>
      </c>
    </row>
    <row r="84" spans="1:10" x14ac:dyDescent="0.35">
      <c r="A84" t="s">
        <v>18</v>
      </c>
      <c r="B84" t="s">
        <v>33</v>
      </c>
      <c r="C84" t="s">
        <v>93</v>
      </c>
      <c r="D84" t="s">
        <v>81</v>
      </c>
      <c r="E84" t="s">
        <v>119</v>
      </c>
      <c r="F84" t="s">
        <v>73</v>
      </c>
      <c r="G84" t="s">
        <v>74</v>
      </c>
      <c r="H84" t="s">
        <v>108</v>
      </c>
      <c r="I84" t="s">
        <v>84</v>
      </c>
      <c r="J84" s="4">
        <v>4.3405477873147885E-2</v>
      </c>
    </row>
    <row r="85" spans="1:10" x14ac:dyDescent="0.35">
      <c r="A85" t="s">
        <v>18</v>
      </c>
      <c r="B85" t="s">
        <v>33</v>
      </c>
      <c r="C85" t="s">
        <v>93</v>
      </c>
      <c r="D85" t="s">
        <v>81</v>
      </c>
      <c r="E85" t="s">
        <v>120</v>
      </c>
      <c r="F85" t="s">
        <v>73</v>
      </c>
      <c r="G85" t="s">
        <v>74</v>
      </c>
      <c r="H85" t="s">
        <v>108</v>
      </c>
      <c r="I85" t="s">
        <v>84</v>
      </c>
      <c r="J85" s="4">
        <v>2.1237093113781802E-2</v>
      </c>
    </row>
    <row r="86" spans="1:10" x14ac:dyDescent="0.35">
      <c r="A86" t="s">
        <v>18</v>
      </c>
      <c r="B86" t="s">
        <v>33</v>
      </c>
      <c r="C86" t="s">
        <v>93</v>
      </c>
      <c r="D86" t="s">
        <v>81</v>
      </c>
      <c r="E86" s="77" t="s">
        <v>121</v>
      </c>
      <c r="F86" t="s">
        <v>73</v>
      </c>
      <c r="G86" t="s">
        <v>74</v>
      </c>
      <c r="H86" t="s">
        <v>108</v>
      </c>
      <c r="I86" t="s">
        <v>84</v>
      </c>
      <c r="J86" s="4">
        <f>'SUT_EU27 total'!$K$110</f>
        <v>0</v>
      </c>
    </row>
    <row r="87" spans="1:10" x14ac:dyDescent="0.35">
      <c r="A87" t="s">
        <v>18</v>
      </c>
      <c r="B87" t="s">
        <v>33</v>
      </c>
      <c r="C87" t="s">
        <v>93</v>
      </c>
      <c r="D87" t="s">
        <v>81</v>
      </c>
      <c r="E87" t="s">
        <v>117</v>
      </c>
      <c r="F87" t="s">
        <v>73</v>
      </c>
      <c r="G87" t="s">
        <v>74</v>
      </c>
      <c r="H87" t="s">
        <v>108</v>
      </c>
      <c r="I87" t="s">
        <v>84</v>
      </c>
      <c r="J87" s="76">
        <f>'SUT_EU27 total'!$K$112</f>
        <v>1.1930984723440377E-3</v>
      </c>
    </row>
    <row r="88" spans="1:10" x14ac:dyDescent="0.35">
      <c r="A88" t="s">
        <v>18</v>
      </c>
      <c r="B88" t="s">
        <v>33</v>
      </c>
      <c r="C88" t="s">
        <v>93</v>
      </c>
      <c r="D88" t="s">
        <v>81</v>
      </c>
      <c r="E88" t="s">
        <v>122</v>
      </c>
      <c r="F88" t="s">
        <v>73</v>
      </c>
      <c r="G88" t="s">
        <v>74</v>
      </c>
      <c r="H88" t="s">
        <v>108</v>
      </c>
      <c r="I88" t="s">
        <v>84</v>
      </c>
      <c r="J88" s="76">
        <f>'SUT_EU27 total'!$K$115</f>
        <v>8.7987828585017833E-3</v>
      </c>
    </row>
    <row r="89" spans="1:10" x14ac:dyDescent="0.35">
      <c r="A89" t="s">
        <v>18</v>
      </c>
      <c r="B89" t="s">
        <v>33</v>
      </c>
      <c r="C89" t="s">
        <v>93</v>
      </c>
      <c r="D89" t="s">
        <v>81</v>
      </c>
      <c r="E89" t="s">
        <v>101</v>
      </c>
      <c r="F89" t="s">
        <v>73</v>
      </c>
      <c r="G89" t="s">
        <v>74</v>
      </c>
      <c r="H89" t="s">
        <v>108</v>
      </c>
      <c r="I89" t="s">
        <v>84</v>
      </c>
      <c r="J89" s="4" cm="1">
        <f t="array" ref="J89:J91">'SUT_EU27 total'!$K$117:$K$119</f>
        <v>0</v>
      </c>
    </row>
    <row r="90" spans="1:10" x14ac:dyDescent="0.35">
      <c r="A90" t="s">
        <v>18</v>
      </c>
      <c r="B90" t="s">
        <v>33</v>
      </c>
      <c r="C90" t="s">
        <v>93</v>
      </c>
      <c r="D90" t="s">
        <v>81</v>
      </c>
      <c r="E90" t="s">
        <v>104</v>
      </c>
      <c r="F90" t="s">
        <v>73</v>
      </c>
      <c r="G90" t="s">
        <v>74</v>
      </c>
      <c r="H90" t="s">
        <v>108</v>
      </c>
      <c r="I90" t="s">
        <v>84</v>
      </c>
      <c r="J90" s="4">
        <v>0</v>
      </c>
    </row>
    <row r="91" spans="1:10" x14ac:dyDescent="0.35">
      <c r="A91" t="s">
        <v>18</v>
      </c>
      <c r="B91" t="s">
        <v>33</v>
      </c>
      <c r="C91" t="s">
        <v>93</v>
      </c>
      <c r="D91" t="s">
        <v>81</v>
      </c>
      <c r="E91" t="s">
        <v>106</v>
      </c>
      <c r="F91" t="s">
        <v>73</v>
      </c>
      <c r="G91" t="s">
        <v>74</v>
      </c>
      <c r="H91" t="s">
        <v>108</v>
      </c>
      <c r="I91" t="s">
        <v>84</v>
      </c>
      <c r="J91" s="4">
        <v>0</v>
      </c>
    </row>
    <row r="92" spans="1:10" x14ac:dyDescent="0.35">
      <c r="A92" t="s">
        <v>18</v>
      </c>
      <c r="B92" t="s">
        <v>33</v>
      </c>
      <c r="C92" t="s">
        <v>73</v>
      </c>
      <c r="D92" t="s">
        <v>81</v>
      </c>
      <c r="E92" t="s">
        <v>119</v>
      </c>
      <c r="F92" t="s">
        <v>73</v>
      </c>
      <c r="G92" t="s">
        <v>74</v>
      </c>
      <c r="H92" t="s">
        <v>123</v>
      </c>
      <c r="I92" t="s">
        <v>84</v>
      </c>
      <c r="J92" s="76">
        <f>'SUT_EU27 total'!$L$22</f>
        <v>1.9500181678711294E-2</v>
      </c>
    </row>
    <row r="93" spans="1:10" x14ac:dyDescent="0.35">
      <c r="A93" t="s">
        <v>18</v>
      </c>
      <c r="B93" t="s">
        <v>33</v>
      </c>
      <c r="C93" t="s">
        <v>73</v>
      </c>
      <c r="D93" t="s">
        <v>81</v>
      </c>
      <c r="E93" t="s">
        <v>124</v>
      </c>
      <c r="F93" t="s">
        <v>73</v>
      </c>
      <c r="G93" t="s">
        <v>74</v>
      </c>
      <c r="H93" t="s">
        <v>123</v>
      </c>
      <c r="I93" t="s">
        <v>84</v>
      </c>
      <c r="J93" s="76" cm="1">
        <f t="array" ref="J93:J101">'SUT_EU27 total'!$L$26:$L$34</f>
        <v>1.9404661061278542E-3</v>
      </c>
    </row>
    <row r="94" spans="1:10" x14ac:dyDescent="0.35">
      <c r="A94" t="s">
        <v>18</v>
      </c>
      <c r="B94" t="s">
        <v>33</v>
      </c>
      <c r="C94" t="s">
        <v>73</v>
      </c>
      <c r="D94" t="s">
        <v>81</v>
      </c>
      <c r="E94" t="s">
        <v>117</v>
      </c>
      <c r="F94" t="s">
        <v>73</v>
      </c>
      <c r="G94" t="s">
        <v>74</v>
      </c>
      <c r="H94" t="s">
        <v>123</v>
      </c>
      <c r="I94" t="s">
        <v>84</v>
      </c>
      <c r="J94" s="4">
        <v>5.8423628191201782E-3</v>
      </c>
    </row>
    <row r="95" spans="1:10" x14ac:dyDescent="0.35">
      <c r="A95" t="s">
        <v>18</v>
      </c>
      <c r="B95" t="s">
        <v>33</v>
      </c>
      <c r="C95" t="s">
        <v>73</v>
      </c>
      <c r="D95" t="s">
        <v>81</v>
      </c>
      <c r="E95" t="s">
        <v>82</v>
      </c>
      <c r="F95" t="s">
        <v>73</v>
      </c>
      <c r="G95" t="s">
        <v>74</v>
      </c>
      <c r="H95" t="s">
        <v>123</v>
      </c>
      <c r="I95" t="s">
        <v>84</v>
      </c>
      <c r="J95" s="4">
        <v>4.8981233243967828E-4</v>
      </c>
    </row>
    <row r="96" spans="1:10" x14ac:dyDescent="0.35">
      <c r="A96" t="s">
        <v>18</v>
      </c>
      <c r="B96" t="s">
        <v>33</v>
      </c>
      <c r="C96" t="s">
        <v>73</v>
      </c>
      <c r="D96" t="s">
        <v>81</v>
      </c>
      <c r="E96" t="s">
        <v>125</v>
      </c>
      <c r="F96" t="s">
        <v>73</v>
      </c>
      <c r="G96" t="s">
        <v>74</v>
      </c>
      <c r="H96" t="s">
        <v>123</v>
      </c>
      <c r="I96" t="s">
        <v>84</v>
      </c>
      <c r="J96" s="4">
        <v>2.4658201215687387E-3</v>
      </c>
    </row>
    <row r="97" spans="1:10" x14ac:dyDescent="0.35">
      <c r="A97" t="s">
        <v>18</v>
      </c>
      <c r="B97" t="s">
        <v>33</v>
      </c>
      <c r="C97" t="s">
        <v>73</v>
      </c>
      <c r="D97" t="s">
        <v>81</v>
      </c>
      <c r="E97" t="s">
        <v>122</v>
      </c>
      <c r="F97" t="s">
        <v>73</v>
      </c>
      <c r="G97" t="s">
        <v>74</v>
      </c>
      <c r="H97" t="s">
        <v>123</v>
      </c>
      <c r="I97" t="s">
        <v>84</v>
      </c>
      <c r="J97" s="4">
        <v>4.922711058263972E-4</v>
      </c>
    </row>
    <row r="98" spans="1:10" x14ac:dyDescent="0.35">
      <c r="A98" t="s">
        <v>18</v>
      </c>
      <c r="B98" t="s">
        <v>33</v>
      </c>
      <c r="C98" t="s">
        <v>73</v>
      </c>
      <c r="D98" t="s">
        <v>81</v>
      </c>
      <c r="E98" t="s">
        <v>126</v>
      </c>
      <c r="F98" t="s">
        <v>73</v>
      </c>
      <c r="G98" t="s">
        <v>74</v>
      </c>
      <c r="H98" t="s">
        <v>123</v>
      </c>
      <c r="I98" t="s">
        <v>84</v>
      </c>
      <c r="J98" s="4">
        <v>0</v>
      </c>
    </row>
    <row r="99" spans="1:10" x14ac:dyDescent="0.35">
      <c r="A99" t="s">
        <v>18</v>
      </c>
      <c r="B99" t="s">
        <v>33</v>
      </c>
      <c r="C99" t="s">
        <v>73</v>
      </c>
      <c r="D99" t="s">
        <v>81</v>
      </c>
      <c r="E99" t="s">
        <v>101</v>
      </c>
      <c r="F99" t="s">
        <v>73</v>
      </c>
      <c r="G99" t="s">
        <v>74</v>
      </c>
      <c r="H99" t="s">
        <v>123</v>
      </c>
      <c r="I99" t="s">
        <v>84</v>
      </c>
      <c r="J99" s="76">
        <v>3.7860913795851507E-4</v>
      </c>
    </row>
    <row r="100" spans="1:10" x14ac:dyDescent="0.35">
      <c r="A100" t="s">
        <v>18</v>
      </c>
      <c r="B100" t="s">
        <v>33</v>
      </c>
      <c r="C100" t="s">
        <v>73</v>
      </c>
      <c r="D100" t="s">
        <v>81</v>
      </c>
      <c r="E100" t="s">
        <v>104</v>
      </c>
      <c r="F100" t="s">
        <v>73</v>
      </c>
      <c r="G100" t="s">
        <v>74</v>
      </c>
      <c r="H100" t="s">
        <v>123</v>
      </c>
      <c r="I100" t="s">
        <v>84</v>
      </c>
      <c r="J100" s="4">
        <v>7.1686251377883477E-4</v>
      </c>
    </row>
    <row r="101" spans="1:10" x14ac:dyDescent="0.35">
      <c r="A101" t="s">
        <v>18</v>
      </c>
      <c r="B101" t="s">
        <v>33</v>
      </c>
      <c r="C101" t="s">
        <v>73</v>
      </c>
      <c r="D101" t="s">
        <v>81</v>
      </c>
      <c r="E101" t="s">
        <v>106</v>
      </c>
      <c r="F101" t="s">
        <v>73</v>
      </c>
      <c r="G101" t="s">
        <v>74</v>
      </c>
      <c r="H101" t="s">
        <v>123</v>
      </c>
      <c r="I101" t="s">
        <v>84</v>
      </c>
      <c r="J101" s="4">
        <v>2.438307869996036E-3</v>
      </c>
    </row>
    <row r="102" spans="1:10" x14ac:dyDescent="0.35">
      <c r="A102" t="s">
        <v>18</v>
      </c>
      <c r="B102" t="s">
        <v>33</v>
      </c>
      <c r="C102" t="s">
        <v>88</v>
      </c>
      <c r="D102" t="s">
        <v>81</v>
      </c>
      <c r="E102" t="s">
        <v>119</v>
      </c>
      <c r="F102" t="s">
        <v>73</v>
      </c>
      <c r="G102" t="s">
        <v>74</v>
      </c>
      <c r="H102" t="s">
        <v>123</v>
      </c>
      <c r="I102" t="s">
        <v>84</v>
      </c>
      <c r="J102" s="76">
        <f>'SUT_EU27 total'!$L$39</f>
        <v>0.16108845734587587</v>
      </c>
    </row>
    <row r="103" spans="1:10" x14ac:dyDescent="0.35">
      <c r="A103" t="s">
        <v>18</v>
      </c>
      <c r="B103" t="s">
        <v>33</v>
      </c>
      <c r="C103" t="s">
        <v>88</v>
      </c>
      <c r="D103" t="s">
        <v>81</v>
      </c>
      <c r="E103" t="s">
        <v>124</v>
      </c>
      <c r="F103" t="s">
        <v>73</v>
      </c>
      <c r="G103" t="s">
        <v>74</v>
      </c>
      <c r="H103" t="s">
        <v>123</v>
      </c>
      <c r="I103" t="s">
        <v>84</v>
      </c>
      <c r="J103" s="76" cm="1">
        <f t="array" ref="J103:J111">'SUT_EU27 total'!$M$43:$M$51</f>
        <v>5.0558836222750793E-4</v>
      </c>
    </row>
    <row r="104" spans="1:10" x14ac:dyDescent="0.35">
      <c r="A104" t="s">
        <v>18</v>
      </c>
      <c r="B104" t="s">
        <v>33</v>
      </c>
      <c r="C104" t="s">
        <v>88</v>
      </c>
      <c r="D104" t="s">
        <v>81</v>
      </c>
      <c r="E104" t="s">
        <v>117</v>
      </c>
      <c r="F104" t="s">
        <v>73</v>
      </c>
      <c r="G104" t="s">
        <v>74</v>
      </c>
      <c r="H104" t="s">
        <v>123</v>
      </c>
      <c r="I104" t="s">
        <v>84</v>
      </c>
      <c r="J104" s="4">
        <v>4.8514464106651379E-3</v>
      </c>
    </row>
    <row r="105" spans="1:10" x14ac:dyDescent="0.35">
      <c r="A105" t="s">
        <v>18</v>
      </c>
      <c r="B105" t="s">
        <v>33</v>
      </c>
      <c r="C105" t="s">
        <v>88</v>
      </c>
      <c r="D105" t="s">
        <v>81</v>
      </c>
      <c r="E105" t="s">
        <v>82</v>
      </c>
      <c r="F105" t="s">
        <v>73</v>
      </c>
      <c r="G105" t="s">
        <v>74</v>
      </c>
      <c r="H105" t="s">
        <v>123</v>
      </c>
      <c r="I105" t="s">
        <v>84</v>
      </c>
      <c r="J105" s="4">
        <v>1.109418436791091E-2</v>
      </c>
    </row>
    <row r="106" spans="1:10" x14ac:dyDescent="0.35">
      <c r="A106" t="s">
        <v>18</v>
      </c>
      <c r="B106" t="s">
        <v>33</v>
      </c>
      <c r="C106" t="s">
        <v>88</v>
      </c>
      <c r="D106" t="s">
        <v>81</v>
      </c>
      <c r="E106" t="s">
        <v>125</v>
      </c>
      <c r="F106" t="s">
        <v>73</v>
      </c>
      <c r="G106" t="s">
        <v>74</v>
      </c>
      <c r="H106" t="s">
        <v>123</v>
      </c>
      <c r="I106" t="s">
        <v>84</v>
      </c>
      <c r="J106" s="4">
        <v>2.890870278990243E-5</v>
      </c>
    </row>
    <row r="107" spans="1:10" x14ac:dyDescent="0.35">
      <c r="A107" t="s">
        <v>18</v>
      </c>
      <c r="B107" t="s">
        <v>33</v>
      </c>
      <c r="C107" t="s">
        <v>88</v>
      </c>
      <c r="D107" t="s">
        <v>81</v>
      </c>
      <c r="E107" t="s">
        <v>122</v>
      </c>
      <c r="F107" t="s">
        <v>73</v>
      </c>
      <c r="G107" t="s">
        <v>74</v>
      </c>
      <c r="H107" t="s">
        <v>123</v>
      </c>
      <c r="I107" t="s">
        <v>84</v>
      </c>
      <c r="J107" s="4">
        <v>0</v>
      </c>
    </row>
    <row r="108" spans="1:10" x14ac:dyDescent="0.35">
      <c r="A108" t="s">
        <v>18</v>
      </c>
      <c r="B108" t="s">
        <v>33</v>
      </c>
      <c r="C108" t="s">
        <v>88</v>
      </c>
      <c r="D108" t="s">
        <v>81</v>
      </c>
      <c r="E108" t="s">
        <v>126</v>
      </c>
      <c r="F108" t="s">
        <v>73</v>
      </c>
      <c r="G108" t="s">
        <v>74</v>
      </c>
      <c r="H108" t="s">
        <v>123</v>
      </c>
      <c r="I108" t="s">
        <v>84</v>
      </c>
      <c r="J108" s="4">
        <v>2.8514320987501449E-3</v>
      </c>
    </row>
    <row r="109" spans="1:10" x14ac:dyDescent="0.35">
      <c r="A109" t="s">
        <v>18</v>
      </c>
      <c r="B109" t="s">
        <v>33</v>
      </c>
      <c r="C109" t="s">
        <v>88</v>
      </c>
      <c r="D109" t="s">
        <v>81</v>
      </c>
      <c r="E109" t="s">
        <v>101</v>
      </c>
      <c r="F109" t="s">
        <v>73</v>
      </c>
      <c r="G109" t="s">
        <v>74</v>
      </c>
      <c r="H109" t="s">
        <v>123</v>
      </c>
      <c r="I109" t="s">
        <v>84</v>
      </c>
      <c r="J109" s="4">
        <v>0</v>
      </c>
    </row>
    <row r="110" spans="1:10" x14ac:dyDescent="0.35">
      <c r="A110" t="s">
        <v>18</v>
      </c>
      <c r="B110" t="s">
        <v>33</v>
      </c>
      <c r="C110" t="s">
        <v>88</v>
      </c>
      <c r="D110" t="s">
        <v>81</v>
      </c>
      <c r="E110" t="s">
        <v>104</v>
      </c>
      <c r="F110" t="s">
        <v>73</v>
      </c>
      <c r="G110" t="s">
        <v>74</v>
      </c>
      <c r="H110" t="s">
        <v>123</v>
      </c>
      <c r="I110" t="s">
        <v>84</v>
      </c>
      <c r="J110" s="4">
        <v>0</v>
      </c>
    </row>
    <row r="111" spans="1:10" x14ac:dyDescent="0.35">
      <c r="A111" t="s">
        <v>18</v>
      </c>
      <c r="B111" t="s">
        <v>33</v>
      </c>
      <c r="C111" t="s">
        <v>88</v>
      </c>
      <c r="D111" t="s">
        <v>81</v>
      </c>
      <c r="E111" t="s">
        <v>106</v>
      </c>
      <c r="F111" t="s">
        <v>73</v>
      </c>
      <c r="G111" t="s">
        <v>74</v>
      </c>
      <c r="H111" t="s">
        <v>123</v>
      </c>
      <c r="I111" t="s">
        <v>84</v>
      </c>
      <c r="J111" s="4">
        <v>0</v>
      </c>
    </row>
    <row r="112" spans="1:10" x14ac:dyDescent="0.35">
      <c r="A112" t="s">
        <v>18</v>
      </c>
      <c r="B112" t="s">
        <v>33</v>
      </c>
      <c r="C112" t="s">
        <v>90</v>
      </c>
      <c r="D112" t="s">
        <v>81</v>
      </c>
      <c r="E112" t="s">
        <v>119</v>
      </c>
      <c r="F112" t="s">
        <v>73</v>
      </c>
      <c r="G112" t="s">
        <v>74</v>
      </c>
      <c r="H112" t="s">
        <v>123</v>
      </c>
      <c r="I112" t="s">
        <v>84</v>
      </c>
      <c r="J112" s="76">
        <f>'SUT_EU27 total'!$M$56</f>
        <v>2.949251079979006E-2</v>
      </c>
    </row>
    <row r="113" spans="1:10" x14ac:dyDescent="0.35">
      <c r="A113" t="s">
        <v>18</v>
      </c>
      <c r="B113" t="s">
        <v>33</v>
      </c>
      <c r="C113" t="s">
        <v>90</v>
      </c>
      <c r="D113" t="s">
        <v>81</v>
      </c>
      <c r="E113" t="s">
        <v>124</v>
      </c>
      <c r="F113" t="s">
        <v>73</v>
      </c>
      <c r="G113" t="s">
        <v>74</v>
      </c>
      <c r="H113" t="s">
        <v>123</v>
      </c>
      <c r="I113" t="s">
        <v>84</v>
      </c>
      <c r="J113" s="76" cm="1">
        <f t="array" ref="J113:J121">'SUT_EU27 total'!$L$60:$L$68</f>
        <v>2.1047443073980527E-5</v>
      </c>
    </row>
    <row r="114" spans="1:10" x14ac:dyDescent="0.35">
      <c r="A114" t="s">
        <v>18</v>
      </c>
      <c r="B114" t="s">
        <v>33</v>
      </c>
      <c r="C114" t="s">
        <v>90</v>
      </c>
      <c r="D114" t="s">
        <v>81</v>
      </c>
      <c r="E114" t="s">
        <v>117</v>
      </c>
      <c r="F114" t="s">
        <v>73</v>
      </c>
      <c r="G114" t="s">
        <v>74</v>
      </c>
      <c r="H114" t="s">
        <v>123</v>
      </c>
      <c r="I114" t="s">
        <v>84</v>
      </c>
      <c r="J114" s="4">
        <v>5.8414015621608938E-3</v>
      </c>
    </row>
    <row r="115" spans="1:10" x14ac:dyDescent="0.35">
      <c r="A115" t="s">
        <v>18</v>
      </c>
      <c r="B115" t="s">
        <v>33</v>
      </c>
      <c r="C115" t="s">
        <v>90</v>
      </c>
      <c r="D115" t="s">
        <v>81</v>
      </c>
      <c r="E115" t="s">
        <v>82</v>
      </c>
      <c r="F115" t="s">
        <v>73</v>
      </c>
      <c r="G115" t="s">
        <v>74</v>
      </c>
      <c r="H115" t="s">
        <v>123</v>
      </c>
      <c r="I115" t="s">
        <v>84</v>
      </c>
      <c r="J115" s="4">
        <v>1.4521138379047227E-3</v>
      </c>
    </row>
    <row r="116" spans="1:10" x14ac:dyDescent="0.35">
      <c r="A116" t="s">
        <v>18</v>
      </c>
      <c r="B116" t="s">
        <v>33</v>
      </c>
      <c r="C116" t="s">
        <v>90</v>
      </c>
      <c r="D116" t="s">
        <v>81</v>
      </c>
      <c r="E116" t="s">
        <v>125</v>
      </c>
      <c r="F116" t="s">
        <v>73</v>
      </c>
      <c r="G116" t="s">
        <v>74</v>
      </c>
      <c r="H116" t="s">
        <v>123</v>
      </c>
      <c r="I116" t="s">
        <v>84</v>
      </c>
      <c r="J116" s="4">
        <v>6.5130870114372285E-5</v>
      </c>
    </row>
    <row r="117" spans="1:10" x14ac:dyDescent="0.35">
      <c r="A117" t="s">
        <v>18</v>
      </c>
      <c r="B117" t="s">
        <v>33</v>
      </c>
      <c r="C117" t="s">
        <v>90</v>
      </c>
      <c r="D117" t="s">
        <v>81</v>
      </c>
      <c r="E117" t="s">
        <v>122</v>
      </c>
      <c r="F117" t="s">
        <v>73</v>
      </c>
      <c r="G117" t="s">
        <v>74</v>
      </c>
      <c r="H117" t="s">
        <v>123</v>
      </c>
      <c r="I117" t="s">
        <v>84</v>
      </c>
      <c r="J117" s="4">
        <v>7.9476813317479189E-4</v>
      </c>
    </row>
    <row r="118" spans="1:10" x14ac:dyDescent="0.35">
      <c r="A118" t="s">
        <v>18</v>
      </c>
      <c r="B118" t="s">
        <v>33</v>
      </c>
      <c r="C118" t="s">
        <v>90</v>
      </c>
      <c r="D118" t="s">
        <v>81</v>
      </c>
      <c r="E118" t="s">
        <v>126</v>
      </c>
      <c r="F118" t="s">
        <v>73</v>
      </c>
      <c r="G118" t="s">
        <v>74</v>
      </c>
      <c r="H118" t="s">
        <v>123</v>
      </c>
      <c r="I118" t="s">
        <v>84</v>
      </c>
      <c r="J118" s="4">
        <v>8.4821183458843076E-3</v>
      </c>
    </row>
    <row r="119" spans="1:10" x14ac:dyDescent="0.35">
      <c r="A119" t="s">
        <v>18</v>
      </c>
      <c r="B119" t="s">
        <v>33</v>
      </c>
      <c r="C119" t="s">
        <v>90</v>
      </c>
      <c r="D119" t="s">
        <v>81</v>
      </c>
      <c r="E119" t="s">
        <v>101</v>
      </c>
      <c r="F119" t="s">
        <v>73</v>
      </c>
      <c r="G119" t="s">
        <v>74</v>
      </c>
      <c r="H119" t="s">
        <v>123</v>
      </c>
      <c r="I119" t="s">
        <v>84</v>
      </c>
      <c r="J119" s="4">
        <v>0</v>
      </c>
    </row>
    <row r="120" spans="1:10" x14ac:dyDescent="0.35">
      <c r="A120" t="s">
        <v>18</v>
      </c>
      <c r="B120" t="s">
        <v>33</v>
      </c>
      <c r="C120" t="s">
        <v>90</v>
      </c>
      <c r="D120" t="s">
        <v>81</v>
      </c>
      <c r="E120" t="s">
        <v>104</v>
      </c>
      <c r="F120" t="s">
        <v>73</v>
      </c>
      <c r="G120" t="s">
        <v>74</v>
      </c>
      <c r="H120" t="s">
        <v>123</v>
      </c>
      <c r="I120" t="s">
        <v>84</v>
      </c>
      <c r="J120" s="4">
        <v>0</v>
      </c>
    </row>
    <row r="121" spans="1:10" x14ac:dyDescent="0.35">
      <c r="A121" t="s">
        <v>18</v>
      </c>
      <c r="B121" t="s">
        <v>33</v>
      </c>
      <c r="C121" t="s">
        <v>90</v>
      </c>
      <c r="D121" t="s">
        <v>81</v>
      </c>
      <c r="E121" t="s">
        <v>106</v>
      </c>
      <c r="F121" t="s">
        <v>73</v>
      </c>
      <c r="G121" t="s">
        <v>74</v>
      </c>
      <c r="H121" t="s">
        <v>123</v>
      </c>
      <c r="I121" t="s">
        <v>84</v>
      </c>
      <c r="J121" s="4">
        <v>0</v>
      </c>
    </row>
    <row r="122" spans="1:10" x14ac:dyDescent="0.35">
      <c r="A122" t="s">
        <v>18</v>
      </c>
      <c r="B122" t="s">
        <v>33</v>
      </c>
      <c r="C122" t="s">
        <v>91</v>
      </c>
      <c r="D122" t="s">
        <v>81</v>
      </c>
      <c r="E122" t="s">
        <v>119</v>
      </c>
      <c r="F122" t="s">
        <v>73</v>
      </c>
      <c r="G122" t="s">
        <v>74</v>
      </c>
      <c r="H122" t="s">
        <v>123</v>
      </c>
      <c r="I122" t="s">
        <v>84</v>
      </c>
      <c r="J122" s="76">
        <f>'SUT_EU27 total'!$L$73</f>
        <v>0.15097500908393557</v>
      </c>
    </row>
    <row r="123" spans="1:10" x14ac:dyDescent="0.35">
      <c r="A123" t="s">
        <v>18</v>
      </c>
      <c r="B123" t="s">
        <v>33</v>
      </c>
      <c r="C123" t="s">
        <v>91</v>
      </c>
      <c r="D123" t="s">
        <v>81</v>
      </c>
      <c r="E123" t="s">
        <v>124</v>
      </c>
      <c r="F123" t="s">
        <v>73</v>
      </c>
      <c r="G123" t="s">
        <v>74</v>
      </c>
      <c r="H123" t="s">
        <v>123</v>
      </c>
      <c r="I123" t="s">
        <v>84</v>
      </c>
      <c r="J123" s="76" cm="1">
        <f t="array" ref="J123:J131">'SUT_EU27 total'!$L$77:$L$85</f>
        <v>6.7728942399646885E-5</v>
      </c>
    </row>
    <row r="124" spans="1:10" x14ac:dyDescent="0.35">
      <c r="A124" t="s">
        <v>18</v>
      </c>
      <c r="B124" t="s">
        <v>33</v>
      </c>
      <c r="C124" t="s">
        <v>91</v>
      </c>
      <c r="D124" t="s">
        <v>81</v>
      </c>
      <c r="E124" t="s">
        <v>117</v>
      </c>
      <c r="F124" t="s">
        <v>73</v>
      </c>
      <c r="G124" t="s">
        <v>74</v>
      </c>
      <c r="H124" t="s">
        <v>123</v>
      </c>
      <c r="I124" t="s">
        <v>84</v>
      </c>
      <c r="J124" s="4">
        <v>5.6233849622410815E-3</v>
      </c>
    </row>
    <row r="125" spans="1:10" x14ac:dyDescent="0.35">
      <c r="A125" t="s">
        <v>18</v>
      </c>
      <c r="B125" t="s">
        <v>33</v>
      </c>
      <c r="C125" t="s">
        <v>91</v>
      </c>
      <c r="D125" t="s">
        <v>81</v>
      </c>
      <c r="E125" t="s">
        <v>82</v>
      </c>
      <c r="F125" t="s">
        <v>73</v>
      </c>
      <c r="G125" t="s">
        <v>74</v>
      </c>
      <c r="H125" t="s">
        <v>123</v>
      </c>
      <c r="I125" t="s">
        <v>84</v>
      </c>
      <c r="J125" s="4">
        <v>1.8068055269127655E-3</v>
      </c>
    </row>
    <row r="126" spans="1:10" x14ac:dyDescent="0.35">
      <c r="A126" t="s">
        <v>18</v>
      </c>
      <c r="B126" t="s">
        <v>33</v>
      </c>
      <c r="C126" t="s">
        <v>91</v>
      </c>
      <c r="D126" t="s">
        <v>81</v>
      </c>
      <c r="E126" t="s">
        <v>125</v>
      </c>
      <c r="F126" t="s">
        <v>73</v>
      </c>
      <c r="G126" t="s">
        <v>74</v>
      </c>
      <c r="H126" t="s">
        <v>123</v>
      </c>
      <c r="I126" t="s">
        <v>84</v>
      </c>
      <c r="J126" s="4">
        <v>5.6492118062760293E-6</v>
      </c>
    </row>
    <row r="127" spans="1:10" x14ac:dyDescent="0.35">
      <c r="A127" t="s">
        <v>18</v>
      </c>
      <c r="B127" t="s">
        <v>33</v>
      </c>
      <c r="C127" t="s">
        <v>91</v>
      </c>
      <c r="D127" t="s">
        <v>81</v>
      </c>
      <c r="E127" t="s">
        <v>122</v>
      </c>
      <c r="F127" t="s">
        <v>73</v>
      </c>
      <c r="G127" t="s">
        <v>74</v>
      </c>
      <c r="H127" t="s">
        <v>123</v>
      </c>
      <c r="I127" t="s">
        <v>84</v>
      </c>
      <c r="J127" s="4">
        <v>0</v>
      </c>
    </row>
    <row r="128" spans="1:10" x14ac:dyDescent="0.35">
      <c r="A128" t="s">
        <v>18</v>
      </c>
      <c r="B128" t="s">
        <v>33</v>
      </c>
      <c r="C128" t="s">
        <v>91</v>
      </c>
      <c r="D128" t="s">
        <v>81</v>
      </c>
      <c r="E128" t="s">
        <v>126</v>
      </c>
      <c r="F128" t="s">
        <v>73</v>
      </c>
      <c r="G128" t="s">
        <v>74</v>
      </c>
      <c r="H128" t="s">
        <v>123</v>
      </c>
      <c r="I128" t="s">
        <v>84</v>
      </c>
      <c r="J128" s="4">
        <v>8.1093795177776388E-4</v>
      </c>
    </row>
    <row r="129" spans="1:10" x14ac:dyDescent="0.35">
      <c r="A129" t="s">
        <v>18</v>
      </c>
      <c r="B129" t="s">
        <v>33</v>
      </c>
      <c r="C129" t="s">
        <v>91</v>
      </c>
      <c r="D129" t="s">
        <v>81</v>
      </c>
      <c r="E129" t="s">
        <v>101</v>
      </c>
      <c r="F129" t="s">
        <v>73</v>
      </c>
      <c r="G129" t="s">
        <v>74</v>
      </c>
      <c r="H129" t="s">
        <v>123</v>
      </c>
      <c r="I129" t="s">
        <v>84</v>
      </c>
      <c r="J129" s="4">
        <v>0</v>
      </c>
    </row>
    <row r="130" spans="1:10" x14ac:dyDescent="0.35">
      <c r="A130" t="s">
        <v>18</v>
      </c>
      <c r="B130" t="s">
        <v>33</v>
      </c>
      <c r="C130" t="s">
        <v>91</v>
      </c>
      <c r="D130" t="s">
        <v>81</v>
      </c>
      <c r="E130" t="s">
        <v>104</v>
      </c>
      <c r="F130" t="s">
        <v>73</v>
      </c>
      <c r="G130" t="s">
        <v>74</v>
      </c>
      <c r="H130" t="s">
        <v>123</v>
      </c>
      <c r="I130" t="s">
        <v>84</v>
      </c>
      <c r="J130" s="4">
        <v>0</v>
      </c>
    </row>
    <row r="131" spans="1:10" x14ac:dyDescent="0.35">
      <c r="A131" t="s">
        <v>18</v>
      </c>
      <c r="B131" t="s">
        <v>33</v>
      </c>
      <c r="C131" t="s">
        <v>91</v>
      </c>
      <c r="D131" t="s">
        <v>81</v>
      </c>
      <c r="E131" t="s">
        <v>106</v>
      </c>
      <c r="F131" t="s">
        <v>73</v>
      </c>
      <c r="G131" t="s">
        <v>74</v>
      </c>
      <c r="H131" t="s">
        <v>123</v>
      </c>
      <c r="I131" t="s">
        <v>84</v>
      </c>
      <c r="J131" s="4">
        <v>0</v>
      </c>
    </row>
    <row r="132" spans="1:10" x14ac:dyDescent="0.35">
      <c r="A132" t="s">
        <v>18</v>
      </c>
      <c r="B132" t="s">
        <v>33</v>
      </c>
      <c r="C132" t="s">
        <v>92</v>
      </c>
      <c r="D132" t="s">
        <v>81</v>
      </c>
      <c r="E132" t="s">
        <v>119</v>
      </c>
      <c r="F132" t="s">
        <v>73</v>
      </c>
      <c r="G132" t="s">
        <v>74</v>
      </c>
      <c r="H132" t="s">
        <v>123</v>
      </c>
      <c r="I132" t="s">
        <v>84</v>
      </c>
      <c r="J132" s="76">
        <f>'SUT_EU27 total'!$L$90</f>
        <v>0.13886309499777949</v>
      </c>
    </row>
    <row r="133" spans="1:10" x14ac:dyDescent="0.35">
      <c r="A133" t="s">
        <v>18</v>
      </c>
      <c r="B133" t="s">
        <v>33</v>
      </c>
      <c r="C133" t="s">
        <v>92</v>
      </c>
      <c r="D133" t="s">
        <v>81</v>
      </c>
      <c r="E133" t="s">
        <v>124</v>
      </c>
      <c r="F133" t="s">
        <v>73</v>
      </c>
      <c r="G133" t="s">
        <v>74</v>
      </c>
      <c r="H133" t="s">
        <v>123</v>
      </c>
      <c r="I133" t="s">
        <v>84</v>
      </c>
      <c r="J133" s="76" cm="1">
        <f t="array" ref="J133:J141">'SUT_EU27 total'!$L$94:$L$102</f>
        <v>9.2968907089085616E-5</v>
      </c>
    </row>
    <row r="134" spans="1:10" x14ac:dyDescent="0.35">
      <c r="A134" t="s">
        <v>18</v>
      </c>
      <c r="B134" t="s">
        <v>33</v>
      </c>
      <c r="C134" t="s">
        <v>92</v>
      </c>
      <c r="D134" t="s">
        <v>81</v>
      </c>
      <c r="E134" t="s">
        <v>117</v>
      </c>
      <c r="F134" t="s">
        <v>73</v>
      </c>
      <c r="G134" t="s">
        <v>74</v>
      </c>
      <c r="H134" t="s">
        <v>123</v>
      </c>
      <c r="I134" t="s">
        <v>84</v>
      </c>
      <c r="J134" s="4">
        <v>0</v>
      </c>
    </row>
    <row r="135" spans="1:10" x14ac:dyDescent="0.35">
      <c r="A135" t="s">
        <v>18</v>
      </c>
      <c r="B135" t="s">
        <v>33</v>
      </c>
      <c r="C135" t="s">
        <v>92</v>
      </c>
      <c r="D135" t="s">
        <v>81</v>
      </c>
      <c r="E135" t="s">
        <v>82</v>
      </c>
      <c r="F135" t="s">
        <v>73</v>
      </c>
      <c r="G135" t="s">
        <v>74</v>
      </c>
      <c r="H135" t="s">
        <v>123</v>
      </c>
      <c r="I135" t="s">
        <v>84</v>
      </c>
      <c r="J135" s="4">
        <v>1.1251392039595793E-3</v>
      </c>
    </row>
    <row r="136" spans="1:10" x14ac:dyDescent="0.35">
      <c r="A136" t="s">
        <v>18</v>
      </c>
      <c r="B136" t="s">
        <v>33</v>
      </c>
      <c r="C136" t="s">
        <v>92</v>
      </c>
      <c r="D136" t="s">
        <v>81</v>
      </c>
      <c r="E136" t="s">
        <v>125</v>
      </c>
      <c r="F136" t="s">
        <v>73</v>
      </c>
      <c r="G136" t="s">
        <v>74</v>
      </c>
      <c r="H136" t="s">
        <v>123</v>
      </c>
      <c r="I136" t="s">
        <v>84</v>
      </c>
      <c r="J136" s="4">
        <v>5.0048817841215026E-7</v>
      </c>
    </row>
    <row r="137" spans="1:10" x14ac:dyDescent="0.35">
      <c r="A137" t="s">
        <v>18</v>
      </c>
      <c r="B137" t="s">
        <v>33</v>
      </c>
      <c r="C137" t="s">
        <v>92</v>
      </c>
      <c r="D137" t="s">
        <v>81</v>
      </c>
      <c r="E137" t="s">
        <v>122</v>
      </c>
      <c r="F137" t="s">
        <v>73</v>
      </c>
      <c r="G137" t="s">
        <v>74</v>
      </c>
      <c r="H137" t="s">
        <v>123</v>
      </c>
      <c r="I137" t="s">
        <v>84</v>
      </c>
      <c r="J137" s="4">
        <v>0</v>
      </c>
    </row>
    <row r="138" spans="1:10" x14ac:dyDescent="0.35">
      <c r="A138" t="s">
        <v>18</v>
      </c>
      <c r="B138" t="s">
        <v>33</v>
      </c>
      <c r="C138" t="s">
        <v>92</v>
      </c>
      <c r="D138" t="s">
        <v>81</v>
      </c>
      <c r="E138" t="s">
        <v>126</v>
      </c>
      <c r="F138" t="s">
        <v>73</v>
      </c>
      <c r="G138" t="s">
        <v>74</v>
      </c>
      <c r="H138" t="s">
        <v>123</v>
      </c>
      <c r="I138" t="s">
        <v>84</v>
      </c>
      <c r="J138" s="4">
        <v>0</v>
      </c>
    </row>
    <row r="139" spans="1:10" x14ac:dyDescent="0.35">
      <c r="A139" t="s">
        <v>18</v>
      </c>
      <c r="B139" t="s">
        <v>33</v>
      </c>
      <c r="C139" t="s">
        <v>92</v>
      </c>
      <c r="D139" t="s">
        <v>81</v>
      </c>
      <c r="E139" t="s">
        <v>101</v>
      </c>
      <c r="F139" t="s">
        <v>73</v>
      </c>
      <c r="G139" t="s">
        <v>74</v>
      </c>
      <c r="H139" t="s">
        <v>123</v>
      </c>
      <c r="I139" t="s">
        <v>84</v>
      </c>
      <c r="J139" s="4">
        <v>0</v>
      </c>
    </row>
    <row r="140" spans="1:10" x14ac:dyDescent="0.35">
      <c r="A140" t="s">
        <v>18</v>
      </c>
      <c r="B140" t="s">
        <v>33</v>
      </c>
      <c r="C140" t="s">
        <v>92</v>
      </c>
      <c r="D140" t="s">
        <v>81</v>
      </c>
      <c r="E140" t="s">
        <v>104</v>
      </c>
      <c r="F140" t="s">
        <v>73</v>
      </c>
      <c r="G140" t="s">
        <v>74</v>
      </c>
      <c r="H140" t="s">
        <v>123</v>
      </c>
      <c r="I140" t="s">
        <v>84</v>
      </c>
      <c r="J140" s="4">
        <v>0</v>
      </c>
    </row>
    <row r="141" spans="1:10" x14ac:dyDescent="0.35">
      <c r="A141" t="s">
        <v>18</v>
      </c>
      <c r="B141" t="s">
        <v>33</v>
      </c>
      <c r="C141" t="s">
        <v>92</v>
      </c>
      <c r="D141" t="s">
        <v>81</v>
      </c>
      <c r="E141" t="s">
        <v>106</v>
      </c>
      <c r="F141" t="s">
        <v>73</v>
      </c>
      <c r="G141" t="s">
        <v>74</v>
      </c>
      <c r="H141" t="s">
        <v>123</v>
      </c>
      <c r="I141" t="s">
        <v>84</v>
      </c>
      <c r="J141" s="4">
        <v>0</v>
      </c>
    </row>
    <row r="142" spans="1:10" x14ac:dyDescent="0.35">
      <c r="A142" t="s">
        <v>18</v>
      </c>
      <c r="B142" t="s">
        <v>33</v>
      </c>
      <c r="C142" t="s">
        <v>93</v>
      </c>
      <c r="D142" t="s">
        <v>81</v>
      </c>
      <c r="E142" t="s">
        <v>119</v>
      </c>
      <c r="F142" t="s">
        <v>73</v>
      </c>
      <c r="G142" t="s">
        <v>74</v>
      </c>
      <c r="H142" t="s">
        <v>123</v>
      </c>
      <c r="I142" t="s">
        <v>84</v>
      </c>
      <c r="J142" s="76">
        <f>'SUT_EU27 total'!$L$107</f>
        <v>1.0000807460939076</v>
      </c>
    </row>
    <row r="143" spans="1:10" x14ac:dyDescent="0.35">
      <c r="A143" t="s">
        <v>18</v>
      </c>
      <c r="B143" t="s">
        <v>33</v>
      </c>
      <c r="C143" t="s">
        <v>93</v>
      </c>
      <c r="D143" t="s">
        <v>81</v>
      </c>
      <c r="E143" t="s">
        <v>124</v>
      </c>
      <c r="F143" t="s">
        <v>73</v>
      </c>
      <c r="G143" t="s">
        <v>74</v>
      </c>
      <c r="H143" t="s">
        <v>123</v>
      </c>
      <c r="I143" t="s">
        <v>84</v>
      </c>
      <c r="J143" s="76" cm="1">
        <f t="array" ref="J143:J151">'SUT_EU27 total'!$L$111:$L$119</f>
        <v>3.7052409430862396E-4</v>
      </c>
    </row>
    <row r="144" spans="1:10" x14ac:dyDescent="0.35">
      <c r="A144" t="s">
        <v>18</v>
      </c>
      <c r="B144" t="s">
        <v>33</v>
      </c>
      <c r="C144" t="s">
        <v>93</v>
      </c>
      <c r="D144" t="s">
        <v>81</v>
      </c>
      <c r="E144" t="s">
        <v>117</v>
      </c>
      <c r="F144" t="s">
        <v>73</v>
      </c>
      <c r="G144" t="s">
        <v>74</v>
      </c>
      <c r="H144" t="s">
        <v>123</v>
      </c>
      <c r="I144" t="s">
        <v>84</v>
      </c>
      <c r="J144" s="4">
        <v>5.8414042458127093E-3</v>
      </c>
    </row>
    <row r="145" spans="1:10" x14ac:dyDescent="0.35">
      <c r="A145" t="s">
        <v>18</v>
      </c>
      <c r="B145" t="s">
        <v>33</v>
      </c>
      <c r="C145" t="s">
        <v>93</v>
      </c>
      <c r="D145" t="s">
        <v>81</v>
      </c>
      <c r="E145" t="s">
        <v>82</v>
      </c>
      <c r="F145" t="s">
        <v>73</v>
      </c>
      <c r="G145" t="s">
        <v>74</v>
      </c>
      <c r="H145" t="s">
        <v>123</v>
      </c>
      <c r="I145" t="s">
        <v>84</v>
      </c>
      <c r="J145" s="4">
        <v>5.0319447308723453E-3</v>
      </c>
    </row>
    <row r="146" spans="1:10" x14ac:dyDescent="0.35">
      <c r="A146" t="s">
        <v>18</v>
      </c>
      <c r="B146" t="s">
        <v>33</v>
      </c>
      <c r="C146" t="s">
        <v>93</v>
      </c>
      <c r="D146" t="s">
        <v>81</v>
      </c>
      <c r="E146" t="s">
        <v>125</v>
      </c>
      <c r="F146" t="s">
        <v>73</v>
      </c>
      <c r="G146" t="s">
        <v>74</v>
      </c>
      <c r="H146" t="s">
        <v>123</v>
      </c>
      <c r="I146" t="s">
        <v>84</v>
      </c>
      <c r="J146" s="4">
        <v>4.336096678710085E-4</v>
      </c>
    </row>
    <row r="147" spans="1:10" x14ac:dyDescent="0.35">
      <c r="A147" t="s">
        <v>18</v>
      </c>
      <c r="B147" t="s">
        <v>33</v>
      </c>
      <c r="C147" t="s">
        <v>93</v>
      </c>
      <c r="D147" t="s">
        <v>81</v>
      </c>
      <c r="E147" t="s">
        <v>122</v>
      </c>
      <c r="F147" t="s">
        <v>73</v>
      </c>
      <c r="G147" t="s">
        <v>74</v>
      </c>
      <c r="H147" t="s">
        <v>123</v>
      </c>
      <c r="I147" t="s">
        <v>84</v>
      </c>
      <c r="J147" s="4">
        <v>2.7129607609988112E-3</v>
      </c>
    </row>
    <row r="148" spans="1:10" x14ac:dyDescent="0.35">
      <c r="A148" t="s">
        <v>18</v>
      </c>
      <c r="B148" t="s">
        <v>33</v>
      </c>
      <c r="C148" t="s">
        <v>93</v>
      </c>
      <c r="D148" t="s">
        <v>81</v>
      </c>
      <c r="E148" t="s">
        <v>126</v>
      </c>
      <c r="F148" t="s">
        <v>73</v>
      </c>
      <c r="G148" t="s">
        <v>74</v>
      </c>
      <c r="H148" t="s">
        <v>123</v>
      </c>
      <c r="I148" t="s">
        <v>84</v>
      </c>
      <c r="J148" s="4">
        <v>4.3855511603587784E-2</v>
      </c>
    </row>
    <row r="149" spans="1:10" x14ac:dyDescent="0.35">
      <c r="A149" t="s">
        <v>18</v>
      </c>
      <c r="B149" t="s">
        <v>33</v>
      </c>
      <c r="C149" t="s">
        <v>93</v>
      </c>
      <c r="D149" t="s">
        <v>81</v>
      </c>
      <c r="E149" t="s">
        <v>101</v>
      </c>
      <c r="F149" t="s">
        <v>73</v>
      </c>
      <c r="G149" t="s">
        <v>74</v>
      </c>
      <c r="H149" t="s">
        <v>123</v>
      </c>
      <c r="I149" t="s">
        <v>84</v>
      </c>
      <c r="J149" s="4">
        <v>0</v>
      </c>
    </row>
    <row r="150" spans="1:10" x14ac:dyDescent="0.35">
      <c r="A150" t="s">
        <v>18</v>
      </c>
      <c r="B150" t="s">
        <v>33</v>
      </c>
      <c r="C150" t="s">
        <v>93</v>
      </c>
      <c r="D150" t="s">
        <v>81</v>
      </c>
      <c r="E150" t="s">
        <v>104</v>
      </c>
      <c r="F150" t="s">
        <v>73</v>
      </c>
      <c r="G150" t="s">
        <v>74</v>
      </c>
      <c r="H150" t="s">
        <v>123</v>
      </c>
      <c r="I150" t="s">
        <v>84</v>
      </c>
      <c r="J150" s="4">
        <v>0</v>
      </c>
    </row>
    <row r="151" spans="1:10" x14ac:dyDescent="0.35">
      <c r="A151" t="s">
        <v>18</v>
      </c>
      <c r="B151" t="s">
        <v>33</v>
      </c>
      <c r="C151" t="s">
        <v>93</v>
      </c>
      <c r="D151" t="s">
        <v>81</v>
      </c>
      <c r="E151" t="s">
        <v>106</v>
      </c>
      <c r="F151" t="s">
        <v>73</v>
      </c>
      <c r="G151" t="s">
        <v>74</v>
      </c>
      <c r="H151" t="s">
        <v>123</v>
      </c>
      <c r="I151" t="s">
        <v>84</v>
      </c>
      <c r="J151" s="4">
        <v>0</v>
      </c>
    </row>
    <row r="152" spans="1:10" x14ac:dyDescent="0.35">
      <c r="A152" t="s">
        <v>18</v>
      </c>
      <c r="B152" t="s">
        <v>33</v>
      </c>
      <c r="C152" t="s">
        <v>73</v>
      </c>
      <c r="D152" t="s">
        <v>81</v>
      </c>
      <c r="E152" t="s">
        <v>119</v>
      </c>
      <c r="F152" t="s">
        <v>73</v>
      </c>
      <c r="G152" t="s">
        <v>74</v>
      </c>
      <c r="H152" t="s">
        <v>127</v>
      </c>
      <c r="I152" t="s">
        <v>84</v>
      </c>
      <c r="J152" s="76">
        <f>'SUT_EU27 total'!$M$22</f>
        <v>1.9500181678711294E-2</v>
      </c>
    </row>
    <row r="153" spans="1:10" x14ac:dyDescent="0.35">
      <c r="A153" t="s">
        <v>18</v>
      </c>
      <c r="B153" t="s">
        <v>33</v>
      </c>
      <c r="C153" t="s">
        <v>73</v>
      </c>
      <c r="D153" t="s">
        <v>81</v>
      </c>
      <c r="E153" t="s">
        <v>124</v>
      </c>
      <c r="F153" t="s">
        <v>73</v>
      </c>
      <c r="G153" t="s">
        <v>74</v>
      </c>
      <c r="H153" t="s">
        <v>127</v>
      </c>
      <c r="I153" t="s">
        <v>84</v>
      </c>
      <c r="J153" s="76" cm="1">
        <f t="array" ref="J153:J161">'SUT_EU27 total'!$M$26:$M$34</f>
        <v>1.9404661061278542E-3</v>
      </c>
    </row>
    <row r="154" spans="1:10" x14ac:dyDescent="0.35">
      <c r="A154" t="s">
        <v>18</v>
      </c>
      <c r="B154" t="s">
        <v>33</v>
      </c>
      <c r="C154" t="s">
        <v>73</v>
      </c>
      <c r="D154" t="s">
        <v>81</v>
      </c>
      <c r="E154" t="s">
        <v>117</v>
      </c>
      <c r="F154" t="s">
        <v>73</v>
      </c>
      <c r="G154" t="s">
        <v>74</v>
      </c>
      <c r="H154" t="s">
        <v>127</v>
      </c>
      <c r="I154" t="s">
        <v>84</v>
      </c>
      <c r="J154" s="4">
        <v>5.8423628191201782E-3</v>
      </c>
    </row>
    <row r="155" spans="1:10" x14ac:dyDescent="0.35">
      <c r="A155" t="s">
        <v>18</v>
      </c>
      <c r="B155" t="s">
        <v>33</v>
      </c>
      <c r="C155" t="s">
        <v>73</v>
      </c>
      <c r="D155" t="s">
        <v>81</v>
      </c>
      <c r="E155" t="s">
        <v>82</v>
      </c>
      <c r="F155" t="s">
        <v>73</v>
      </c>
      <c r="G155" t="s">
        <v>74</v>
      </c>
      <c r="H155" t="s">
        <v>127</v>
      </c>
      <c r="I155" t="s">
        <v>84</v>
      </c>
      <c r="J155" s="4">
        <v>4.8981233243967828E-4</v>
      </c>
    </row>
    <row r="156" spans="1:10" x14ac:dyDescent="0.35">
      <c r="A156" t="s">
        <v>18</v>
      </c>
      <c r="B156" t="s">
        <v>33</v>
      </c>
      <c r="C156" t="s">
        <v>73</v>
      </c>
      <c r="D156" t="s">
        <v>81</v>
      </c>
      <c r="E156" t="s">
        <v>125</v>
      </c>
      <c r="F156" t="s">
        <v>73</v>
      </c>
      <c r="G156" t="s">
        <v>74</v>
      </c>
      <c r="H156" t="s">
        <v>127</v>
      </c>
      <c r="I156" t="s">
        <v>84</v>
      </c>
      <c r="J156" s="4">
        <v>2.4658201215687387E-3</v>
      </c>
    </row>
    <row r="157" spans="1:10" x14ac:dyDescent="0.35">
      <c r="A157" t="s">
        <v>18</v>
      </c>
      <c r="B157" t="s">
        <v>33</v>
      </c>
      <c r="C157" t="s">
        <v>73</v>
      </c>
      <c r="D157" t="s">
        <v>81</v>
      </c>
      <c r="E157" t="s">
        <v>122</v>
      </c>
      <c r="F157" t="s">
        <v>73</v>
      </c>
      <c r="G157" t="s">
        <v>74</v>
      </c>
      <c r="H157" t="s">
        <v>127</v>
      </c>
      <c r="I157" t="s">
        <v>84</v>
      </c>
      <c r="J157" s="4">
        <v>4.922711058263972E-4</v>
      </c>
    </row>
    <row r="158" spans="1:10" x14ac:dyDescent="0.35">
      <c r="A158" t="s">
        <v>18</v>
      </c>
      <c r="B158" t="s">
        <v>33</v>
      </c>
      <c r="C158" t="s">
        <v>73</v>
      </c>
      <c r="D158" t="s">
        <v>81</v>
      </c>
      <c r="E158" t="s">
        <v>126</v>
      </c>
      <c r="F158" t="s">
        <v>73</v>
      </c>
      <c r="G158" t="s">
        <v>74</v>
      </c>
      <c r="H158" t="s">
        <v>127</v>
      </c>
      <c r="I158" t="s">
        <v>84</v>
      </c>
      <c r="J158" s="4">
        <v>0</v>
      </c>
    </row>
    <row r="159" spans="1:10" x14ac:dyDescent="0.35">
      <c r="A159" t="s">
        <v>18</v>
      </c>
      <c r="B159" t="s">
        <v>33</v>
      </c>
      <c r="C159" t="s">
        <v>73</v>
      </c>
      <c r="D159" t="s">
        <v>81</v>
      </c>
      <c r="E159" t="s">
        <v>101</v>
      </c>
      <c r="F159" t="s">
        <v>73</v>
      </c>
      <c r="G159" t="s">
        <v>74</v>
      </c>
      <c r="H159" t="s">
        <v>127</v>
      </c>
      <c r="I159" t="s">
        <v>84</v>
      </c>
      <c r="J159" s="4">
        <v>3.6586167200000007E-4</v>
      </c>
    </row>
    <row r="160" spans="1:10" x14ac:dyDescent="0.35">
      <c r="A160" t="s">
        <v>18</v>
      </c>
      <c r="B160" t="s">
        <v>33</v>
      </c>
      <c r="C160" t="s">
        <v>73</v>
      </c>
      <c r="D160" t="s">
        <v>81</v>
      </c>
      <c r="E160" t="s">
        <v>104</v>
      </c>
      <c r="F160" t="s">
        <v>73</v>
      </c>
      <c r="G160" t="s">
        <v>74</v>
      </c>
      <c r="H160" t="s">
        <v>127</v>
      </c>
      <c r="I160" t="s">
        <v>84</v>
      </c>
      <c r="J160" s="4">
        <v>6.9272632800000005E-4</v>
      </c>
    </row>
    <row r="161" spans="1:10" x14ac:dyDescent="0.35">
      <c r="A161" t="s">
        <v>18</v>
      </c>
      <c r="B161" t="s">
        <v>33</v>
      </c>
      <c r="C161" t="s">
        <v>73</v>
      </c>
      <c r="D161" t="s">
        <v>81</v>
      </c>
      <c r="E161" t="s">
        <v>106</v>
      </c>
      <c r="F161" t="s">
        <v>73</v>
      </c>
      <c r="G161" t="s">
        <v>74</v>
      </c>
      <c r="H161" t="s">
        <v>127</v>
      </c>
      <c r="I161" t="s">
        <v>84</v>
      </c>
      <c r="J161" s="4">
        <v>2.3562119999999999E-3</v>
      </c>
    </row>
    <row r="162" spans="1:10" x14ac:dyDescent="0.35">
      <c r="A162" t="s">
        <v>18</v>
      </c>
      <c r="B162" t="s">
        <v>33</v>
      </c>
      <c r="C162" t="s">
        <v>88</v>
      </c>
      <c r="D162" t="s">
        <v>81</v>
      </c>
      <c r="E162" t="s">
        <v>119</v>
      </c>
      <c r="F162" t="s">
        <v>73</v>
      </c>
      <c r="G162" t="s">
        <v>74</v>
      </c>
      <c r="H162" t="s">
        <v>127</v>
      </c>
      <c r="I162" t="s">
        <v>84</v>
      </c>
      <c r="J162" s="76">
        <f>'SUT_EU27 total'!$M$39</f>
        <v>0.16108845734587587</v>
      </c>
    </row>
    <row r="163" spans="1:10" x14ac:dyDescent="0.35">
      <c r="A163" t="s">
        <v>18</v>
      </c>
      <c r="B163" t="s">
        <v>33</v>
      </c>
      <c r="C163" t="s">
        <v>88</v>
      </c>
      <c r="D163" t="s">
        <v>81</v>
      </c>
      <c r="E163" t="s">
        <v>124</v>
      </c>
      <c r="F163" t="s">
        <v>73</v>
      </c>
      <c r="G163" t="s">
        <v>74</v>
      </c>
      <c r="H163" t="s">
        <v>127</v>
      </c>
      <c r="I163" t="s">
        <v>84</v>
      </c>
      <c r="J163" s="76" cm="1">
        <f t="array" ref="J163:J171">'SUT_EU27 total'!$L$43:$L$51</f>
        <v>5.0558836222750793E-4</v>
      </c>
    </row>
    <row r="164" spans="1:10" x14ac:dyDescent="0.35">
      <c r="A164" t="s">
        <v>18</v>
      </c>
      <c r="B164" t="s">
        <v>33</v>
      </c>
      <c r="C164" t="s">
        <v>88</v>
      </c>
      <c r="D164" t="s">
        <v>81</v>
      </c>
      <c r="E164" t="s">
        <v>117</v>
      </c>
      <c r="F164" t="s">
        <v>73</v>
      </c>
      <c r="G164" t="s">
        <v>74</v>
      </c>
      <c r="H164" t="s">
        <v>127</v>
      </c>
      <c r="I164" t="s">
        <v>84</v>
      </c>
      <c r="J164" s="4">
        <v>4.8514464106651379E-3</v>
      </c>
    </row>
    <row r="165" spans="1:10" x14ac:dyDescent="0.35">
      <c r="A165" t="s">
        <v>18</v>
      </c>
      <c r="B165" t="s">
        <v>33</v>
      </c>
      <c r="C165" t="s">
        <v>88</v>
      </c>
      <c r="D165" t="s">
        <v>81</v>
      </c>
      <c r="E165" t="s">
        <v>82</v>
      </c>
      <c r="F165" t="s">
        <v>73</v>
      </c>
      <c r="G165" t="s">
        <v>74</v>
      </c>
      <c r="H165" t="s">
        <v>127</v>
      </c>
      <c r="I165" t="s">
        <v>84</v>
      </c>
      <c r="J165" s="4">
        <v>1.109418436791091E-2</v>
      </c>
    </row>
    <row r="166" spans="1:10" x14ac:dyDescent="0.35">
      <c r="A166" t="s">
        <v>18</v>
      </c>
      <c r="B166" t="s">
        <v>33</v>
      </c>
      <c r="C166" t="s">
        <v>88</v>
      </c>
      <c r="D166" t="s">
        <v>81</v>
      </c>
      <c r="E166" t="s">
        <v>125</v>
      </c>
      <c r="F166" t="s">
        <v>73</v>
      </c>
      <c r="G166" t="s">
        <v>74</v>
      </c>
      <c r="H166" t="s">
        <v>127</v>
      </c>
      <c r="I166" t="s">
        <v>84</v>
      </c>
      <c r="J166" s="4">
        <v>2.890870278990243E-5</v>
      </c>
    </row>
    <row r="167" spans="1:10" x14ac:dyDescent="0.35">
      <c r="A167" t="s">
        <v>18</v>
      </c>
      <c r="B167" t="s">
        <v>33</v>
      </c>
      <c r="C167" t="s">
        <v>88</v>
      </c>
      <c r="D167" t="s">
        <v>81</v>
      </c>
      <c r="E167" t="s">
        <v>122</v>
      </c>
      <c r="F167" t="s">
        <v>73</v>
      </c>
      <c r="G167" t="s">
        <v>74</v>
      </c>
      <c r="H167" t="s">
        <v>127</v>
      </c>
      <c r="I167" t="s">
        <v>84</v>
      </c>
      <c r="J167" s="4">
        <v>0</v>
      </c>
    </row>
    <row r="168" spans="1:10" x14ac:dyDescent="0.35">
      <c r="A168" t="s">
        <v>18</v>
      </c>
      <c r="B168" t="s">
        <v>33</v>
      </c>
      <c r="C168" t="s">
        <v>88</v>
      </c>
      <c r="D168" t="s">
        <v>81</v>
      </c>
      <c r="E168" t="s">
        <v>126</v>
      </c>
      <c r="F168" t="s">
        <v>73</v>
      </c>
      <c r="G168" t="s">
        <v>74</v>
      </c>
      <c r="H168" t="s">
        <v>127</v>
      </c>
      <c r="I168" t="s">
        <v>84</v>
      </c>
      <c r="J168" s="4">
        <v>2.8514320987501449E-3</v>
      </c>
    </row>
    <row r="169" spans="1:10" x14ac:dyDescent="0.35">
      <c r="A169" t="s">
        <v>18</v>
      </c>
      <c r="B169" t="s">
        <v>33</v>
      </c>
      <c r="C169" t="s">
        <v>88</v>
      </c>
      <c r="D169" t="s">
        <v>81</v>
      </c>
      <c r="E169" t="s">
        <v>101</v>
      </c>
      <c r="F169" t="s">
        <v>73</v>
      </c>
      <c r="G169" t="s">
        <v>74</v>
      </c>
      <c r="H169" t="s">
        <v>127</v>
      </c>
      <c r="I169" t="s">
        <v>84</v>
      </c>
      <c r="J169" s="4">
        <v>0</v>
      </c>
    </row>
    <row r="170" spans="1:10" x14ac:dyDescent="0.35">
      <c r="A170" t="s">
        <v>18</v>
      </c>
      <c r="B170" t="s">
        <v>33</v>
      </c>
      <c r="C170" t="s">
        <v>88</v>
      </c>
      <c r="D170" t="s">
        <v>81</v>
      </c>
      <c r="E170" t="s">
        <v>104</v>
      </c>
      <c r="F170" t="s">
        <v>73</v>
      </c>
      <c r="G170" t="s">
        <v>74</v>
      </c>
      <c r="H170" t="s">
        <v>127</v>
      </c>
      <c r="I170" t="s">
        <v>84</v>
      </c>
      <c r="J170" s="4">
        <v>0</v>
      </c>
    </row>
    <row r="171" spans="1:10" x14ac:dyDescent="0.35">
      <c r="A171" t="s">
        <v>18</v>
      </c>
      <c r="B171" t="s">
        <v>33</v>
      </c>
      <c r="C171" t="s">
        <v>88</v>
      </c>
      <c r="D171" t="s">
        <v>81</v>
      </c>
      <c r="E171" t="s">
        <v>106</v>
      </c>
      <c r="F171" t="s">
        <v>73</v>
      </c>
      <c r="G171" t="s">
        <v>74</v>
      </c>
      <c r="H171" t="s">
        <v>127</v>
      </c>
      <c r="I171" t="s">
        <v>84</v>
      </c>
      <c r="J171" s="4">
        <v>0</v>
      </c>
    </row>
    <row r="172" spans="1:10" x14ac:dyDescent="0.35">
      <c r="A172" t="s">
        <v>18</v>
      </c>
      <c r="B172" t="s">
        <v>33</v>
      </c>
      <c r="C172" t="s">
        <v>90</v>
      </c>
      <c r="D172" t="s">
        <v>81</v>
      </c>
      <c r="E172" t="s">
        <v>119</v>
      </c>
      <c r="F172" t="s">
        <v>73</v>
      </c>
      <c r="G172" t="s">
        <v>74</v>
      </c>
      <c r="H172" t="s">
        <v>127</v>
      </c>
      <c r="I172" t="s">
        <v>84</v>
      </c>
      <c r="J172" s="76">
        <f>'SUT_EU27 total'!$M$56</f>
        <v>2.949251079979006E-2</v>
      </c>
    </row>
    <row r="173" spans="1:10" x14ac:dyDescent="0.35">
      <c r="A173" t="s">
        <v>18</v>
      </c>
      <c r="B173" t="s">
        <v>33</v>
      </c>
      <c r="C173" t="s">
        <v>90</v>
      </c>
      <c r="D173" t="s">
        <v>81</v>
      </c>
      <c r="E173" t="s">
        <v>124</v>
      </c>
      <c r="F173" t="s">
        <v>73</v>
      </c>
      <c r="G173" t="s">
        <v>74</v>
      </c>
      <c r="H173" t="s">
        <v>127</v>
      </c>
      <c r="I173" t="s">
        <v>84</v>
      </c>
      <c r="J173" s="76" cm="1">
        <f t="array" ref="J173:J181">'SUT_EU27 total'!$M$60:$M$68</f>
        <v>2.1047443073980527E-5</v>
      </c>
    </row>
    <row r="174" spans="1:10" x14ac:dyDescent="0.35">
      <c r="A174" t="s">
        <v>18</v>
      </c>
      <c r="B174" t="s">
        <v>33</v>
      </c>
      <c r="C174" t="s">
        <v>90</v>
      </c>
      <c r="D174" t="s">
        <v>81</v>
      </c>
      <c r="E174" t="s">
        <v>117</v>
      </c>
      <c r="F174" t="s">
        <v>73</v>
      </c>
      <c r="G174" t="s">
        <v>74</v>
      </c>
      <c r="H174" t="s">
        <v>127</v>
      </c>
      <c r="I174" t="s">
        <v>84</v>
      </c>
      <c r="J174" s="4">
        <v>5.8414015621608938E-3</v>
      </c>
    </row>
    <row r="175" spans="1:10" x14ac:dyDescent="0.35">
      <c r="A175" t="s">
        <v>18</v>
      </c>
      <c r="B175" t="s">
        <v>33</v>
      </c>
      <c r="C175" t="s">
        <v>90</v>
      </c>
      <c r="D175" t="s">
        <v>81</v>
      </c>
      <c r="E175" t="s">
        <v>82</v>
      </c>
      <c r="F175" t="s">
        <v>73</v>
      </c>
      <c r="G175" t="s">
        <v>74</v>
      </c>
      <c r="H175" t="s">
        <v>127</v>
      </c>
      <c r="I175" t="s">
        <v>84</v>
      </c>
      <c r="J175" s="4">
        <v>1.4521138379047227E-3</v>
      </c>
    </row>
    <row r="176" spans="1:10" x14ac:dyDescent="0.35">
      <c r="A176" t="s">
        <v>18</v>
      </c>
      <c r="B176" t="s">
        <v>33</v>
      </c>
      <c r="C176" t="s">
        <v>90</v>
      </c>
      <c r="D176" t="s">
        <v>81</v>
      </c>
      <c r="E176" t="s">
        <v>125</v>
      </c>
      <c r="F176" t="s">
        <v>73</v>
      </c>
      <c r="G176" t="s">
        <v>74</v>
      </c>
      <c r="H176" t="s">
        <v>127</v>
      </c>
      <c r="I176" t="s">
        <v>84</v>
      </c>
      <c r="J176" s="4">
        <v>6.5130870114372285E-5</v>
      </c>
    </row>
    <row r="177" spans="1:10" x14ac:dyDescent="0.35">
      <c r="A177" t="s">
        <v>18</v>
      </c>
      <c r="B177" t="s">
        <v>33</v>
      </c>
      <c r="C177" t="s">
        <v>90</v>
      </c>
      <c r="D177" t="s">
        <v>81</v>
      </c>
      <c r="E177" t="s">
        <v>122</v>
      </c>
      <c r="F177" t="s">
        <v>73</v>
      </c>
      <c r="G177" t="s">
        <v>74</v>
      </c>
      <c r="H177" t="s">
        <v>127</v>
      </c>
      <c r="I177" t="s">
        <v>84</v>
      </c>
      <c r="J177" s="4">
        <v>7.9476813317479189E-4</v>
      </c>
    </row>
    <row r="178" spans="1:10" x14ac:dyDescent="0.35">
      <c r="A178" t="s">
        <v>18</v>
      </c>
      <c r="B178" t="s">
        <v>33</v>
      </c>
      <c r="C178" t="s">
        <v>90</v>
      </c>
      <c r="D178" t="s">
        <v>81</v>
      </c>
      <c r="E178" t="s">
        <v>126</v>
      </c>
      <c r="F178" t="s">
        <v>73</v>
      </c>
      <c r="G178" t="s">
        <v>74</v>
      </c>
      <c r="H178" t="s">
        <v>127</v>
      </c>
      <c r="I178" t="s">
        <v>84</v>
      </c>
      <c r="J178" s="4">
        <v>8.4821183458843076E-3</v>
      </c>
    </row>
    <row r="179" spans="1:10" x14ac:dyDescent="0.35">
      <c r="A179" t="s">
        <v>18</v>
      </c>
      <c r="B179" t="s">
        <v>33</v>
      </c>
      <c r="C179" t="s">
        <v>90</v>
      </c>
      <c r="D179" t="s">
        <v>81</v>
      </c>
      <c r="E179" t="s">
        <v>101</v>
      </c>
      <c r="F179" t="s">
        <v>73</v>
      </c>
      <c r="G179" t="s">
        <v>74</v>
      </c>
      <c r="H179" t="s">
        <v>127</v>
      </c>
      <c r="I179" t="s">
        <v>84</v>
      </c>
      <c r="J179" s="4">
        <v>0</v>
      </c>
    </row>
    <row r="180" spans="1:10" x14ac:dyDescent="0.35">
      <c r="A180" t="s">
        <v>18</v>
      </c>
      <c r="B180" t="s">
        <v>33</v>
      </c>
      <c r="C180" t="s">
        <v>90</v>
      </c>
      <c r="D180" t="s">
        <v>81</v>
      </c>
      <c r="E180" t="s">
        <v>104</v>
      </c>
      <c r="F180" t="s">
        <v>73</v>
      </c>
      <c r="G180" t="s">
        <v>74</v>
      </c>
      <c r="H180" t="s">
        <v>127</v>
      </c>
      <c r="I180" t="s">
        <v>84</v>
      </c>
      <c r="J180" s="4">
        <v>0</v>
      </c>
    </row>
    <row r="181" spans="1:10" x14ac:dyDescent="0.35">
      <c r="A181" t="s">
        <v>18</v>
      </c>
      <c r="B181" t="s">
        <v>33</v>
      </c>
      <c r="C181" t="s">
        <v>90</v>
      </c>
      <c r="D181" t="s">
        <v>81</v>
      </c>
      <c r="E181" t="s">
        <v>106</v>
      </c>
      <c r="F181" t="s">
        <v>73</v>
      </c>
      <c r="G181" t="s">
        <v>74</v>
      </c>
      <c r="H181" t="s">
        <v>127</v>
      </c>
      <c r="I181" t="s">
        <v>84</v>
      </c>
      <c r="J181" s="4">
        <v>0</v>
      </c>
    </row>
    <row r="182" spans="1:10" x14ac:dyDescent="0.35">
      <c r="A182" t="s">
        <v>18</v>
      </c>
      <c r="B182" t="s">
        <v>33</v>
      </c>
      <c r="C182" t="s">
        <v>91</v>
      </c>
      <c r="D182" t="s">
        <v>81</v>
      </c>
      <c r="E182" t="s">
        <v>119</v>
      </c>
      <c r="F182" t="s">
        <v>73</v>
      </c>
      <c r="G182" t="s">
        <v>74</v>
      </c>
      <c r="H182" t="s">
        <v>127</v>
      </c>
      <c r="I182" t="s">
        <v>84</v>
      </c>
      <c r="J182" s="76">
        <f>'SUT_EU27 total'!$M$73</f>
        <v>0.15097500908393557</v>
      </c>
    </row>
    <row r="183" spans="1:10" x14ac:dyDescent="0.35">
      <c r="A183" t="s">
        <v>18</v>
      </c>
      <c r="B183" t="s">
        <v>33</v>
      </c>
      <c r="C183" t="s">
        <v>91</v>
      </c>
      <c r="D183" t="s">
        <v>81</v>
      </c>
      <c r="E183" t="s">
        <v>124</v>
      </c>
      <c r="F183" t="s">
        <v>73</v>
      </c>
      <c r="G183" t="s">
        <v>74</v>
      </c>
      <c r="H183" t="s">
        <v>127</v>
      </c>
      <c r="I183" t="s">
        <v>84</v>
      </c>
      <c r="J183" s="76" cm="1">
        <f t="array" ref="J183:J191">'SUT_EU27 total'!$M$77:$M$85</f>
        <v>6.7728942399646885E-5</v>
      </c>
    </row>
    <row r="184" spans="1:10" x14ac:dyDescent="0.35">
      <c r="A184" t="s">
        <v>18</v>
      </c>
      <c r="B184" t="s">
        <v>33</v>
      </c>
      <c r="C184" t="s">
        <v>91</v>
      </c>
      <c r="D184" t="s">
        <v>81</v>
      </c>
      <c r="E184" t="s">
        <v>117</v>
      </c>
      <c r="F184" t="s">
        <v>73</v>
      </c>
      <c r="G184" t="s">
        <v>74</v>
      </c>
      <c r="H184" t="s">
        <v>127</v>
      </c>
      <c r="I184" t="s">
        <v>84</v>
      </c>
      <c r="J184" s="4">
        <v>5.6233849622410815E-3</v>
      </c>
    </row>
    <row r="185" spans="1:10" x14ac:dyDescent="0.35">
      <c r="A185" t="s">
        <v>18</v>
      </c>
      <c r="B185" t="s">
        <v>33</v>
      </c>
      <c r="C185" t="s">
        <v>91</v>
      </c>
      <c r="D185" t="s">
        <v>81</v>
      </c>
      <c r="E185" t="s">
        <v>82</v>
      </c>
      <c r="F185" t="s">
        <v>73</v>
      </c>
      <c r="G185" t="s">
        <v>74</v>
      </c>
      <c r="H185" t="s">
        <v>127</v>
      </c>
      <c r="I185" t="s">
        <v>84</v>
      </c>
      <c r="J185" s="4">
        <v>1.8068055269127655E-3</v>
      </c>
    </row>
    <row r="186" spans="1:10" x14ac:dyDescent="0.35">
      <c r="A186" t="s">
        <v>18</v>
      </c>
      <c r="B186" t="s">
        <v>33</v>
      </c>
      <c r="C186" t="s">
        <v>91</v>
      </c>
      <c r="D186" t="s">
        <v>81</v>
      </c>
      <c r="E186" t="s">
        <v>125</v>
      </c>
      <c r="F186" t="s">
        <v>73</v>
      </c>
      <c r="G186" t="s">
        <v>74</v>
      </c>
      <c r="H186" t="s">
        <v>127</v>
      </c>
      <c r="I186" t="s">
        <v>84</v>
      </c>
      <c r="J186" s="4">
        <v>5.6492118062760293E-6</v>
      </c>
    </row>
    <row r="187" spans="1:10" x14ac:dyDescent="0.35">
      <c r="A187" t="s">
        <v>18</v>
      </c>
      <c r="B187" t="s">
        <v>33</v>
      </c>
      <c r="C187" t="s">
        <v>91</v>
      </c>
      <c r="D187" t="s">
        <v>81</v>
      </c>
      <c r="E187" t="s">
        <v>122</v>
      </c>
      <c r="F187" t="s">
        <v>73</v>
      </c>
      <c r="G187" t="s">
        <v>74</v>
      </c>
      <c r="H187" t="s">
        <v>127</v>
      </c>
      <c r="I187" t="s">
        <v>84</v>
      </c>
      <c r="J187" s="4">
        <v>0</v>
      </c>
    </row>
    <row r="188" spans="1:10" x14ac:dyDescent="0.35">
      <c r="A188" t="s">
        <v>18</v>
      </c>
      <c r="B188" t="s">
        <v>33</v>
      </c>
      <c r="C188" t="s">
        <v>91</v>
      </c>
      <c r="D188" t="s">
        <v>81</v>
      </c>
      <c r="E188" t="s">
        <v>126</v>
      </c>
      <c r="F188" t="s">
        <v>73</v>
      </c>
      <c r="G188" t="s">
        <v>74</v>
      </c>
      <c r="H188" t="s">
        <v>127</v>
      </c>
      <c r="I188" t="s">
        <v>84</v>
      </c>
      <c r="J188" s="4">
        <v>8.1093795177776388E-4</v>
      </c>
    </row>
    <row r="189" spans="1:10" x14ac:dyDescent="0.35">
      <c r="A189" t="s">
        <v>18</v>
      </c>
      <c r="B189" t="s">
        <v>33</v>
      </c>
      <c r="C189" t="s">
        <v>91</v>
      </c>
      <c r="D189" t="s">
        <v>81</v>
      </c>
      <c r="E189" t="s">
        <v>101</v>
      </c>
      <c r="F189" t="s">
        <v>73</v>
      </c>
      <c r="G189" t="s">
        <v>74</v>
      </c>
      <c r="H189" t="s">
        <v>127</v>
      </c>
      <c r="I189" t="s">
        <v>84</v>
      </c>
      <c r="J189" s="4">
        <v>0</v>
      </c>
    </row>
    <row r="190" spans="1:10" x14ac:dyDescent="0.35">
      <c r="A190" t="s">
        <v>18</v>
      </c>
      <c r="B190" t="s">
        <v>33</v>
      </c>
      <c r="C190" t="s">
        <v>91</v>
      </c>
      <c r="D190" t="s">
        <v>81</v>
      </c>
      <c r="E190" t="s">
        <v>104</v>
      </c>
      <c r="F190" t="s">
        <v>73</v>
      </c>
      <c r="G190" t="s">
        <v>74</v>
      </c>
      <c r="H190" t="s">
        <v>127</v>
      </c>
      <c r="I190" t="s">
        <v>84</v>
      </c>
      <c r="J190" s="4">
        <v>0</v>
      </c>
    </row>
    <row r="191" spans="1:10" x14ac:dyDescent="0.35">
      <c r="A191" t="s">
        <v>18</v>
      </c>
      <c r="B191" t="s">
        <v>33</v>
      </c>
      <c r="C191" t="s">
        <v>91</v>
      </c>
      <c r="D191" t="s">
        <v>81</v>
      </c>
      <c r="E191" t="s">
        <v>106</v>
      </c>
      <c r="F191" t="s">
        <v>73</v>
      </c>
      <c r="G191" t="s">
        <v>74</v>
      </c>
      <c r="H191" t="s">
        <v>127</v>
      </c>
      <c r="I191" t="s">
        <v>84</v>
      </c>
      <c r="J191" s="4">
        <v>0</v>
      </c>
    </row>
    <row r="192" spans="1:10" x14ac:dyDescent="0.35">
      <c r="A192" t="s">
        <v>18</v>
      </c>
      <c r="B192" t="s">
        <v>33</v>
      </c>
      <c r="C192" t="s">
        <v>92</v>
      </c>
      <c r="D192" t="s">
        <v>81</v>
      </c>
      <c r="E192" t="s">
        <v>119</v>
      </c>
      <c r="F192" t="s">
        <v>73</v>
      </c>
      <c r="G192" t="s">
        <v>74</v>
      </c>
      <c r="H192" t="s">
        <v>127</v>
      </c>
      <c r="I192" t="s">
        <v>84</v>
      </c>
      <c r="J192" s="76">
        <f>'SUT_EU27 total'!$M$90</f>
        <v>0.13886309499777949</v>
      </c>
    </row>
    <row r="193" spans="1:10" x14ac:dyDescent="0.35">
      <c r="A193" t="s">
        <v>18</v>
      </c>
      <c r="B193" t="s">
        <v>33</v>
      </c>
      <c r="C193" t="s">
        <v>92</v>
      </c>
      <c r="D193" t="s">
        <v>81</v>
      </c>
      <c r="E193" t="s">
        <v>124</v>
      </c>
      <c r="F193" t="s">
        <v>73</v>
      </c>
      <c r="G193" t="s">
        <v>74</v>
      </c>
      <c r="H193" t="s">
        <v>127</v>
      </c>
      <c r="I193" t="s">
        <v>84</v>
      </c>
      <c r="J193" s="76" cm="1">
        <f t="array" ref="J193:J201">'SUT_EU27 total'!$M$94:$M$102</f>
        <v>9.2968907089085616E-5</v>
      </c>
    </row>
    <row r="194" spans="1:10" x14ac:dyDescent="0.35">
      <c r="A194" t="s">
        <v>18</v>
      </c>
      <c r="B194" t="s">
        <v>33</v>
      </c>
      <c r="C194" t="s">
        <v>92</v>
      </c>
      <c r="D194" t="s">
        <v>81</v>
      </c>
      <c r="E194" t="s">
        <v>117</v>
      </c>
      <c r="F194" t="s">
        <v>73</v>
      </c>
      <c r="G194" t="s">
        <v>74</v>
      </c>
      <c r="H194" t="s">
        <v>127</v>
      </c>
      <c r="I194" t="s">
        <v>84</v>
      </c>
      <c r="J194" s="4">
        <v>0</v>
      </c>
    </row>
    <row r="195" spans="1:10" x14ac:dyDescent="0.35">
      <c r="A195" t="s">
        <v>18</v>
      </c>
      <c r="B195" t="s">
        <v>33</v>
      </c>
      <c r="C195" t="s">
        <v>92</v>
      </c>
      <c r="D195" t="s">
        <v>81</v>
      </c>
      <c r="E195" t="s">
        <v>82</v>
      </c>
      <c r="F195" t="s">
        <v>73</v>
      </c>
      <c r="G195" t="s">
        <v>74</v>
      </c>
      <c r="H195" t="s">
        <v>127</v>
      </c>
      <c r="I195" t="s">
        <v>84</v>
      </c>
      <c r="J195" s="4">
        <v>1.1251392039595793E-3</v>
      </c>
    </row>
    <row r="196" spans="1:10" x14ac:dyDescent="0.35">
      <c r="A196" t="s">
        <v>18</v>
      </c>
      <c r="B196" t="s">
        <v>33</v>
      </c>
      <c r="C196" t="s">
        <v>92</v>
      </c>
      <c r="D196" t="s">
        <v>81</v>
      </c>
      <c r="E196" t="s">
        <v>125</v>
      </c>
      <c r="F196" t="s">
        <v>73</v>
      </c>
      <c r="G196" t="s">
        <v>74</v>
      </c>
      <c r="H196" t="s">
        <v>127</v>
      </c>
      <c r="I196" t="s">
        <v>84</v>
      </c>
      <c r="J196" s="4">
        <v>5.0048817841215026E-7</v>
      </c>
    </row>
    <row r="197" spans="1:10" x14ac:dyDescent="0.35">
      <c r="A197" t="s">
        <v>18</v>
      </c>
      <c r="B197" t="s">
        <v>33</v>
      </c>
      <c r="C197" t="s">
        <v>92</v>
      </c>
      <c r="D197" t="s">
        <v>81</v>
      </c>
      <c r="E197" t="s">
        <v>122</v>
      </c>
      <c r="F197" t="s">
        <v>73</v>
      </c>
      <c r="G197" t="s">
        <v>74</v>
      </c>
      <c r="H197" t="s">
        <v>127</v>
      </c>
      <c r="I197" t="s">
        <v>84</v>
      </c>
      <c r="J197" s="4">
        <v>0</v>
      </c>
    </row>
    <row r="198" spans="1:10" x14ac:dyDescent="0.35">
      <c r="A198" t="s">
        <v>18</v>
      </c>
      <c r="B198" t="s">
        <v>33</v>
      </c>
      <c r="C198" t="s">
        <v>92</v>
      </c>
      <c r="D198" t="s">
        <v>81</v>
      </c>
      <c r="E198" t="s">
        <v>126</v>
      </c>
      <c r="F198" t="s">
        <v>73</v>
      </c>
      <c r="G198" t="s">
        <v>74</v>
      </c>
      <c r="H198" t="s">
        <v>127</v>
      </c>
      <c r="I198" t="s">
        <v>84</v>
      </c>
      <c r="J198" s="4">
        <v>0</v>
      </c>
    </row>
    <row r="199" spans="1:10" x14ac:dyDescent="0.35">
      <c r="A199" t="s">
        <v>18</v>
      </c>
      <c r="B199" t="s">
        <v>33</v>
      </c>
      <c r="C199" t="s">
        <v>92</v>
      </c>
      <c r="D199" t="s">
        <v>81</v>
      </c>
      <c r="E199" t="s">
        <v>101</v>
      </c>
      <c r="F199" t="s">
        <v>73</v>
      </c>
      <c r="G199" t="s">
        <v>74</v>
      </c>
      <c r="H199" t="s">
        <v>127</v>
      </c>
      <c r="I199" t="s">
        <v>84</v>
      </c>
      <c r="J199" s="4">
        <v>0</v>
      </c>
    </row>
    <row r="200" spans="1:10" x14ac:dyDescent="0.35">
      <c r="A200" t="s">
        <v>18</v>
      </c>
      <c r="B200" t="s">
        <v>33</v>
      </c>
      <c r="C200" t="s">
        <v>92</v>
      </c>
      <c r="D200" t="s">
        <v>81</v>
      </c>
      <c r="E200" t="s">
        <v>104</v>
      </c>
      <c r="F200" t="s">
        <v>73</v>
      </c>
      <c r="G200" t="s">
        <v>74</v>
      </c>
      <c r="H200" t="s">
        <v>127</v>
      </c>
      <c r="I200" t="s">
        <v>84</v>
      </c>
      <c r="J200" s="4">
        <v>0</v>
      </c>
    </row>
    <row r="201" spans="1:10" x14ac:dyDescent="0.35">
      <c r="A201" t="s">
        <v>18</v>
      </c>
      <c r="B201" t="s">
        <v>33</v>
      </c>
      <c r="C201" t="s">
        <v>92</v>
      </c>
      <c r="D201" t="s">
        <v>81</v>
      </c>
      <c r="E201" t="s">
        <v>106</v>
      </c>
      <c r="F201" t="s">
        <v>73</v>
      </c>
      <c r="G201" t="s">
        <v>74</v>
      </c>
      <c r="H201" t="s">
        <v>127</v>
      </c>
      <c r="I201" t="s">
        <v>84</v>
      </c>
      <c r="J201" s="4">
        <v>0</v>
      </c>
    </row>
    <row r="202" spans="1:10" x14ac:dyDescent="0.35">
      <c r="A202" t="s">
        <v>18</v>
      </c>
      <c r="B202" t="s">
        <v>33</v>
      </c>
      <c r="C202" t="s">
        <v>93</v>
      </c>
      <c r="D202" t="s">
        <v>81</v>
      </c>
      <c r="E202" t="s">
        <v>119</v>
      </c>
      <c r="F202" t="s">
        <v>73</v>
      </c>
      <c r="G202" t="s">
        <v>74</v>
      </c>
      <c r="H202" t="s">
        <v>127</v>
      </c>
      <c r="I202" t="s">
        <v>84</v>
      </c>
      <c r="J202" s="76">
        <f>'SUT_EU27 total'!$M$107</f>
        <v>1.0000807460939076</v>
      </c>
    </row>
    <row r="203" spans="1:10" x14ac:dyDescent="0.35">
      <c r="A203" t="s">
        <v>18</v>
      </c>
      <c r="B203" t="s">
        <v>33</v>
      </c>
      <c r="C203" t="s">
        <v>93</v>
      </c>
      <c r="D203" t="s">
        <v>81</v>
      </c>
      <c r="E203" t="s">
        <v>124</v>
      </c>
      <c r="F203" t="s">
        <v>73</v>
      </c>
      <c r="G203" t="s">
        <v>74</v>
      </c>
      <c r="H203" t="s">
        <v>127</v>
      </c>
      <c r="I203" t="s">
        <v>84</v>
      </c>
      <c r="J203" s="76" cm="1">
        <f t="array" ref="J203:J211">'SUT_EU27 total'!$M$111:$M$119</f>
        <v>3.7052409430862396E-4</v>
      </c>
    </row>
    <row r="204" spans="1:10" x14ac:dyDescent="0.35">
      <c r="A204" t="s">
        <v>18</v>
      </c>
      <c r="B204" t="s">
        <v>33</v>
      </c>
      <c r="C204" t="s">
        <v>93</v>
      </c>
      <c r="D204" t="s">
        <v>81</v>
      </c>
      <c r="E204" t="s">
        <v>117</v>
      </c>
      <c r="F204" t="s">
        <v>73</v>
      </c>
      <c r="G204" t="s">
        <v>74</v>
      </c>
      <c r="H204" t="s">
        <v>127</v>
      </c>
      <c r="I204" t="s">
        <v>84</v>
      </c>
      <c r="J204" s="4">
        <v>5.8414042458127093E-3</v>
      </c>
    </row>
    <row r="205" spans="1:10" x14ac:dyDescent="0.35">
      <c r="A205" t="s">
        <v>18</v>
      </c>
      <c r="B205" t="s">
        <v>33</v>
      </c>
      <c r="C205" t="s">
        <v>93</v>
      </c>
      <c r="D205" t="s">
        <v>81</v>
      </c>
      <c r="E205" t="s">
        <v>82</v>
      </c>
      <c r="F205" t="s">
        <v>73</v>
      </c>
      <c r="G205" t="s">
        <v>74</v>
      </c>
      <c r="H205" t="s">
        <v>127</v>
      </c>
      <c r="I205" t="s">
        <v>84</v>
      </c>
      <c r="J205" s="4">
        <v>5.0319447308723453E-3</v>
      </c>
    </row>
    <row r="206" spans="1:10" x14ac:dyDescent="0.35">
      <c r="A206" t="s">
        <v>18</v>
      </c>
      <c r="B206" t="s">
        <v>33</v>
      </c>
      <c r="C206" t="s">
        <v>93</v>
      </c>
      <c r="D206" t="s">
        <v>81</v>
      </c>
      <c r="E206" t="s">
        <v>125</v>
      </c>
      <c r="F206" t="s">
        <v>73</v>
      </c>
      <c r="G206" t="s">
        <v>74</v>
      </c>
      <c r="H206" t="s">
        <v>127</v>
      </c>
      <c r="I206" t="s">
        <v>84</v>
      </c>
      <c r="J206" s="4">
        <v>4.336096678710085E-4</v>
      </c>
    </row>
    <row r="207" spans="1:10" x14ac:dyDescent="0.35">
      <c r="A207" t="s">
        <v>18</v>
      </c>
      <c r="B207" t="s">
        <v>33</v>
      </c>
      <c r="C207" t="s">
        <v>93</v>
      </c>
      <c r="D207" t="s">
        <v>81</v>
      </c>
      <c r="E207" t="s">
        <v>122</v>
      </c>
      <c r="F207" t="s">
        <v>73</v>
      </c>
      <c r="G207" t="s">
        <v>74</v>
      </c>
      <c r="H207" t="s">
        <v>127</v>
      </c>
      <c r="I207" t="s">
        <v>84</v>
      </c>
      <c r="J207" s="4">
        <v>2.7129607609988112E-3</v>
      </c>
    </row>
    <row r="208" spans="1:10" x14ac:dyDescent="0.35">
      <c r="A208" t="s">
        <v>18</v>
      </c>
      <c r="B208" t="s">
        <v>33</v>
      </c>
      <c r="C208" t="s">
        <v>93</v>
      </c>
      <c r="D208" t="s">
        <v>81</v>
      </c>
      <c r="E208" t="s">
        <v>126</v>
      </c>
      <c r="F208" t="s">
        <v>73</v>
      </c>
      <c r="G208" t="s">
        <v>74</v>
      </c>
      <c r="H208" t="s">
        <v>127</v>
      </c>
      <c r="I208" t="s">
        <v>84</v>
      </c>
      <c r="J208" s="4">
        <v>4.3855511603587784E-2</v>
      </c>
    </row>
    <row r="209" spans="1:10" x14ac:dyDescent="0.35">
      <c r="A209" t="s">
        <v>18</v>
      </c>
      <c r="B209" t="s">
        <v>33</v>
      </c>
      <c r="C209" t="s">
        <v>93</v>
      </c>
      <c r="D209" t="s">
        <v>81</v>
      </c>
      <c r="E209" t="s">
        <v>101</v>
      </c>
      <c r="F209" t="s">
        <v>73</v>
      </c>
      <c r="G209" t="s">
        <v>74</v>
      </c>
      <c r="H209" t="s">
        <v>127</v>
      </c>
      <c r="I209" t="s">
        <v>84</v>
      </c>
      <c r="J209" s="4">
        <v>0</v>
      </c>
    </row>
    <row r="210" spans="1:10" x14ac:dyDescent="0.35">
      <c r="A210" t="s">
        <v>18</v>
      </c>
      <c r="B210" t="s">
        <v>33</v>
      </c>
      <c r="C210" t="s">
        <v>93</v>
      </c>
      <c r="D210" t="s">
        <v>81</v>
      </c>
      <c r="E210" t="s">
        <v>104</v>
      </c>
      <c r="F210" t="s">
        <v>73</v>
      </c>
      <c r="G210" t="s">
        <v>74</v>
      </c>
      <c r="H210" t="s">
        <v>127</v>
      </c>
      <c r="I210" t="s">
        <v>84</v>
      </c>
      <c r="J210" s="4">
        <v>0</v>
      </c>
    </row>
    <row r="211" spans="1:10" x14ac:dyDescent="0.35">
      <c r="A211" t="s">
        <v>18</v>
      </c>
      <c r="B211" t="s">
        <v>33</v>
      </c>
      <c r="C211" t="s">
        <v>93</v>
      </c>
      <c r="D211" t="s">
        <v>81</v>
      </c>
      <c r="E211" t="s">
        <v>106</v>
      </c>
      <c r="F211" t="s">
        <v>73</v>
      </c>
      <c r="G211" t="s">
        <v>74</v>
      </c>
      <c r="H211" t="s">
        <v>127</v>
      </c>
      <c r="I211" t="s">
        <v>84</v>
      </c>
      <c r="J211" s="4">
        <v>0</v>
      </c>
    </row>
    <row r="212" spans="1:10" x14ac:dyDescent="0.35">
      <c r="A212" t="s">
        <v>18</v>
      </c>
      <c r="B212" t="s">
        <v>33</v>
      </c>
      <c r="C212" t="s">
        <v>73</v>
      </c>
      <c r="D212" t="s">
        <v>81</v>
      </c>
      <c r="E212" t="s">
        <v>82</v>
      </c>
      <c r="F212" t="s">
        <v>73</v>
      </c>
      <c r="G212" t="s">
        <v>74</v>
      </c>
      <c r="H212" t="s">
        <v>128</v>
      </c>
      <c r="I212" t="s">
        <v>84</v>
      </c>
      <c r="J212" s="465" cm="1">
        <f t="array" ref="J212:J235">Sensitivity!J18:J41</f>
        <v>2.6760974214171465E-4</v>
      </c>
    </row>
    <row r="213" spans="1:10" x14ac:dyDescent="0.35">
      <c r="A213" t="s">
        <v>18</v>
      </c>
      <c r="B213" t="s">
        <v>33</v>
      </c>
      <c r="C213" t="s">
        <v>73</v>
      </c>
      <c r="D213" t="s">
        <v>81</v>
      </c>
      <c r="E213" t="s">
        <v>86</v>
      </c>
      <c r="F213" t="s">
        <v>73</v>
      </c>
      <c r="G213" t="s">
        <v>74</v>
      </c>
      <c r="H213" t="s">
        <v>128</v>
      </c>
      <c r="I213" t="s">
        <v>84</v>
      </c>
      <c r="J213" s="465">
        <v>3.7016175236971698E-3</v>
      </c>
    </row>
    <row r="214" spans="1:10" x14ac:dyDescent="0.35">
      <c r="A214" t="s">
        <v>18</v>
      </c>
      <c r="B214" t="s">
        <v>33</v>
      </c>
      <c r="C214" t="s">
        <v>88</v>
      </c>
      <c r="D214" t="s">
        <v>81</v>
      </c>
      <c r="E214" t="s">
        <v>82</v>
      </c>
      <c r="F214" t="s">
        <v>73</v>
      </c>
      <c r="G214" t="s">
        <v>74</v>
      </c>
      <c r="H214" t="s">
        <v>128</v>
      </c>
      <c r="I214" t="s">
        <v>84</v>
      </c>
      <c r="J214" s="465">
        <v>1.6846497285095353E-4</v>
      </c>
    </row>
    <row r="215" spans="1:10" x14ac:dyDescent="0.35">
      <c r="A215" t="s">
        <v>18</v>
      </c>
      <c r="B215" t="s">
        <v>33</v>
      </c>
      <c r="C215" t="s">
        <v>88</v>
      </c>
      <c r="D215" t="s">
        <v>81</v>
      </c>
      <c r="E215" t="s">
        <v>86</v>
      </c>
      <c r="F215" t="s">
        <v>73</v>
      </c>
      <c r="G215" t="s">
        <v>74</v>
      </c>
      <c r="H215" t="s">
        <v>128</v>
      </c>
      <c r="I215" t="s">
        <v>84</v>
      </c>
      <c r="J215" s="465">
        <v>8.3841145981034843E-2</v>
      </c>
    </row>
    <row r="216" spans="1:10" x14ac:dyDescent="0.35">
      <c r="A216" t="s">
        <v>18</v>
      </c>
      <c r="B216" t="s">
        <v>33</v>
      </c>
      <c r="C216" t="s">
        <v>90</v>
      </c>
      <c r="D216" t="s">
        <v>81</v>
      </c>
      <c r="E216" t="s">
        <v>82</v>
      </c>
      <c r="F216" t="s">
        <v>73</v>
      </c>
      <c r="G216" t="s">
        <v>74</v>
      </c>
      <c r="H216" t="s">
        <v>128</v>
      </c>
      <c r="I216" t="s">
        <v>84</v>
      </c>
      <c r="J216" s="465">
        <v>4.0529696913112775E-8</v>
      </c>
    </row>
    <row r="217" spans="1:10" x14ac:dyDescent="0.35">
      <c r="A217" t="s">
        <v>18</v>
      </c>
      <c r="B217" t="s">
        <v>33</v>
      </c>
      <c r="C217" t="s">
        <v>90</v>
      </c>
      <c r="D217" t="s">
        <v>81</v>
      </c>
      <c r="E217" t="s">
        <v>86</v>
      </c>
      <c r="F217" t="s">
        <v>73</v>
      </c>
      <c r="G217" t="s">
        <v>74</v>
      </c>
      <c r="H217" t="s">
        <v>128</v>
      </c>
      <c r="I217" t="s">
        <v>84</v>
      </c>
      <c r="J217" s="465">
        <v>1.0973937716142008E-2</v>
      </c>
    </row>
    <row r="218" spans="1:10" x14ac:dyDescent="0.35">
      <c r="A218" t="s">
        <v>18</v>
      </c>
      <c r="B218" t="s">
        <v>33</v>
      </c>
      <c r="C218" t="s">
        <v>91</v>
      </c>
      <c r="D218" t="s">
        <v>81</v>
      </c>
      <c r="E218" t="s">
        <v>82</v>
      </c>
      <c r="F218" t="s">
        <v>73</v>
      </c>
      <c r="G218" t="s">
        <v>74</v>
      </c>
      <c r="H218" t="s">
        <v>128</v>
      </c>
      <c r="I218" t="s">
        <v>84</v>
      </c>
      <c r="J218" s="465">
        <v>7.8859787450203447E-6</v>
      </c>
    </row>
    <row r="219" spans="1:10" x14ac:dyDescent="0.35">
      <c r="A219" t="s">
        <v>18</v>
      </c>
      <c r="B219" t="s">
        <v>33</v>
      </c>
      <c r="C219" t="s">
        <v>91</v>
      </c>
      <c r="D219" t="s">
        <v>81</v>
      </c>
      <c r="E219" t="s">
        <v>86</v>
      </c>
      <c r="F219" t="s">
        <v>73</v>
      </c>
      <c r="G219" t="s">
        <v>74</v>
      </c>
      <c r="H219" t="s">
        <v>128</v>
      </c>
      <c r="I219" t="s">
        <v>84</v>
      </c>
      <c r="J219" s="465">
        <v>1.3654419371233061E-2</v>
      </c>
    </row>
    <row r="220" spans="1:10" x14ac:dyDescent="0.35">
      <c r="A220" t="s">
        <v>18</v>
      </c>
      <c r="B220" t="s">
        <v>33</v>
      </c>
      <c r="C220" t="s">
        <v>92</v>
      </c>
      <c r="D220" t="s">
        <v>81</v>
      </c>
      <c r="E220" t="s">
        <v>82</v>
      </c>
      <c r="F220" t="s">
        <v>73</v>
      </c>
      <c r="G220" t="s">
        <v>74</v>
      </c>
      <c r="H220" t="s">
        <v>128</v>
      </c>
      <c r="I220" t="s">
        <v>84</v>
      </c>
      <c r="J220" s="465">
        <v>1.0947328811186329E-5</v>
      </c>
    </row>
    <row r="221" spans="1:10" x14ac:dyDescent="0.35">
      <c r="A221" t="s">
        <v>18</v>
      </c>
      <c r="B221" t="s">
        <v>33</v>
      </c>
      <c r="C221" t="s">
        <v>92</v>
      </c>
      <c r="D221" t="s">
        <v>81</v>
      </c>
      <c r="E221" t="s">
        <v>86</v>
      </c>
      <c r="F221" t="s">
        <v>73</v>
      </c>
      <c r="G221" t="s">
        <v>74</v>
      </c>
      <c r="H221" t="s">
        <v>128</v>
      </c>
      <c r="I221" t="s">
        <v>84</v>
      </c>
      <c r="J221" s="465">
        <v>8.5029198289701558E-3</v>
      </c>
    </row>
    <row r="222" spans="1:10" x14ac:dyDescent="0.35">
      <c r="A222" t="s">
        <v>18</v>
      </c>
      <c r="B222" t="s">
        <v>33</v>
      </c>
      <c r="C222" t="s">
        <v>93</v>
      </c>
      <c r="D222" t="s">
        <v>81</v>
      </c>
      <c r="E222" t="s">
        <v>82</v>
      </c>
      <c r="F222" t="s">
        <v>73</v>
      </c>
      <c r="G222" t="s">
        <v>74</v>
      </c>
      <c r="H222" t="s">
        <v>128</v>
      </c>
      <c r="I222" t="s">
        <v>84</v>
      </c>
      <c r="J222" s="465">
        <v>4.5375221154525037E-5</v>
      </c>
    </row>
    <row r="223" spans="1:10" x14ac:dyDescent="0.35">
      <c r="A223" t="s">
        <v>18</v>
      </c>
      <c r="B223" t="s">
        <v>33</v>
      </c>
      <c r="C223" t="s">
        <v>93</v>
      </c>
      <c r="D223" t="s">
        <v>81</v>
      </c>
      <c r="E223" t="s">
        <v>86</v>
      </c>
      <c r="F223" t="s">
        <v>73</v>
      </c>
      <c r="G223" t="s">
        <v>74</v>
      </c>
      <c r="H223" t="s">
        <v>128</v>
      </c>
      <c r="I223" t="s">
        <v>84</v>
      </c>
      <c r="J223" s="465">
        <v>3.8027492491456601E-2</v>
      </c>
    </row>
    <row r="224" spans="1:10" x14ac:dyDescent="0.35">
      <c r="A224" t="s">
        <v>18</v>
      </c>
      <c r="B224" t="s">
        <v>33</v>
      </c>
      <c r="C224" t="s">
        <v>73</v>
      </c>
      <c r="D224" t="s">
        <v>81</v>
      </c>
      <c r="E224" t="s">
        <v>82</v>
      </c>
      <c r="F224" t="s">
        <v>73</v>
      </c>
      <c r="G224" t="s">
        <v>74</v>
      </c>
      <c r="H224" t="s">
        <v>129</v>
      </c>
      <c r="I224" t="s">
        <v>84</v>
      </c>
      <c r="J224" s="465">
        <v>2.6760974214171465E-4</v>
      </c>
    </row>
    <row r="225" spans="1:10" x14ac:dyDescent="0.35">
      <c r="A225" t="s">
        <v>18</v>
      </c>
      <c r="B225" t="s">
        <v>33</v>
      </c>
      <c r="C225" t="s">
        <v>73</v>
      </c>
      <c r="D225" t="s">
        <v>81</v>
      </c>
      <c r="E225" t="s">
        <v>86</v>
      </c>
      <c r="F225" t="s">
        <v>73</v>
      </c>
      <c r="G225" t="s">
        <v>74</v>
      </c>
      <c r="H225" t="s">
        <v>129</v>
      </c>
      <c r="I225" t="s">
        <v>84</v>
      </c>
      <c r="J225" s="465">
        <v>3.7016175236971698E-3</v>
      </c>
    </row>
    <row r="226" spans="1:10" x14ac:dyDescent="0.35">
      <c r="A226" t="s">
        <v>18</v>
      </c>
      <c r="B226" t="s">
        <v>33</v>
      </c>
      <c r="C226" t="s">
        <v>88</v>
      </c>
      <c r="D226" t="s">
        <v>81</v>
      </c>
      <c r="E226" t="s">
        <v>82</v>
      </c>
      <c r="F226" t="s">
        <v>73</v>
      </c>
      <c r="G226" t="s">
        <v>74</v>
      </c>
      <c r="H226" t="s">
        <v>129</v>
      </c>
      <c r="I226" t="s">
        <v>84</v>
      </c>
      <c r="J226" s="465">
        <v>1.6846497285095353E-4</v>
      </c>
    </row>
    <row r="227" spans="1:10" x14ac:dyDescent="0.35">
      <c r="A227" t="s">
        <v>18</v>
      </c>
      <c r="B227" t="s">
        <v>33</v>
      </c>
      <c r="C227" t="s">
        <v>88</v>
      </c>
      <c r="D227" t="s">
        <v>81</v>
      </c>
      <c r="E227" t="s">
        <v>86</v>
      </c>
      <c r="F227" t="s">
        <v>73</v>
      </c>
      <c r="G227" t="s">
        <v>74</v>
      </c>
      <c r="H227" t="s">
        <v>129</v>
      </c>
      <c r="I227" t="s">
        <v>84</v>
      </c>
      <c r="J227" s="465">
        <v>8.3841145981034843E-2</v>
      </c>
    </row>
    <row r="228" spans="1:10" x14ac:dyDescent="0.35">
      <c r="A228" t="s">
        <v>18</v>
      </c>
      <c r="B228" t="s">
        <v>33</v>
      </c>
      <c r="C228" t="s">
        <v>90</v>
      </c>
      <c r="D228" t="s">
        <v>81</v>
      </c>
      <c r="E228" t="s">
        <v>82</v>
      </c>
      <c r="F228" t="s">
        <v>73</v>
      </c>
      <c r="G228" t="s">
        <v>74</v>
      </c>
      <c r="H228" t="s">
        <v>129</v>
      </c>
      <c r="I228" t="s">
        <v>84</v>
      </c>
      <c r="J228" s="465">
        <v>4.0529696913112775E-8</v>
      </c>
    </row>
    <row r="229" spans="1:10" x14ac:dyDescent="0.35">
      <c r="A229" t="s">
        <v>18</v>
      </c>
      <c r="B229" t="s">
        <v>33</v>
      </c>
      <c r="C229" t="s">
        <v>90</v>
      </c>
      <c r="D229" t="s">
        <v>81</v>
      </c>
      <c r="E229" t="s">
        <v>86</v>
      </c>
      <c r="F229" t="s">
        <v>73</v>
      </c>
      <c r="G229" t="s">
        <v>74</v>
      </c>
      <c r="H229" t="s">
        <v>129</v>
      </c>
      <c r="I229" t="s">
        <v>84</v>
      </c>
      <c r="J229" s="465">
        <v>1.0973937716142008E-2</v>
      </c>
    </row>
    <row r="230" spans="1:10" x14ac:dyDescent="0.35">
      <c r="A230" t="s">
        <v>18</v>
      </c>
      <c r="B230" t="s">
        <v>33</v>
      </c>
      <c r="C230" t="s">
        <v>91</v>
      </c>
      <c r="D230" t="s">
        <v>81</v>
      </c>
      <c r="E230" t="s">
        <v>82</v>
      </c>
      <c r="F230" t="s">
        <v>73</v>
      </c>
      <c r="G230" t="s">
        <v>74</v>
      </c>
      <c r="H230" t="s">
        <v>129</v>
      </c>
      <c r="I230" t="s">
        <v>84</v>
      </c>
      <c r="J230" s="465">
        <v>7.8859787450203447E-6</v>
      </c>
    </row>
    <row r="231" spans="1:10" x14ac:dyDescent="0.35">
      <c r="A231" t="s">
        <v>18</v>
      </c>
      <c r="B231" t="s">
        <v>33</v>
      </c>
      <c r="C231" t="s">
        <v>91</v>
      </c>
      <c r="D231" t="s">
        <v>81</v>
      </c>
      <c r="E231" t="s">
        <v>86</v>
      </c>
      <c r="F231" t="s">
        <v>73</v>
      </c>
      <c r="G231" t="s">
        <v>74</v>
      </c>
      <c r="H231" t="s">
        <v>129</v>
      </c>
      <c r="I231" t="s">
        <v>84</v>
      </c>
      <c r="J231" s="465">
        <v>1.3654419371233061E-2</v>
      </c>
    </row>
    <row r="232" spans="1:10" x14ac:dyDescent="0.35">
      <c r="A232" t="s">
        <v>18</v>
      </c>
      <c r="B232" t="s">
        <v>33</v>
      </c>
      <c r="C232" t="s">
        <v>92</v>
      </c>
      <c r="D232" t="s">
        <v>81</v>
      </c>
      <c r="E232" t="s">
        <v>82</v>
      </c>
      <c r="F232" t="s">
        <v>73</v>
      </c>
      <c r="G232" t="s">
        <v>74</v>
      </c>
      <c r="H232" t="s">
        <v>129</v>
      </c>
      <c r="I232" t="s">
        <v>84</v>
      </c>
      <c r="J232" s="465">
        <v>1.0947328811186329E-5</v>
      </c>
    </row>
    <row r="233" spans="1:10" x14ac:dyDescent="0.35">
      <c r="A233" t="s">
        <v>18</v>
      </c>
      <c r="B233" t="s">
        <v>33</v>
      </c>
      <c r="C233" t="s">
        <v>92</v>
      </c>
      <c r="D233" t="s">
        <v>81</v>
      </c>
      <c r="E233" t="s">
        <v>86</v>
      </c>
      <c r="F233" t="s">
        <v>73</v>
      </c>
      <c r="G233" t="s">
        <v>74</v>
      </c>
      <c r="H233" t="s">
        <v>129</v>
      </c>
      <c r="I233" t="s">
        <v>84</v>
      </c>
      <c r="J233" s="465">
        <v>8.5029198289701558E-3</v>
      </c>
    </row>
    <row r="234" spans="1:10" x14ac:dyDescent="0.35">
      <c r="A234" t="s">
        <v>18</v>
      </c>
      <c r="B234" t="s">
        <v>33</v>
      </c>
      <c r="C234" t="s">
        <v>93</v>
      </c>
      <c r="D234" t="s">
        <v>81</v>
      </c>
      <c r="E234" t="s">
        <v>82</v>
      </c>
      <c r="F234" t="s">
        <v>73</v>
      </c>
      <c r="G234" t="s">
        <v>74</v>
      </c>
      <c r="H234" t="s">
        <v>129</v>
      </c>
      <c r="I234" t="s">
        <v>84</v>
      </c>
      <c r="J234" s="465">
        <v>4.5375221154525037E-5</v>
      </c>
    </row>
    <row r="235" spans="1:10" x14ac:dyDescent="0.35">
      <c r="A235" t="s">
        <v>18</v>
      </c>
      <c r="B235" t="s">
        <v>33</v>
      </c>
      <c r="C235" t="s">
        <v>93</v>
      </c>
      <c r="D235" t="s">
        <v>81</v>
      </c>
      <c r="E235" t="s">
        <v>86</v>
      </c>
      <c r="F235" t="s">
        <v>73</v>
      </c>
      <c r="G235" t="s">
        <v>74</v>
      </c>
      <c r="H235" t="s">
        <v>129</v>
      </c>
      <c r="I235" t="s">
        <v>84</v>
      </c>
      <c r="J235" s="465">
        <v>3.8027492491456601E-2</v>
      </c>
    </row>
    <row r="236" spans="1:10" x14ac:dyDescent="0.35">
      <c r="A236" t="s">
        <v>18</v>
      </c>
      <c r="B236" t="s">
        <v>33</v>
      </c>
      <c r="C236" t="s">
        <v>73</v>
      </c>
      <c r="D236" t="s">
        <v>81</v>
      </c>
      <c r="E236" t="s">
        <v>82</v>
      </c>
      <c r="F236" t="s">
        <v>73</v>
      </c>
      <c r="G236" t="s">
        <v>74</v>
      </c>
      <c r="H236" t="s">
        <v>130</v>
      </c>
      <c r="I236" t="s">
        <v>84</v>
      </c>
      <c r="J236" s="76">
        <f>'SUT_EU27 total'!$Q$28</f>
        <v>7.0611384178638645E-2</v>
      </c>
    </row>
    <row r="237" spans="1:10" x14ac:dyDescent="0.35">
      <c r="A237" t="s">
        <v>18</v>
      </c>
      <c r="B237" t="s">
        <v>33</v>
      </c>
      <c r="C237" t="s">
        <v>88</v>
      </c>
      <c r="D237" t="s">
        <v>81</v>
      </c>
      <c r="E237" t="s">
        <v>82</v>
      </c>
      <c r="F237" t="s">
        <v>73</v>
      </c>
      <c r="G237" t="s">
        <v>74</v>
      </c>
      <c r="H237" t="s">
        <v>130</v>
      </c>
      <c r="I237" t="s">
        <v>84</v>
      </c>
      <c r="J237" s="76">
        <f>'SUT_EU27 total'!$Q$45</f>
        <v>4.4451090694311274E-2</v>
      </c>
    </row>
    <row r="238" spans="1:10" x14ac:dyDescent="0.35">
      <c r="A238" t="s">
        <v>18</v>
      </c>
      <c r="B238" t="s">
        <v>33</v>
      </c>
      <c r="C238" t="s">
        <v>90</v>
      </c>
      <c r="D238" t="s">
        <v>81</v>
      </c>
      <c r="E238" t="s">
        <v>82</v>
      </c>
      <c r="F238" t="s">
        <v>73</v>
      </c>
      <c r="G238" t="s">
        <v>74</v>
      </c>
      <c r="H238" t="s">
        <v>130</v>
      </c>
      <c r="I238" t="s">
        <v>84</v>
      </c>
      <c r="J238" s="76">
        <f>'SUT_EU27 total'!$Q$62</f>
        <v>1.0694147292515508E-5</v>
      </c>
    </row>
    <row r="239" spans="1:10" x14ac:dyDescent="0.35">
      <c r="A239" t="s">
        <v>18</v>
      </c>
      <c r="B239" t="s">
        <v>33</v>
      </c>
      <c r="C239" t="s">
        <v>91</v>
      </c>
      <c r="D239" t="s">
        <v>81</v>
      </c>
      <c r="E239" t="s">
        <v>82</v>
      </c>
      <c r="F239" t="s">
        <v>73</v>
      </c>
      <c r="G239" t="s">
        <v>74</v>
      </c>
      <c r="H239" t="s">
        <v>130</v>
      </c>
      <c r="I239" t="s">
        <v>84</v>
      </c>
      <c r="J239" s="76">
        <f>'SUT_EU27 total'!$Q$79</f>
        <v>2.0807907452574416E-3</v>
      </c>
    </row>
    <row r="240" spans="1:10" x14ac:dyDescent="0.35">
      <c r="A240" t="s">
        <v>18</v>
      </c>
      <c r="B240" t="s">
        <v>33</v>
      </c>
      <c r="C240" t="s">
        <v>92</v>
      </c>
      <c r="D240" t="s">
        <v>81</v>
      </c>
      <c r="E240" t="s">
        <v>82</v>
      </c>
      <c r="F240" t="s">
        <v>73</v>
      </c>
      <c r="G240" t="s">
        <v>74</v>
      </c>
      <c r="H240" t="s">
        <v>130</v>
      </c>
      <c r="I240" t="s">
        <v>84</v>
      </c>
      <c r="J240" s="76">
        <f>'SUT_EU27 total'!$Q$96</f>
        <v>2.8885571737041122E-3</v>
      </c>
    </row>
    <row r="241" spans="1:10" x14ac:dyDescent="0.35">
      <c r="A241" t="s">
        <v>18</v>
      </c>
      <c r="B241" t="s">
        <v>33</v>
      </c>
      <c r="C241" t="s">
        <v>93</v>
      </c>
      <c r="D241" t="s">
        <v>81</v>
      </c>
      <c r="E241" t="s">
        <v>82</v>
      </c>
      <c r="F241" t="s">
        <v>73</v>
      </c>
      <c r="G241" t="s">
        <v>74</v>
      </c>
      <c r="H241" t="s">
        <v>130</v>
      </c>
      <c r="I241" t="s">
        <v>84</v>
      </c>
      <c r="J241" s="76">
        <f>'SUT_EU27 total'!$Q$113</f>
        <v>1.1972685102906883E-2</v>
      </c>
    </row>
    <row r="242" spans="1:10" x14ac:dyDescent="0.35">
      <c r="A242" t="s">
        <v>18</v>
      </c>
      <c r="B242" t="s">
        <v>33</v>
      </c>
      <c r="C242" t="s">
        <v>73</v>
      </c>
      <c r="D242" t="s">
        <v>81</v>
      </c>
      <c r="E242" t="s">
        <v>131</v>
      </c>
      <c r="F242" t="s">
        <v>73</v>
      </c>
      <c r="G242" t="s">
        <v>74</v>
      </c>
      <c r="H242" t="s">
        <v>112</v>
      </c>
      <c r="I242" t="s">
        <v>84</v>
      </c>
      <c r="J242" s="76">
        <f>'SUT_EU27 total'!$R$24</f>
        <v>4.0146105919003111E-8</v>
      </c>
    </row>
    <row r="243" spans="1:10" x14ac:dyDescent="0.35">
      <c r="A243" t="s">
        <v>18</v>
      </c>
      <c r="B243" t="s">
        <v>33</v>
      </c>
      <c r="C243" t="s">
        <v>73</v>
      </c>
      <c r="D243" t="s">
        <v>81</v>
      </c>
      <c r="E243" t="s">
        <v>122</v>
      </c>
      <c r="F243" t="s">
        <v>73</v>
      </c>
      <c r="G243" t="s">
        <v>74</v>
      </c>
      <c r="H243" t="s">
        <v>112</v>
      </c>
      <c r="I243" t="s">
        <v>84</v>
      </c>
      <c r="J243" s="76">
        <f>'SUT_EU27 total'!$R$30</f>
        <v>3.9708116569218732E-4</v>
      </c>
    </row>
    <row r="244" spans="1:10" x14ac:dyDescent="0.35">
      <c r="A244" t="s">
        <v>18</v>
      </c>
      <c r="B244" t="s">
        <v>33</v>
      </c>
      <c r="C244" t="s">
        <v>73</v>
      </c>
      <c r="D244" t="s">
        <v>81</v>
      </c>
      <c r="E244" t="s">
        <v>101</v>
      </c>
      <c r="F244" t="s">
        <v>73</v>
      </c>
      <c r="G244" t="s">
        <v>74</v>
      </c>
      <c r="H244" t="s">
        <v>112</v>
      </c>
      <c r="I244" t="s">
        <v>84</v>
      </c>
      <c r="J244" s="76" cm="1">
        <f t="array" ref="J244:J246">'SUT_EU27 total'!$R$32:$R$34</f>
        <v>1.2183459827918709E-7</v>
      </c>
    </row>
    <row r="245" spans="1:10" x14ac:dyDescent="0.35">
      <c r="A245" t="s">
        <v>18</v>
      </c>
      <c r="B245" t="s">
        <v>33</v>
      </c>
      <c r="C245" t="s">
        <v>73</v>
      </c>
      <c r="D245" t="s">
        <v>81</v>
      </c>
      <c r="E245" t="s">
        <v>104</v>
      </c>
      <c r="F245" t="s">
        <v>73</v>
      </c>
      <c r="G245" t="s">
        <v>74</v>
      </c>
      <c r="H245" t="s">
        <v>112</v>
      </c>
      <c r="I245" t="s">
        <v>84</v>
      </c>
      <c r="J245" s="4">
        <v>2.3068290654205609E-7</v>
      </c>
    </row>
    <row r="246" spans="1:10" x14ac:dyDescent="0.35">
      <c r="A246" t="s">
        <v>18</v>
      </c>
      <c r="B246" t="s">
        <v>33</v>
      </c>
      <c r="C246" t="s">
        <v>73</v>
      </c>
      <c r="D246" t="s">
        <v>81</v>
      </c>
      <c r="E246" t="s">
        <v>106</v>
      </c>
      <c r="F246" t="s">
        <v>73</v>
      </c>
      <c r="G246" t="s">
        <v>74</v>
      </c>
      <c r="H246" t="s">
        <v>112</v>
      </c>
      <c r="I246" t="s">
        <v>84</v>
      </c>
      <c r="J246" s="4">
        <v>7.8463573653760568E-7</v>
      </c>
    </row>
    <row r="247" spans="1:10" x14ac:dyDescent="0.35">
      <c r="A247" t="s">
        <v>18</v>
      </c>
      <c r="B247" t="s">
        <v>33</v>
      </c>
      <c r="C247" t="s">
        <v>88</v>
      </c>
      <c r="D247" t="s">
        <v>81</v>
      </c>
      <c r="E247" t="s">
        <v>131</v>
      </c>
      <c r="F247" t="s">
        <v>73</v>
      </c>
      <c r="G247" t="s">
        <v>74</v>
      </c>
      <c r="H247" t="s">
        <v>112</v>
      </c>
      <c r="I247" t="s">
        <v>84</v>
      </c>
      <c r="J247" s="4">
        <f>'SUT_EU27 total'!$R$41</f>
        <v>0</v>
      </c>
    </row>
    <row r="248" spans="1:10" x14ac:dyDescent="0.35">
      <c r="A248" t="s">
        <v>18</v>
      </c>
      <c r="B248" t="s">
        <v>33</v>
      </c>
      <c r="C248" t="s">
        <v>88</v>
      </c>
      <c r="D248" t="s">
        <v>81</v>
      </c>
      <c r="E248" t="s">
        <v>122</v>
      </c>
      <c r="F248" t="s">
        <v>73</v>
      </c>
      <c r="G248" t="s">
        <v>74</v>
      </c>
      <c r="H248" t="s">
        <v>112</v>
      </c>
      <c r="I248" t="s">
        <v>84</v>
      </c>
      <c r="J248" s="76">
        <f>'SUT_EU27 total'!$R$47</f>
        <v>0</v>
      </c>
    </row>
    <row r="249" spans="1:10" x14ac:dyDescent="0.35">
      <c r="A249" t="s">
        <v>18</v>
      </c>
      <c r="B249" t="s">
        <v>33</v>
      </c>
      <c r="C249" t="s">
        <v>88</v>
      </c>
      <c r="D249" t="s">
        <v>81</v>
      </c>
      <c r="E249" t="s">
        <v>101</v>
      </c>
      <c r="F249" t="s">
        <v>73</v>
      </c>
      <c r="G249" t="s">
        <v>74</v>
      </c>
      <c r="H249" t="s">
        <v>112</v>
      </c>
      <c r="I249" t="s">
        <v>84</v>
      </c>
      <c r="J249" s="4" cm="1">
        <f t="array" ref="J249:J251">'SUT_EU27 total'!$R$49:$R$51</f>
        <v>0</v>
      </c>
    </row>
    <row r="250" spans="1:10" x14ac:dyDescent="0.35">
      <c r="A250" t="s">
        <v>18</v>
      </c>
      <c r="B250" t="s">
        <v>33</v>
      </c>
      <c r="C250" t="s">
        <v>88</v>
      </c>
      <c r="D250" t="s">
        <v>81</v>
      </c>
      <c r="E250" t="s">
        <v>104</v>
      </c>
      <c r="F250" t="s">
        <v>73</v>
      </c>
      <c r="G250" t="s">
        <v>74</v>
      </c>
      <c r="H250" t="s">
        <v>112</v>
      </c>
      <c r="I250" t="s">
        <v>84</v>
      </c>
      <c r="J250" s="4">
        <v>0</v>
      </c>
    </row>
    <row r="251" spans="1:10" x14ac:dyDescent="0.35">
      <c r="A251" t="s">
        <v>18</v>
      </c>
      <c r="B251" t="s">
        <v>33</v>
      </c>
      <c r="C251" t="s">
        <v>88</v>
      </c>
      <c r="D251" t="s">
        <v>81</v>
      </c>
      <c r="E251" t="s">
        <v>106</v>
      </c>
      <c r="F251" t="s">
        <v>73</v>
      </c>
      <c r="G251" t="s">
        <v>74</v>
      </c>
      <c r="H251" t="s">
        <v>112</v>
      </c>
      <c r="I251" t="s">
        <v>84</v>
      </c>
      <c r="J251" s="4">
        <v>0</v>
      </c>
    </row>
    <row r="252" spans="1:10" x14ac:dyDescent="0.35">
      <c r="A252" t="s">
        <v>18</v>
      </c>
      <c r="B252" t="s">
        <v>33</v>
      </c>
      <c r="C252" t="s">
        <v>90</v>
      </c>
      <c r="D252" t="s">
        <v>81</v>
      </c>
      <c r="E252" t="s">
        <v>131</v>
      </c>
      <c r="F252" t="s">
        <v>73</v>
      </c>
      <c r="G252" t="s">
        <v>74</v>
      </c>
      <c r="H252" t="s">
        <v>112</v>
      </c>
      <c r="I252" t="s">
        <v>84</v>
      </c>
      <c r="J252" s="4">
        <f>'SUT_EU27 total'!$R$58</f>
        <v>0</v>
      </c>
    </row>
    <row r="253" spans="1:10" x14ac:dyDescent="0.35">
      <c r="A253" t="s">
        <v>18</v>
      </c>
      <c r="B253" t="s">
        <v>33</v>
      </c>
      <c r="C253" t="s">
        <v>90</v>
      </c>
      <c r="D253" t="s">
        <v>81</v>
      </c>
      <c r="E253" t="s">
        <v>122</v>
      </c>
      <c r="F253" t="s">
        <v>73</v>
      </c>
      <c r="G253" t="s">
        <v>74</v>
      </c>
      <c r="H253" t="s">
        <v>112</v>
      </c>
      <c r="I253" t="s">
        <v>84</v>
      </c>
      <c r="J253" s="76">
        <f>'SUT_EU27 total'!$R$64</f>
        <v>6.4108466461028498E-4</v>
      </c>
    </row>
    <row r="254" spans="1:10" x14ac:dyDescent="0.35">
      <c r="A254" t="s">
        <v>18</v>
      </c>
      <c r="B254" t="s">
        <v>33</v>
      </c>
      <c r="C254" t="s">
        <v>90</v>
      </c>
      <c r="D254" t="s">
        <v>81</v>
      </c>
      <c r="E254" t="s">
        <v>101</v>
      </c>
      <c r="F254" t="s">
        <v>73</v>
      </c>
      <c r="G254" t="s">
        <v>74</v>
      </c>
      <c r="H254" t="s">
        <v>112</v>
      </c>
      <c r="I254" t="s">
        <v>84</v>
      </c>
      <c r="J254" s="4" cm="1">
        <f t="array" ref="J254:J256">'SUT_EU27 total'!$R$66:$R$68</f>
        <v>0</v>
      </c>
    </row>
    <row r="255" spans="1:10" x14ac:dyDescent="0.35">
      <c r="A255" t="s">
        <v>18</v>
      </c>
      <c r="B255" t="s">
        <v>33</v>
      </c>
      <c r="C255" t="s">
        <v>90</v>
      </c>
      <c r="D255" t="s">
        <v>81</v>
      </c>
      <c r="E255" t="s">
        <v>104</v>
      </c>
      <c r="F255" t="s">
        <v>73</v>
      </c>
      <c r="G255" t="s">
        <v>74</v>
      </c>
      <c r="H255" t="s">
        <v>112</v>
      </c>
      <c r="I255" t="s">
        <v>84</v>
      </c>
      <c r="J255" s="4">
        <v>0</v>
      </c>
    </row>
    <row r="256" spans="1:10" x14ac:dyDescent="0.35">
      <c r="A256" t="s">
        <v>18</v>
      </c>
      <c r="B256" t="s">
        <v>33</v>
      </c>
      <c r="C256" t="s">
        <v>90</v>
      </c>
      <c r="D256" t="s">
        <v>81</v>
      </c>
      <c r="E256" t="s">
        <v>106</v>
      </c>
      <c r="F256" t="s">
        <v>73</v>
      </c>
      <c r="G256" t="s">
        <v>74</v>
      </c>
      <c r="H256" t="s">
        <v>112</v>
      </c>
      <c r="I256" t="s">
        <v>84</v>
      </c>
      <c r="J256" s="4">
        <v>0</v>
      </c>
    </row>
    <row r="257" spans="1:10" x14ac:dyDescent="0.35">
      <c r="A257" t="s">
        <v>18</v>
      </c>
      <c r="B257" t="s">
        <v>33</v>
      </c>
      <c r="C257" t="s">
        <v>91</v>
      </c>
      <c r="D257" t="s">
        <v>81</v>
      </c>
      <c r="E257" t="s">
        <v>131</v>
      </c>
      <c r="F257" t="s">
        <v>73</v>
      </c>
      <c r="G257" t="s">
        <v>74</v>
      </c>
      <c r="H257" t="s">
        <v>112</v>
      </c>
      <c r="I257" t="s">
        <v>84</v>
      </c>
      <c r="J257" s="4">
        <f>'SUT_EU27 total'!$R$75</f>
        <v>0</v>
      </c>
    </row>
    <row r="258" spans="1:10" x14ac:dyDescent="0.35">
      <c r="A258" t="s">
        <v>18</v>
      </c>
      <c r="B258" t="s">
        <v>33</v>
      </c>
      <c r="C258" t="s">
        <v>91</v>
      </c>
      <c r="D258" t="s">
        <v>81</v>
      </c>
      <c r="E258" t="s">
        <v>122</v>
      </c>
      <c r="F258" t="s">
        <v>73</v>
      </c>
      <c r="G258" t="s">
        <v>74</v>
      </c>
      <c r="H258" t="s">
        <v>112</v>
      </c>
      <c r="I258" t="s">
        <v>84</v>
      </c>
      <c r="J258" s="76">
        <f>'SUT_EU27 total'!$R$81</f>
        <v>0</v>
      </c>
    </row>
    <row r="259" spans="1:10" x14ac:dyDescent="0.35">
      <c r="A259" t="s">
        <v>18</v>
      </c>
      <c r="B259" t="s">
        <v>33</v>
      </c>
      <c r="C259" t="s">
        <v>91</v>
      </c>
      <c r="D259" t="s">
        <v>81</v>
      </c>
      <c r="E259" t="s">
        <v>101</v>
      </c>
      <c r="F259" t="s">
        <v>73</v>
      </c>
      <c r="G259" t="s">
        <v>74</v>
      </c>
      <c r="H259" t="s">
        <v>112</v>
      </c>
      <c r="I259" t="s">
        <v>84</v>
      </c>
      <c r="J259" s="4" cm="1">
        <f t="array" ref="J259:J261">'SUT_EU27 total'!$R$83:$R$85</f>
        <v>0</v>
      </c>
    </row>
    <row r="260" spans="1:10" x14ac:dyDescent="0.35">
      <c r="A260" t="s">
        <v>18</v>
      </c>
      <c r="B260" t="s">
        <v>33</v>
      </c>
      <c r="C260" t="s">
        <v>91</v>
      </c>
      <c r="D260" t="s">
        <v>81</v>
      </c>
      <c r="E260" t="s">
        <v>104</v>
      </c>
      <c r="F260" t="s">
        <v>73</v>
      </c>
      <c r="G260" t="s">
        <v>74</v>
      </c>
      <c r="H260" t="s">
        <v>112</v>
      </c>
      <c r="I260" t="s">
        <v>84</v>
      </c>
      <c r="J260" s="4">
        <v>0</v>
      </c>
    </row>
    <row r="261" spans="1:10" x14ac:dyDescent="0.35">
      <c r="A261" t="s">
        <v>18</v>
      </c>
      <c r="B261" t="s">
        <v>33</v>
      </c>
      <c r="C261" t="s">
        <v>91</v>
      </c>
      <c r="D261" t="s">
        <v>81</v>
      </c>
      <c r="E261" t="s">
        <v>106</v>
      </c>
      <c r="F261" t="s">
        <v>73</v>
      </c>
      <c r="G261" t="s">
        <v>74</v>
      </c>
      <c r="H261" t="s">
        <v>112</v>
      </c>
      <c r="I261" t="s">
        <v>84</v>
      </c>
      <c r="J261" s="4">
        <v>0</v>
      </c>
    </row>
    <row r="262" spans="1:10" x14ac:dyDescent="0.35">
      <c r="A262" t="s">
        <v>18</v>
      </c>
      <c r="B262" t="s">
        <v>33</v>
      </c>
      <c r="C262" t="s">
        <v>92</v>
      </c>
      <c r="D262" t="s">
        <v>81</v>
      </c>
      <c r="E262" t="s">
        <v>131</v>
      </c>
      <c r="F262" t="s">
        <v>73</v>
      </c>
      <c r="G262" t="s">
        <v>74</v>
      </c>
      <c r="H262" t="s">
        <v>112</v>
      </c>
      <c r="I262" t="s">
        <v>84</v>
      </c>
      <c r="J262" s="4">
        <f>'SUT_EU27 total'!$R$92</f>
        <v>0</v>
      </c>
    </row>
    <row r="263" spans="1:10" x14ac:dyDescent="0.35">
      <c r="A263" t="s">
        <v>18</v>
      </c>
      <c r="B263" t="s">
        <v>33</v>
      </c>
      <c r="C263" t="s">
        <v>92</v>
      </c>
      <c r="D263" t="s">
        <v>81</v>
      </c>
      <c r="E263" t="s">
        <v>122</v>
      </c>
      <c r="F263" t="s">
        <v>73</v>
      </c>
      <c r="G263" t="s">
        <v>74</v>
      </c>
      <c r="H263" t="s">
        <v>112</v>
      </c>
      <c r="I263" t="s">
        <v>84</v>
      </c>
      <c r="J263" s="76">
        <f>'SUT_EU27 total'!$R$98</f>
        <v>0</v>
      </c>
    </row>
    <row r="264" spans="1:10" x14ac:dyDescent="0.35">
      <c r="A264" t="s">
        <v>18</v>
      </c>
      <c r="B264" t="s">
        <v>33</v>
      </c>
      <c r="C264" t="s">
        <v>92</v>
      </c>
      <c r="D264" t="s">
        <v>81</v>
      </c>
      <c r="E264" t="s">
        <v>101</v>
      </c>
      <c r="F264" t="s">
        <v>73</v>
      </c>
      <c r="G264" t="s">
        <v>74</v>
      </c>
      <c r="H264" t="s">
        <v>112</v>
      </c>
      <c r="I264" t="s">
        <v>84</v>
      </c>
      <c r="J264" s="4" cm="1">
        <f t="array" ref="J264:J266">'SUT_EU27 total'!$R$100:$R$102</f>
        <v>0</v>
      </c>
    </row>
    <row r="265" spans="1:10" x14ac:dyDescent="0.35">
      <c r="A265" t="s">
        <v>18</v>
      </c>
      <c r="B265" t="s">
        <v>33</v>
      </c>
      <c r="C265" t="s">
        <v>92</v>
      </c>
      <c r="D265" t="s">
        <v>81</v>
      </c>
      <c r="E265" t="s">
        <v>104</v>
      </c>
      <c r="F265" t="s">
        <v>73</v>
      </c>
      <c r="G265" t="s">
        <v>74</v>
      </c>
      <c r="H265" t="s">
        <v>112</v>
      </c>
      <c r="I265" t="s">
        <v>84</v>
      </c>
      <c r="J265" s="4">
        <v>0</v>
      </c>
    </row>
    <row r="266" spans="1:10" x14ac:dyDescent="0.35">
      <c r="A266" t="s">
        <v>18</v>
      </c>
      <c r="B266" t="s">
        <v>33</v>
      </c>
      <c r="C266" t="s">
        <v>92</v>
      </c>
      <c r="D266" t="s">
        <v>81</v>
      </c>
      <c r="E266" t="s">
        <v>106</v>
      </c>
      <c r="F266" t="s">
        <v>73</v>
      </c>
      <c r="G266" t="s">
        <v>74</v>
      </c>
      <c r="H266" t="s">
        <v>112</v>
      </c>
      <c r="I266" t="s">
        <v>84</v>
      </c>
      <c r="J266" s="4">
        <v>0</v>
      </c>
    </row>
    <row r="267" spans="1:10" x14ac:dyDescent="0.35">
      <c r="A267" t="s">
        <v>18</v>
      </c>
      <c r="B267" t="s">
        <v>33</v>
      </c>
      <c r="C267" t="s">
        <v>93</v>
      </c>
      <c r="D267" t="s">
        <v>81</v>
      </c>
      <c r="E267" t="s">
        <v>131</v>
      </c>
      <c r="F267" t="s">
        <v>73</v>
      </c>
      <c r="G267" t="s">
        <v>74</v>
      </c>
      <c r="H267" t="s">
        <v>112</v>
      </c>
      <c r="I267" t="s">
        <v>84</v>
      </c>
      <c r="J267" s="4">
        <f>'SUT_EU27 total'!$R$109</f>
        <v>0</v>
      </c>
    </row>
    <row r="268" spans="1:10" x14ac:dyDescent="0.35">
      <c r="A268" t="s">
        <v>18</v>
      </c>
      <c r="B268" t="s">
        <v>33</v>
      </c>
      <c r="C268" t="s">
        <v>93</v>
      </c>
      <c r="D268" t="s">
        <v>81</v>
      </c>
      <c r="E268" t="s">
        <v>122</v>
      </c>
      <c r="F268" t="s">
        <v>73</v>
      </c>
      <c r="G268" t="s">
        <v>74</v>
      </c>
      <c r="H268" t="s">
        <v>112</v>
      </c>
      <c r="I268" t="s">
        <v>84</v>
      </c>
      <c r="J268" s="76">
        <f>'SUT_EU27 total'!$R$115</f>
        <v>2.188358424259166E-3</v>
      </c>
    </row>
    <row r="269" spans="1:10" x14ac:dyDescent="0.35">
      <c r="A269" t="s">
        <v>18</v>
      </c>
      <c r="B269" t="s">
        <v>33</v>
      </c>
      <c r="C269" t="s">
        <v>93</v>
      </c>
      <c r="D269" t="s">
        <v>81</v>
      </c>
      <c r="E269" t="s">
        <v>101</v>
      </c>
      <c r="F269" t="s">
        <v>73</v>
      </c>
      <c r="G269" t="s">
        <v>74</v>
      </c>
      <c r="H269" t="s">
        <v>112</v>
      </c>
      <c r="I269" t="s">
        <v>84</v>
      </c>
      <c r="J269" s="4" cm="1">
        <f t="array" ref="J269:J271">'SUT_EU27 total'!$R$117:$R$119</f>
        <v>0</v>
      </c>
    </row>
    <row r="270" spans="1:10" x14ac:dyDescent="0.35">
      <c r="A270" t="s">
        <v>18</v>
      </c>
      <c r="B270" t="s">
        <v>33</v>
      </c>
      <c r="C270" t="s">
        <v>93</v>
      </c>
      <c r="D270" t="s">
        <v>81</v>
      </c>
      <c r="E270" t="s">
        <v>104</v>
      </c>
      <c r="F270" t="s">
        <v>73</v>
      </c>
      <c r="G270" t="s">
        <v>74</v>
      </c>
      <c r="H270" t="s">
        <v>112</v>
      </c>
      <c r="I270" t="s">
        <v>84</v>
      </c>
      <c r="J270" s="4">
        <v>0</v>
      </c>
    </row>
    <row r="271" spans="1:10" x14ac:dyDescent="0.35">
      <c r="A271" t="s">
        <v>18</v>
      </c>
      <c r="B271" t="s">
        <v>33</v>
      </c>
      <c r="C271" t="s">
        <v>93</v>
      </c>
      <c r="D271" t="s">
        <v>81</v>
      </c>
      <c r="E271" t="s">
        <v>106</v>
      </c>
      <c r="F271" t="s">
        <v>73</v>
      </c>
      <c r="G271" t="s">
        <v>74</v>
      </c>
      <c r="H271" t="s">
        <v>112</v>
      </c>
      <c r="I271" t="s">
        <v>84</v>
      </c>
      <c r="J271" s="4">
        <v>0</v>
      </c>
    </row>
    <row r="272" spans="1:10" x14ac:dyDescent="0.35">
      <c r="A272" t="s">
        <v>18</v>
      </c>
      <c r="B272" t="s">
        <v>33</v>
      </c>
      <c r="C272" t="s">
        <v>73</v>
      </c>
      <c r="D272" t="s">
        <v>81</v>
      </c>
      <c r="E272" t="s">
        <v>131</v>
      </c>
      <c r="F272" t="s">
        <v>73</v>
      </c>
      <c r="G272" t="s">
        <v>74</v>
      </c>
      <c r="H272" t="s">
        <v>113</v>
      </c>
      <c r="I272" t="s">
        <v>84</v>
      </c>
      <c r="J272" s="76">
        <f>'SUT_EU27 total'!$S$24</f>
        <v>5.0294789999999994E-8</v>
      </c>
    </row>
    <row r="273" spans="1:10" x14ac:dyDescent="0.35">
      <c r="A273" t="s">
        <v>18</v>
      </c>
      <c r="B273" t="s">
        <v>33</v>
      </c>
      <c r="C273" t="s">
        <v>73</v>
      </c>
      <c r="D273" t="s">
        <v>81</v>
      </c>
      <c r="E273" t="s">
        <v>101</v>
      </c>
      <c r="F273" t="s">
        <v>73</v>
      </c>
      <c r="G273" t="s">
        <v>74</v>
      </c>
      <c r="H273" t="s">
        <v>113</v>
      </c>
      <c r="I273" t="s">
        <v>84</v>
      </c>
      <c r="J273" s="76" cm="1">
        <f t="array" ref="J273:J275">'SUT_EU27 total'!$S$32:$S$34</f>
        <v>1.7883556705882356E-5</v>
      </c>
    </row>
    <row r="274" spans="1:10" x14ac:dyDescent="0.35">
      <c r="A274" t="s">
        <v>18</v>
      </c>
      <c r="B274" t="s">
        <v>33</v>
      </c>
      <c r="C274" t="s">
        <v>73</v>
      </c>
      <c r="D274" t="s">
        <v>81</v>
      </c>
      <c r="E274" t="s">
        <v>104</v>
      </c>
      <c r="F274" t="s">
        <v>73</v>
      </c>
      <c r="G274" t="s">
        <v>74</v>
      </c>
      <c r="H274" t="s">
        <v>113</v>
      </c>
      <c r="I274" t="s">
        <v>84</v>
      </c>
      <c r="J274" s="4">
        <v>3.3860913882352942E-5</v>
      </c>
    </row>
    <row r="275" spans="1:10" x14ac:dyDescent="0.35">
      <c r="A275" t="s">
        <v>18</v>
      </c>
      <c r="B275" t="s">
        <v>33</v>
      </c>
      <c r="C275" t="s">
        <v>73</v>
      </c>
      <c r="D275" t="s">
        <v>81</v>
      </c>
      <c r="E275" t="s">
        <v>106</v>
      </c>
      <c r="F275" t="s">
        <v>73</v>
      </c>
      <c r="G275" t="s">
        <v>74</v>
      </c>
      <c r="H275" t="s">
        <v>113</v>
      </c>
      <c r="I275" t="s">
        <v>84</v>
      </c>
      <c r="J275" s="4">
        <v>1.1517317647058823E-4</v>
      </c>
    </row>
    <row r="276" spans="1:10" x14ac:dyDescent="0.35">
      <c r="A276" t="s">
        <v>18</v>
      </c>
      <c r="B276" t="s">
        <v>33</v>
      </c>
      <c r="C276" t="s">
        <v>88</v>
      </c>
      <c r="D276" t="s">
        <v>81</v>
      </c>
      <c r="E276" t="s">
        <v>131</v>
      </c>
      <c r="F276" t="s">
        <v>73</v>
      </c>
      <c r="G276" t="s">
        <v>74</v>
      </c>
      <c r="H276" t="s">
        <v>113</v>
      </c>
      <c r="I276" t="s">
        <v>84</v>
      </c>
      <c r="J276" s="4">
        <f>'SUT_EU27 total'!$S$41</f>
        <v>0</v>
      </c>
    </row>
    <row r="277" spans="1:10" x14ac:dyDescent="0.35">
      <c r="A277" t="s">
        <v>18</v>
      </c>
      <c r="B277" t="s">
        <v>33</v>
      </c>
      <c r="C277" t="s">
        <v>88</v>
      </c>
      <c r="D277" t="s">
        <v>81</v>
      </c>
      <c r="E277" t="s">
        <v>101</v>
      </c>
      <c r="F277" t="s">
        <v>73</v>
      </c>
      <c r="G277" t="s">
        <v>74</v>
      </c>
      <c r="H277" t="s">
        <v>113</v>
      </c>
      <c r="I277" t="s">
        <v>84</v>
      </c>
      <c r="J277" s="4" cm="1">
        <f t="array" ref="J277:J279">'SUT_EU27 total'!$S$49:$S$51</f>
        <v>0</v>
      </c>
    </row>
    <row r="278" spans="1:10" x14ac:dyDescent="0.35">
      <c r="A278" t="s">
        <v>18</v>
      </c>
      <c r="B278" t="s">
        <v>33</v>
      </c>
      <c r="C278" t="s">
        <v>88</v>
      </c>
      <c r="D278" t="s">
        <v>81</v>
      </c>
      <c r="E278" t="s">
        <v>104</v>
      </c>
      <c r="F278" t="s">
        <v>73</v>
      </c>
      <c r="G278" t="s">
        <v>74</v>
      </c>
      <c r="H278" t="s">
        <v>113</v>
      </c>
      <c r="I278" t="s">
        <v>84</v>
      </c>
      <c r="J278" s="4">
        <v>0</v>
      </c>
    </row>
    <row r="279" spans="1:10" x14ac:dyDescent="0.35">
      <c r="A279" t="s">
        <v>18</v>
      </c>
      <c r="B279" t="s">
        <v>33</v>
      </c>
      <c r="C279" t="s">
        <v>88</v>
      </c>
      <c r="D279" t="s">
        <v>81</v>
      </c>
      <c r="E279" t="s">
        <v>106</v>
      </c>
      <c r="F279" t="s">
        <v>73</v>
      </c>
      <c r="G279" t="s">
        <v>74</v>
      </c>
      <c r="H279" t="s">
        <v>113</v>
      </c>
      <c r="I279" t="s">
        <v>84</v>
      </c>
      <c r="J279" s="4">
        <v>0</v>
      </c>
    </row>
    <row r="280" spans="1:10" x14ac:dyDescent="0.35">
      <c r="A280" t="s">
        <v>18</v>
      </c>
      <c r="B280" t="s">
        <v>33</v>
      </c>
      <c r="C280" t="s">
        <v>90</v>
      </c>
      <c r="D280" t="s">
        <v>81</v>
      </c>
      <c r="E280" t="s">
        <v>131</v>
      </c>
      <c r="F280" t="s">
        <v>73</v>
      </c>
      <c r="G280" t="s">
        <v>74</v>
      </c>
      <c r="H280" t="s">
        <v>113</v>
      </c>
      <c r="I280" t="s">
        <v>84</v>
      </c>
      <c r="J280" s="4">
        <f>'SUT_EU27 total'!$S$58</f>
        <v>0</v>
      </c>
    </row>
    <row r="281" spans="1:10" x14ac:dyDescent="0.35">
      <c r="A281" t="s">
        <v>18</v>
      </c>
      <c r="B281" t="s">
        <v>33</v>
      </c>
      <c r="C281" t="s">
        <v>90</v>
      </c>
      <c r="D281" t="s">
        <v>81</v>
      </c>
      <c r="E281" t="s">
        <v>101</v>
      </c>
      <c r="F281" t="s">
        <v>73</v>
      </c>
      <c r="G281" t="s">
        <v>74</v>
      </c>
      <c r="H281" t="s">
        <v>113</v>
      </c>
      <c r="I281" t="s">
        <v>84</v>
      </c>
      <c r="J281" s="4" cm="1">
        <f t="array" ref="J281:J283">'SUT_EU27 total'!$S$66:$S$68</f>
        <v>0</v>
      </c>
    </row>
    <row r="282" spans="1:10" x14ac:dyDescent="0.35">
      <c r="A282" t="s">
        <v>18</v>
      </c>
      <c r="B282" t="s">
        <v>33</v>
      </c>
      <c r="C282" t="s">
        <v>90</v>
      </c>
      <c r="D282" t="s">
        <v>81</v>
      </c>
      <c r="E282" t="s">
        <v>104</v>
      </c>
      <c r="F282" t="s">
        <v>73</v>
      </c>
      <c r="G282" t="s">
        <v>74</v>
      </c>
      <c r="H282" t="s">
        <v>113</v>
      </c>
      <c r="I282" t="s">
        <v>84</v>
      </c>
      <c r="J282" s="4">
        <v>0</v>
      </c>
    </row>
    <row r="283" spans="1:10" x14ac:dyDescent="0.35">
      <c r="A283" t="s">
        <v>18</v>
      </c>
      <c r="B283" t="s">
        <v>33</v>
      </c>
      <c r="C283" t="s">
        <v>90</v>
      </c>
      <c r="D283" t="s">
        <v>81</v>
      </c>
      <c r="E283" t="s">
        <v>106</v>
      </c>
      <c r="F283" t="s">
        <v>73</v>
      </c>
      <c r="G283" t="s">
        <v>74</v>
      </c>
      <c r="H283" t="s">
        <v>113</v>
      </c>
      <c r="I283" t="s">
        <v>84</v>
      </c>
      <c r="J283" s="4">
        <v>0</v>
      </c>
    </row>
    <row r="284" spans="1:10" x14ac:dyDescent="0.35">
      <c r="A284" t="s">
        <v>18</v>
      </c>
      <c r="B284" t="s">
        <v>33</v>
      </c>
      <c r="C284" t="s">
        <v>91</v>
      </c>
      <c r="D284" t="s">
        <v>81</v>
      </c>
      <c r="E284" t="s">
        <v>131</v>
      </c>
      <c r="F284" t="s">
        <v>73</v>
      </c>
      <c r="G284" t="s">
        <v>74</v>
      </c>
      <c r="H284" t="s">
        <v>113</v>
      </c>
      <c r="I284" t="s">
        <v>84</v>
      </c>
      <c r="J284" s="4">
        <f>'SUT_EU27 total'!$S$75</f>
        <v>0</v>
      </c>
    </row>
    <row r="285" spans="1:10" x14ac:dyDescent="0.35">
      <c r="A285" t="s">
        <v>18</v>
      </c>
      <c r="B285" t="s">
        <v>33</v>
      </c>
      <c r="C285" t="s">
        <v>91</v>
      </c>
      <c r="D285" t="s">
        <v>81</v>
      </c>
      <c r="E285" t="s">
        <v>101</v>
      </c>
      <c r="F285" t="s">
        <v>73</v>
      </c>
      <c r="G285" t="s">
        <v>74</v>
      </c>
      <c r="H285" t="s">
        <v>113</v>
      </c>
      <c r="I285" t="s">
        <v>84</v>
      </c>
      <c r="J285" s="4" cm="1">
        <f t="array" ref="J285:J287">'SUT_EU27 total'!$S$83:$S$85</f>
        <v>0</v>
      </c>
    </row>
    <row r="286" spans="1:10" x14ac:dyDescent="0.35">
      <c r="A286" t="s">
        <v>18</v>
      </c>
      <c r="B286" t="s">
        <v>33</v>
      </c>
      <c r="C286" t="s">
        <v>91</v>
      </c>
      <c r="D286" t="s">
        <v>81</v>
      </c>
      <c r="E286" t="s">
        <v>104</v>
      </c>
      <c r="F286" t="s">
        <v>73</v>
      </c>
      <c r="G286" t="s">
        <v>74</v>
      </c>
      <c r="H286" t="s">
        <v>113</v>
      </c>
      <c r="I286" t="s">
        <v>84</v>
      </c>
      <c r="J286" s="4">
        <v>0</v>
      </c>
    </row>
    <row r="287" spans="1:10" x14ac:dyDescent="0.35">
      <c r="A287" t="s">
        <v>18</v>
      </c>
      <c r="B287" t="s">
        <v>33</v>
      </c>
      <c r="C287" t="s">
        <v>91</v>
      </c>
      <c r="D287" t="s">
        <v>81</v>
      </c>
      <c r="E287" t="s">
        <v>106</v>
      </c>
      <c r="F287" t="s">
        <v>73</v>
      </c>
      <c r="G287" t="s">
        <v>74</v>
      </c>
      <c r="H287" t="s">
        <v>113</v>
      </c>
      <c r="I287" t="s">
        <v>84</v>
      </c>
      <c r="J287" s="4">
        <v>0</v>
      </c>
    </row>
    <row r="288" spans="1:10" x14ac:dyDescent="0.35">
      <c r="A288" t="s">
        <v>18</v>
      </c>
      <c r="B288" t="s">
        <v>33</v>
      </c>
      <c r="C288" t="s">
        <v>92</v>
      </c>
      <c r="D288" t="s">
        <v>81</v>
      </c>
      <c r="E288" t="s">
        <v>131</v>
      </c>
      <c r="F288" t="s">
        <v>73</v>
      </c>
      <c r="G288" t="s">
        <v>74</v>
      </c>
      <c r="H288" t="s">
        <v>113</v>
      </c>
      <c r="I288" t="s">
        <v>84</v>
      </c>
      <c r="J288" s="4">
        <f>'SUT_EU27 total'!$S$92</f>
        <v>0</v>
      </c>
    </row>
    <row r="289" spans="1:10" x14ac:dyDescent="0.35">
      <c r="A289" t="s">
        <v>18</v>
      </c>
      <c r="B289" t="s">
        <v>33</v>
      </c>
      <c r="C289" t="s">
        <v>92</v>
      </c>
      <c r="D289" t="s">
        <v>81</v>
      </c>
      <c r="E289" t="s">
        <v>101</v>
      </c>
      <c r="F289" t="s">
        <v>73</v>
      </c>
      <c r="G289" t="s">
        <v>74</v>
      </c>
      <c r="H289" t="s">
        <v>113</v>
      </c>
      <c r="I289" t="s">
        <v>84</v>
      </c>
      <c r="J289" s="4" cm="1">
        <f t="array" ref="J289:J291">'SUT_EU27 total'!$S$100:$S$102</f>
        <v>0</v>
      </c>
    </row>
    <row r="290" spans="1:10" x14ac:dyDescent="0.35">
      <c r="A290" t="s">
        <v>18</v>
      </c>
      <c r="B290" t="s">
        <v>33</v>
      </c>
      <c r="C290" t="s">
        <v>92</v>
      </c>
      <c r="D290" t="s">
        <v>81</v>
      </c>
      <c r="E290" t="s">
        <v>104</v>
      </c>
      <c r="F290" t="s">
        <v>73</v>
      </c>
      <c r="G290" t="s">
        <v>74</v>
      </c>
      <c r="H290" t="s">
        <v>113</v>
      </c>
      <c r="I290" t="s">
        <v>84</v>
      </c>
      <c r="J290" s="4">
        <v>0</v>
      </c>
    </row>
    <row r="291" spans="1:10" x14ac:dyDescent="0.35">
      <c r="A291" t="s">
        <v>18</v>
      </c>
      <c r="B291" t="s">
        <v>33</v>
      </c>
      <c r="C291" t="s">
        <v>92</v>
      </c>
      <c r="D291" t="s">
        <v>81</v>
      </c>
      <c r="E291" t="s">
        <v>106</v>
      </c>
      <c r="F291" t="s">
        <v>73</v>
      </c>
      <c r="G291" t="s">
        <v>74</v>
      </c>
      <c r="H291" t="s">
        <v>113</v>
      </c>
      <c r="I291" t="s">
        <v>84</v>
      </c>
      <c r="J291" s="4">
        <v>0</v>
      </c>
    </row>
    <row r="292" spans="1:10" x14ac:dyDescent="0.35">
      <c r="A292" t="s">
        <v>18</v>
      </c>
      <c r="B292" t="s">
        <v>33</v>
      </c>
      <c r="C292" t="s">
        <v>93</v>
      </c>
      <c r="D292" t="s">
        <v>81</v>
      </c>
      <c r="E292" t="s">
        <v>131</v>
      </c>
      <c r="F292" t="s">
        <v>73</v>
      </c>
      <c r="G292" t="s">
        <v>74</v>
      </c>
      <c r="H292" t="s">
        <v>113</v>
      </c>
      <c r="I292" t="s">
        <v>84</v>
      </c>
      <c r="J292" s="4">
        <f>'SUT_EU27 total'!$S$109</f>
        <v>0</v>
      </c>
    </row>
    <row r="293" spans="1:10" x14ac:dyDescent="0.35">
      <c r="A293" t="s">
        <v>18</v>
      </c>
      <c r="B293" t="s">
        <v>33</v>
      </c>
      <c r="C293" t="s">
        <v>93</v>
      </c>
      <c r="D293" t="s">
        <v>81</v>
      </c>
      <c r="E293" t="s">
        <v>101</v>
      </c>
      <c r="F293" t="s">
        <v>73</v>
      </c>
      <c r="G293" t="s">
        <v>74</v>
      </c>
      <c r="H293" t="s">
        <v>113</v>
      </c>
      <c r="I293" t="s">
        <v>84</v>
      </c>
      <c r="J293" s="4" cm="1">
        <f t="array" ref="J293:J295">'SUT_EU27 total'!$S$117:$S$119</f>
        <v>0</v>
      </c>
    </row>
    <row r="294" spans="1:10" x14ac:dyDescent="0.35">
      <c r="A294" t="s">
        <v>18</v>
      </c>
      <c r="B294" t="s">
        <v>33</v>
      </c>
      <c r="C294" t="s">
        <v>93</v>
      </c>
      <c r="D294" t="s">
        <v>81</v>
      </c>
      <c r="E294" t="s">
        <v>104</v>
      </c>
      <c r="F294" t="s">
        <v>73</v>
      </c>
      <c r="G294" t="s">
        <v>74</v>
      </c>
      <c r="H294" t="s">
        <v>113</v>
      </c>
      <c r="I294" t="s">
        <v>84</v>
      </c>
      <c r="J294" s="4">
        <v>0</v>
      </c>
    </row>
    <row r="295" spans="1:10" x14ac:dyDescent="0.35">
      <c r="A295" t="s">
        <v>18</v>
      </c>
      <c r="B295" t="s">
        <v>33</v>
      </c>
      <c r="C295" t="s">
        <v>93</v>
      </c>
      <c r="D295" t="s">
        <v>81</v>
      </c>
      <c r="E295" t="s">
        <v>106</v>
      </c>
      <c r="F295" t="s">
        <v>73</v>
      </c>
      <c r="G295" t="s">
        <v>74</v>
      </c>
      <c r="H295" t="s">
        <v>113</v>
      </c>
      <c r="I295" t="s">
        <v>84</v>
      </c>
      <c r="J295" s="4">
        <v>0</v>
      </c>
    </row>
    <row r="296" spans="1:10" x14ac:dyDescent="0.35">
      <c r="A296" t="s">
        <v>18</v>
      </c>
      <c r="B296" t="s">
        <v>33</v>
      </c>
      <c r="C296" t="s">
        <v>73</v>
      </c>
      <c r="D296" t="s">
        <v>74</v>
      </c>
      <c r="E296" t="s">
        <v>123</v>
      </c>
      <c r="F296" t="s">
        <v>73</v>
      </c>
      <c r="G296" t="s">
        <v>81</v>
      </c>
      <c r="H296" t="s">
        <v>115</v>
      </c>
      <c r="I296" t="s">
        <v>84</v>
      </c>
      <c r="J296" s="4" cm="1">
        <f t="array" ref="J296:J302">TRANSPOSE('2030 pathways'!$C$17:$I$17)</f>
        <v>0.1003</v>
      </c>
    </row>
    <row r="297" spans="1:10" x14ac:dyDescent="0.35">
      <c r="A297" t="s">
        <v>18</v>
      </c>
      <c r="B297" t="s">
        <v>33</v>
      </c>
      <c r="C297" t="s">
        <v>73</v>
      </c>
      <c r="D297" t="s">
        <v>74</v>
      </c>
      <c r="E297" t="s">
        <v>127</v>
      </c>
      <c r="F297" t="s">
        <v>73</v>
      </c>
      <c r="G297" t="s">
        <v>81</v>
      </c>
      <c r="H297" t="s">
        <v>115</v>
      </c>
      <c r="I297" t="s">
        <v>84</v>
      </c>
      <c r="J297" s="4">
        <v>0.17699999999999999</v>
      </c>
    </row>
    <row r="298" spans="1:10" x14ac:dyDescent="0.35">
      <c r="A298" t="s">
        <v>18</v>
      </c>
      <c r="B298" t="s">
        <v>33</v>
      </c>
      <c r="C298" t="s">
        <v>73</v>
      </c>
      <c r="D298" t="s">
        <v>74</v>
      </c>
      <c r="E298" t="s">
        <v>128</v>
      </c>
      <c r="F298" t="s">
        <v>73</v>
      </c>
      <c r="G298" t="s">
        <v>81</v>
      </c>
      <c r="H298" t="s">
        <v>115</v>
      </c>
      <c r="I298" t="s">
        <v>84</v>
      </c>
      <c r="J298" s="4">
        <v>8.8499999999999995E-2</v>
      </c>
    </row>
    <row r="299" spans="1:10" x14ac:dyDescent="0.35">
      <c r="A299" t="s">
        <v>18</v>
      </c>
      <c r="B299" t="s">
        <v>33</v>
      </c>
      <c r="C299" t="s">
        <v>73</v>
      </c>
      <c r="D299" t="s">
        <v>74</v>
      </c>
      <c r="E299" t="s">
        <v>129</v>
      </c>
      <c r="F299" t="s">
        <v>73</v>
      </c>
      <c r="G299" t="s">
        <v>81</v>
      </c>
      <c r="H299" t="s">
        <v>115</v>
      </c>
      <c r="I299" t="s">
        <v>84</v>
      </c>
      <c r="J299" s="4">
        <v>5.8999999999999999E-3</v>
      </c>
    </row>
    <row r="300" spans="1:10" x14ac:dyDescent="0.35">
      <c r="A300" t="s">
        <v>18</v>
      </c>
      <c r="B300" t="s">
        <v>33</v>
      </c>
      <c r="C300" t="s">
        <v>73</v>
      </c>
      <c r="D300" t="s">
        <v>74</v>
      </c>
      <c r="E300" t="s">
        <v>77</v>
      </c>
      <c r="F300" t="s">
        <v>73</v>
      </c>
      <c r="G300" t="s">
        <v>81</v>
      </c>
      <c r="H300" t="s">
        <v>115</v>
      </c>
      <c r="I300" t="s">
        <v>84</v>
      </c>
      <c r="J300" s="4">
        <v>5.8999999999999999E-3</v>
      </c>
    </row>
    <row r="301" spans="1:10" x14ac:dyDescent="0.35">
      <c r="A301" t="s">
        <v>18</v>
      </c>
      <c r="B301" t="s">
        <v>33</v>
      </c>
      <c r="C301" t="s">
        <v>73</v>
      </c>
      <c r="D301" t="s">
        <v>74</v>
      </c>
      <c r="E301" t="s">
        <v>130</v>
      </c>
      <c r="F301" t="s">
        <v>73</v>
      </c>
      <c r="G301" t="s">
        <v>81</v>
      </c>
      <c r="H301" t="s">
        <v>115</v>
      </c>
      <c r="I301" t="s">
        <v>84</v>
      </c>
      <c r="J301" s="4">
        <v>0.21239999999999992</v>
      </c>
    </row>
    <row r="302" spans="1:10" x14ac:dyDescent="0.35">
      <c r="A302" t="s">
        <v>18</v>
      </c>
      <c r="B302" t="s">
        <v>33</v>
      </c>
      <c r="C302" t="s">
        <v>73</v>
      </c>
      <c r="D302" t="s">
        <v>74</v>
      </c>
      <c r="E302" t="s">
        <v>132</v>
      </c>
      <c r="F302" t="s">
        <v>73</v>
      </c>
      <c r="G302" t="s">
        <v>81</v>
      </c>
      <c r="H302" t="s">
        <v>115</v>
      </c>
      <c r="I302" t="s">
        <v>84</v>
      </c>
      <c r="J302" s="4">
        <v>0.41</v>
      </c>
    </row>
    <row r="303" spans="1:10" x14ac:dyDescent="0.35">
      <c r="A303" t="s">
        <v>18</v>
      </c>
      <c r="B303" t="s">
        <v>33</v>
      </c>
      <c r="C303" t="s">
        <v>73</v>
      </c>
      <c r="D303" t="s">
        <v>74</v>
      </c>
      <c r="E303" t="s">
        <v>133</v>
      </c>
      <c r="F303" t="s">
        <v>73</v>
      </c>
      <c r="G303" t="s">
        <v>81</v>
      </c>
      <c r="H303" t="s">
        <v>115</v>
      </c>
      <c r="I303" t="s">
        <v>84</v>
      </c>
      <c r="J303" s="4">
        <v>0</v>
      </c>
    </row>
    <row r="304" spans="1:10" x14ac:dyDescent="0.35">
      <c r="A304" s="466" t="s">
        <v>18</v>
      </c>
      <c r="B304" s="466" t="s">
        <v>31</v>
      </c>
      <c r="C304" s="466" t="s">
        <v>73</v>
      </c>
      <c r="D304" s="466" t="s">
        <v>81</v>
      </c>
      <c r="E304" s="466" t="s">
        <v>115</v>
      </c>
      <c r="F304" s="466" t="s">
        <v>73</v>
      </c>
      <c r="G304" s="466" t="s">
        <v>74</v>
      </c>
      <c r="H304" s="466" t="s">
        <v>102</v>
      </c>
      <c r="I304" s="466" t="s">
        <v>84</v>
      </c>
      <c r="J304" s="477" cm="1">
        <f t="array" ref="J304:J305">'SUT_EU27 total'!$J$19:$J$20</f>
        <v>11.828571428571427</v>
      </c>
    </row>
    <row r="305" spans="1:10" x14ac:dyDescent="0.35">
      <c r="A305" t="s">
        <v>18</v>
      </c>
      <c r="B305" t="s">
        <v>31</v>
      </c>
      <c r="C305" t="s">
        <v>73</v>
      </c>
      <c r="D305" t="s">
        <v>81</v>
      </c>
      <c r="E305" t="s">
        <v>116</v>
      </c>
      <c r="F305" t="s">
        <v>73</v>
      </c>
      <c r="G305" t="s">
        <v>74</v>
      </c>
      <c r="H305" t="s">
        <v>102</v>
      </c>
      <c r="I305" t="s">
        <v>84</v>
      </c>
      <c r="J305" s="4">
        <v>3.3421988920214002E-2</v>
      </c>
    </row>
    <row r="306" spans="1:10" x14ac:dyDescent="0.35">
      <c r="A306" t="s">
        <v>18</v>
      </c>
      <c r="B306" t="s">
        <v>31</v>
      </c>
      <c r="C306" t="s">
        <v>73</v>
      </c>
      <c r="D306" t="s">
        <v>81</v>
      </c>
      <c r="E306" t="s">
        <v>117</v>
      </c>
      <c r="F306" t="s">
        <v>73</v>
      </c>
      <c r="G306" t="s">
        <v>74</v>
      </c>
      <c r="H306" t="s">
        <v>102</v>
      </c>
      <c r="I306" t="s">
        <v>84</v>
      </c>
      <c r="J306" s="76">
        <f>'SUT_EU27 total'!$J$27</f>
        <v>20.996100000000002</v>
      </c>
    </row>
    <row r="307" spans="1:10" x14ac:dyDescent="0.35">
      <c r="A307" t="s">
        <v>18</v>
      </c>
      <c r="B307" t="s">
        <v>31</v>
      </c>
      <c r="C307" t="s">
        <v>73</v>
      </c>
      <c r="D307" t="s">
        <v>81</v>
      </c>
      <c r="E307" t="s">
        <v>101</v>
      </c>
      <c r="F307" t="s">
        <v>73</v>
      </c>
      <c r="G307" t="s">
        <v>74</v>
      </c>
      <c r="H307" t="s">
        <v>102</v>
      </c>
      <c r="I307" t="s">
        <v>84</v>
      </c>
      <c r="J307" s="76" cm="1">
        <f t="array" ref="J307:J309">'SUT_EU27 total'!$J$32:$J$34</f>
        <v>0.13437998483817604</v>
      </c>
    </row>
    <row r="308" spans="1:10" x14ac:dyDescent="0.35">
      <c r="A308" t="s">
        <v>18</v>
      </c>
      <c r="B308" t="s">
        <v>31</v>
      </c>
      <c r="C308" t="s">
        <v>73</v>
      </c>
      <c r="D308" t="s">
        <v>81</v>
      </c>
      <c r="E308" t="s">
        <v>104</v>
      </c>
      <c r="F308" t="s">
        <v>73</v>
      </c>
      <c r="G308" t="s">
        <v>74</v>
      </c>
      <c r="H308" t="s">
        <v>102</v>
      </c>
      <c r="I308" t="s">
        <v>84</v>
      </c>
      <c r="J308" s="4">
        <v>0.25443647306582401</v>
      </c>
    </row>
    <row r="309" spans="1:10" x14ac:dyDescent="0.35">
      <c r="A309" t="s">
        <v>18</v>
      </c>
      <c r="B309" t="s">
        <v>31</v>
      </c>
      <c r="C309" t="s">
        <v>73</v>
      </c>
      <c r="D309" t="s">
        <v>81</v>
      </c>
      <c r="E309" t="s">
        <v>106</v>
      </c>
      <c r="F309" t="s">
        <v>73</v>
      </c>
      <c r="G309" t="s">
        <v>74</v>
      </c>
      <c r="H309" t="s">
        <v>102</v>
      </c>
      <c r="I309" t="s">
        <v>84</v>
      </c>
      <c r="J309" s="4">
        <v>0.86543018049599985</v>
      </c>
    </row>
    <row r="310" spans="1:10" x14ac:dyDescent="0.35">
      <c r="A310" t="s">
        <v>18</v>
      </c>
      <c r="B310" t="s">
        <v>31</v>
      </c>
      <c r="C310" t="s">
        <v>88</v>
      </c>
      <c r="D310" t="s">
        <v>81</v>
      </c>
      <c r="E310" t="s">
        <v>115</v>
      </c>
      <c r="F310" t="s">
        <v>73</v>
      </c>
      <c r="G310" t="s">
        <v>74</v>
      </c>
      <c r="H310" t="s">
        <v>102</v>
      </c>
      <c r="I310" t="s">
        <v>84</v>
      </c>
      <c r="J310" s="76" cm="1">
        <f t="array" ref="J310:J311">'SUT_EU27 total'!$J$36:$J$37</f>
        <v>78.857142857142847</v>
      </c>
    </row>
    <row r="311" spans="1:10" x14ac:dyDescent="0.35">
      <c r="A311" t="s">
        <v>18</v>
      </c>
      <c r="B311" t="s">
        <v>31</v>
      </c>
      <c r="C311" t="s">
        <v>88</v>
      </c>
      <c r="D311" t="s">
        <v>81</v>
      </c>
      <c r="E311" t="s">
        <v>116</v>
      </c>
      <c r="F311" t="s">
        <v>73</v>
      </c>
      <c r="G311" t="s">
        <v>74</v>
      </c>
      <c r="H311" t="s">
        <v>102</v>
      </c>
      <c r="I311" t="s">
        <v>84</v>
      </c>
      <c r="J311" s="4">
        <v>0.7862213561563367</v>
      </c>
    </row>
    <row r="312" spans="1:10" x14ac:dyDescent="0.35">
      <c r="A312" t="s">
        <v>18</v>
      </c>
      <c r="B312" t="s">
        <v>31</v>
      </c>
      <c r="C312" t="s">
        <v>88</v>
      </c>
      <c r="D312" t="s">
        <v>81</v>
      </c>
      <c r="E312" t="s">
        <v>117</v>
      </c>
      <c r="F312" t="s">
        <v>73</v>
      </c>
      <c r="G312" t="s">
        <v>74</v>
      </c>
      <c r="H312" t="s">
        <v>102</v>
      </c>
      <c r="I312" t="s">
        <v>84</v>
      </c>
      <c r="J312" s="76">
        <f>'SUT_EU27 total'!$J$44</f>
        <v>286.26390000000004</v>
      </c>
    </row>
    <row r="313" spans="1:10" x14ac:dyDescent="0.35">
      <c r="A313" t="s">
        <v>18</v>
      </c>
      <c r="B313" t="s">
        <v>31</v>
      </c>
      <c r="C313" t="s">
        <v>88</v>
      </c>
      <c r="D313" t="s">
        <v>81</v>
      </c>
      <c r="E313" t="s">
        <v>101</v>
      </c>
      <c r="F313" t="s">
        <v>73</v>
      </c>
      <c r="G313" t="s">
        <v>74</v>
      </c>
      <c r="H313" t="s">
        <v>102</v>
      </c>
      <c r="I313" t="s">
        <v>84</v>
      </c>
      <c r="J313" s="4" cm="1">
        <f t="array" ref="J313:J315">'SUT_EU27 total'!$J$49:$J$51</f>
        <v>0</v>
      </c>
    </row>
    <row r="314" spans="1:10" x14ac:dyDescent="0.35">
      <c r="A314" t="s">
        <v>18</v>
      </c>
      <c r="B314" t="s">
        <v>31</v>
      </c>
      <c r="C314" t="s">
        <v>88</v>
      </c>
      <c r="D314" t="s">
        <v>81</v>
      </c>
      <c r="E314" t="s">
        <v>104</v>
      </c>
      <c r="F314" t="s">
        <v>73</v>
      </c>
      <c r="G314" t="s">
        <v>74</v>
      </c>
      <c r="H314" t="s">
        <v>102</v>
      </c>
      <c r="I314" t="s">
        <v>84</v>
      </c>
      <c r="J314" s="4">
        <v>0</v>
      </c>
    </row>
    <row r="315" spans="1:10" x14ac:dyDescent="0.35">
      <c r="A315" t="s">
        <v>18</v>
      </c>
      <c r="B315" t="s">
        <v>31</v>
      </c>
      <c r="C315" t="s">
        <v>88</v>
      </c>
      <c r="D315" t="s">
        <v>81</v>
      </c>
      <c r="E315" t="s">
        <v>106</v>
      </c>
      <c r="F315" t="s">
        <v>73</v>
      </c>
      <c r="G315" t="s">
        <v>74</v>
      </c>
      <c r="H315" t="s">
        <v>102</v>
      </c>
      <c r="I315" t="s">
        <v>84</v>
      </c>
      <c r="J315" s="4">
        <v>0</v>
      </c>
    </row>
    <row r="316" spans="1:10" x14ac:dyDescent="0.35">
      <c r="A316" t="s">
        <v>18</v>
      </c>
      <c r="B316" t="s">
        <v>31</v>
      </c>
      <c r="C316" t="s">
        <v>90</v>
      </c>
      <c r="D316" t="s">
        <v>81</v>
      </c>
      <c r="E316" t="s">
        <v>115</v>
      </c>
      <c r="F316" t="s">
        <v>73</v>
      </c>
      <c r="G316" t="s">
        <v>74</v>
      </c>
      <c r="H316" t="s">
        <v>102</v>
      </c>
      <c r="I316" t="s">
        <v>84</v>
      </c>
      <c r="J316" s="76" cm="1">
        <f t="array" ref="J316:J317">'SUT_EU27 total'!$J$53:$J$54</f>
        <v>7.7904761904761894</v>
      </c>
    </row>
    <row r="317" spans="1:10" x14ac:dyDescent="0.35">
      <c r="A317" t="s">
        <v>18</v>
      </c>
      <c r="B317" t="s">
        <v>31</v>
      </c>
      <c r="C317" t="s">
        <v>90</v>
      </c>
      <c r="D317" t="s">
        <v>81</v>
      </c>
      <c r="E317" t="s">
        <v>116</v>
      </c>
      <c r="F317" t="s">
        <v>73</v>
      </c>
      <c r="G317" t="s">
        <v>74</v>
      </c>
      <c r="H317" t="s">
        <v>102</v>
      </c>
      <c r="I317" t="s">
        <v>84</v>
      </c>
      <c r="J317" s="4">
        <v>1.5473889063756709E-2</v>
      </c>
    </row>
    <row r="318" spans="1:10" x14ac:dyDescent="0.35">
      <c r="A318" t="s">
        <v>18</v>
      </c>
      <c r="B318" t="s">
        <v>31</v>
      </c>
      <c r="C318" t="s">
        <v>90</v>
      </c>
      <c r="D318" t="s">
        <v>81</v>
      </c>
      <c r="E318" t="s">
        <v>117</v>
      </c>
      <c r="F318" t="s">
        <v>73</v>
      </c>
      <c r="G318" t="s">
        <v>74</v>
      </c>
      <c r="H318" t="s">
        <v>102</v>
      </c>
      <c r="I318" t="s">
        <v>84</v>
      </c>
      <c r="J318" s="76">
        <f>'SUT_EU27 total'!$J$61</f>
        <v>11.2662</v>
      </c>
    </row>
    <row r="319" spans="1:10" x14ac:dyDescent="0.35">
      <c r="A319" t="s">
        <v>18</v>
      </c>
      <c r="B319" t="s">
        <v>31</v>
      </c>
      <c r="C319" t="s">
        <v>90</v>
      </c>
      <c r="D319" t="s">
        <v>81</v>
      </c>
      <c r="E319" t="s">
        <v>101</v>
      </c>
      <c r="F319" t="s">
        <v>73</v>
      </c>
      <c r="G319" t="s">
        <v>74</v>
      </c>
      <c r="H319" t="s">
        <v>102</v>
      </c>
      <c r="I319" t="s">
        <v>84</v>
      </c>
      <c r="J319" s="4" cm="1">
        <f t="array" ref="J319:J321">'SUT_EU27 total'!$J$66:$J$68</f>
        <v>0</v>
      </c>
    </row>
    <row r="320" spans="1:10" x14ac:dyDescent="0.35">
      <c r="A320" t="s">
        <v>18</v>
      </c>
      <c r="B320" t="s">
        <v>31</v>
      </c>
      <c r="C320" t="s">
        <v>90</v>
      </c>
      <c r="D320" t="s">
        <v>81</v>
      </c>
      <c r="E320" t="s">
        <v>104</v>
      </c>
      <c r="F320" t="s">
        <v>73</v>
      </c>
      <c r="G320" t="s">
        <v>74</v>
      </c>
      <c r="H320" t="s">
        <v>102</v>
      </c>
      <c r="I320" t="s">
        <v>84</v>
      </c>
      <c r="J320" s="4">
        <v>0</v>
      </c>
    </row>
    <row r="321" spans="1:10" x14ac:dyDescent="0.35">
      <c r="A321" t="s">
        <v>18</v>
      </c>
      <c r="B321" t="s">
        <v>31</v>
      </c>
      <c r="C321" t="s">
        <v>90</v>
      </c>
      <c r="D321" t="s">
        <v>81</v>
      </c>
      <c r="E321" t="s">
        <v>106</v>
      </c>
      <c r="F321" t="s">
        <v>73</v>
      </c>
      <c r="G321" t="s">
        <v>74</v>
      </c>
      <c r="H321" t="s">
        <v>102</v>
      </c>
      <c r="I321" t="s">
        <v>84</v>
      </c>
      <c r="J321" s="4">
        <v>0</v>
      </c>
    </row>
    <row r="322" spans="1:10" x14ac:dyDescent="0.35">
      <c r="A322" t="s">
        <v>18</v>
      </c>
      <c r="B322" t="s">
        <v>31</v>
      </c>
      <c r="C322" t="s">
        <v>91</v>
      </c>
      <c r="D322" t="s">
        <v>81</v>
      </c>
      <c r="E322" t="s">
        <v>115</v>
      </c>
      <c r="F322" t="s">
        <v>73</v>
      </c>
      <c r="G322" t="s">
        <v>74</v>
      </c>
      <c r="H322" t="s">
        <v>102</v>
      </c>
      <c r="I322" t="s">
        <v>84</v>
      </c>
      <c r="J322" s="76" cm="1">
        <f t="array" ref="J322:J323">'SUT_EU27 total'!$J$70:$J$71</f>
        <v>15.771428571428569</v>
      </c>
    </row>
    <row r="323" spans="1:10" x14ac:dyDescent="0.35">
      <c r="A323" t="s">
        <v>18</v>
      </c>
      <c r="B323" t="s">
        <v>31</v>
      </c>
      <c r="C323" t="s">
        <v>91</v>
      </c>
      <c r="D323" t="s">
        <v>81</v>
      </c>
      <c r="E323" t="s">
        <v>116</v>
      </c>
      <c r="F323" t="s">
        <v>73</v>
      </c>
      <c r="G323" t="s">
        <v>74</v>
      </c>
      <c r="H323" t="s">
        <v>102</v>
      </c>
      <c r="I323" t="s">
        <v>84</v>
      </c>
      <c r="J323" s="4">
        <v>8.7507175559917313E-2</v>
      </c>
    </row>
    <row r="324" spans="1:10" x14ac:dyDescent="0.35">
      <c r="A324" t="s">
        <v>18</v>
      </c>
      <c r="B324" t="s">
        <v>31</v>
      </c>
      <c r="C324" t="s">
        <v>91</v>
      </c>
      <c r="D324" t="s">
        <v>81</v>
      </c>
      <c r="E324" t="s">
        <v>117</v>
      </c>
      <c r="F324" t="s">
        <v>73</v>
      </c>
      <c r="G324" t="s">
        <v>74</v>
      </c>
      <c r="H324" t="s">
        <v>102</v>
      </c>
      <c r="I324" t="s">
        <v>84</v>
      </c>
      <c r="J324" s="76">
        <f>'SUT_EU27 total'!$J$78</f>
        <v>41.4801</v>
      </c>
    </row>
    <row r="325" spans="1:10" x14ac:dyDescent="0.35">
      <c r="A325" t="s">
        <v>18</v>
      </c>
      <c r="B325" t="s">
        <v>31</v>
      </c>
      <c r="C325" t="s">
        <v>91</v>
      </c>
      <c r="D325" t="s">
        <v>81</v>
      </c>
      <c r="E325" t="s">
        <v>101</v>
      </c>
      <c r="F325" t="s">
        <v>73</v>
      </c>
      <c r="G325" t="s">
        <v>74</v>
      </c>
      <c r="H325" t="s">
        <v>102</v>
      </c>
      <c r="I325" t="s">
        <v>84</v>
      </c>
      <c r="J325" s="4" cm="1">
        <f t="array" ref="J325:J327">'SUT_EU27 total'!$J$83:$J$85</f>
        <v>0</v>
      </c>
    </row>
    <row r="326" spans="1:10" x14ac:dyDescent="0.35">
      <c r="A326" t="s">
        <v>18</v>
      </c>
      <c r="B326" t="s">
        <v>31</v>
      </c>
      <c r="C326" t="s">
        <v>91</v>
      </c>
      <c r="D326" t="s">
        <v>81</v>
      </c>
      <c r="E326" t="s">
        <v>104</v>
      </c>
      <c r="F326" t="s">
        <v>73</v>
      </c>
      <c r="G326" t="s">
        <v>74</v>
      </c>
      <c r="H326" t="s">
        <v>102</v>
      </c>
      <c r="I326" t="s">
        <v>84</v>
      </c>
      <c r="J326" s="4">
        <v>0</v>
      </c>
    </row>
    <row r="327" spans="1:10" x14ac:dyDescent="0.35">
      <c r="A327" t="s">
        <v>18</v>
      </c>
      <c r="B327" t="s">
        <v>31</v>
      </c>
      <c r="C327" t="s">
        <v>91</v>
      </c>
      <c r="D327" t="s">
        <v>81</v>
      </c>
      <c r="E327" t="s">
        <v>106</v>
      </c>
      <c r="F327" t="s">
        <v>73</v>
      </c>
      <c r="G327" t="s">
        <v>74</v>
      </c>
      <c r="H327" t="s">
        <v>102</v>
      </c>
      <c r="I327" t="s">
        <v>84</v>
      </c>
      <c r="J327" s="4">
        <v>0</v>
      </c>
    </row>
    <row r="328" spans="1:10" x14ac:dyDescent="0.35">
      <c r="A328" t="s">
        <v>18</v>
      </c>
      <c r="B328" t="s">
        <v>31</v>
      </c>
      <c r="C328" t="s">
        <v>92</v>
      </c>
      <c r="D328" t="s">
        <v>81</v>
      </c>
      <c r="E328" t="s">
        <v>115</v>
      </c>
      <c r="F328" t="s">
        <v>73</v>
      </c>
      <c r="G328" t="s">
        <v>74</v>
      </c>
      <c r="H328" t="s">
        <v>102</v>
      </c>
      <c r="I328" t="s">
        <v>84</v>
      </c>
      <c r="J328" s="76" cm="1">
        <f t="array" ref="J328:J329">'SUT_EU27 total'!$J$87:$J$88</f>
        <v>6.6239999999999997</v>
      </c>
    </row>
    <row r="329" spans="1:10" x14ac:dyDescent="0.35">
      <c r="A329" t="s">
        <v>18</v>
      </c>
      <c r="B329" t="s">
        <v>31</v>
      </c>
      <c r="C329" t="s">
        <v>92</v>
      </c>
      <c r="D329" t="s">
        <v>81</v>
      </c>
      <c r="E329" t="s">
        <v>116</v>
      </c>
      <c r="F329" t="s">
        <v>73</v>
      </c>
      <c r="G329" t="s">
        <v>74</v>
      </c>
      <c r="H329" t="s">
        <v>102</v>
      </c>
      <c r="I329" t="s">
        <v>84</v>
      </c>
      <c r="J329" s="4">
        <v>6.0040746268656714E-2</v>
      </c>
    </row>
    <row r="330" spans="1:10" x14ac:dyDescent="0.35">
      <c r="A330" t="s">
        <v>18</v>
      </c>
      <c r="B330" t="s">
        <v>31</v>
      </c>
      <c r="C330" t="s">
        <v>92</v>
      </c>
      <c r="D330" t="s">
        <v>81</v>
      </c>
      <c r="E330" t="s">
        <v>117</v>
      </c>
      <c r="F330" t="s">
        <v>73</v>
      </c>
      <c r="G330" t="s">
        <v>74</v>
      </c>
      <c r="H330" t="s">
        <v>102</v>
      </c>
      <c r="I330" t="s">
        <v>84</v>
      </c>
      <c r="J330" s="76">
        <f>'SUT_EU27 total'!$J$95</f>
        <v>13.3146</v>
      </c>
    </row>
    <row r="331" spans="1:10" x14ac:dyDescent="0.35">
      <c r="A331" t="s">
        <v>18</v>
      </c>
      <c r="B331" t="s">
        <v>31</v>
      </c>
      <c r="C331" t="s">
        <v>92</v>
      </c>
      <c r="D331" t="s">
        <v>81</v>
      </c>
      <c r="E331" t="s">
        <v>101</v>
      </c>
      <c r="F331" t="s">
        <v>73</v>
      </c>
      <c r="G331" t="s">
        <v>74</v>
      </c>
      <c r="H331" t="s">
        <v>102</v>
      </c>
      <c r="I331" t="s">
        <v>84</v>
      </c>
      <c r="J331" s="4" cm="1">
        <f t="array" ref="J331:J333">'SUT_EU27 total'!$J$100:$J$102</f>
        <v>0</v>
      </c>
    </row>
    <row r="332" spans="1:10" x14ac:dyDescent="0.35">
      <c r="A332" t="s">
        <v>18</v>
      </c>
      <c r="B332" t="s">
        <v>31</v>
      </c>
      <c r="C332" t="s">
        <v>92</v>
      </c>
      <c r="D332" t="s">
        <v>81</v>
      </c>
      <c r="E332" t="s">
        <v>104</v>
      </c>
      <c r="F332" t="s">
        <v>73</v>
      </c>
      <c r="G332" t="s">
        <v>74</v>
      </c>
      <c r="H332" t="s">
        <v>102</v>
      </c>
      <c r="I332" t="s">
        <v>84</v>
      </c>
      <c r="J332" s="4">
        <v>0</v>
      </c>
    </row>
    <row r="333" spans="1:10" x14ac:dyDescent="0.35">
      <c r="A333" t="s">
        <v>18</v>
      </c>
      <c r="B333" t="s">
        <v>31</v>
      </c>
      <c r="C333" t="s">
        <v>92</v>
      </c>
      <c r="D333" t="s">
        <v>81</v>
      </c>
      <c r="E333" t="s">
        <v>106</v>
      </c>
      <c r="F333" t="s">
        <v>73</v>
      </c>
      <c r="G333" t="s">
        <v>74</v>
      </c>
      <c r="H333" t="s">
        <v>102</v>
      </c>
      <c r="I333" t="s">
        <v>84</v>
      </c>
      <c r="J333" s="4">
        <v>0</v>
      </c>
    </row>
    <row r="334" spans="1:10" x14ac:dyDescent="0.35">
      <c r="A334" t="s">
        <v>18</v>
      </c>
      <c r="B334" t="s">
        <v>31</v>
      </c>
      <c r="C334" t="s">
        <v>93</v>
      </c>
      <c r="D334" t="s">
        <v>81</v>
      </c>
      <c r="E334" t="s">
        <v>115</v>
      </c>
      <c r="F334" t="s">
        <v>73</v>
      </c>
      <c r="G334" t="s">
        <v>74</v>
      </c>
      <c r="H334" t="s">
        <v>102</v>
      </c>
      <c r="I334" t="s">
        <v>84</v>
      </c>
      <c r="J334" s="76" cm="1">
        <f t="array" ref="J334:J335">'SUT_EU27 total'!$J$104:$J$105</f>
        <v>44.633142857142865</v>
      </c>
    </row>
    <row r="335" spans="1:10" x14ac:dyDescent="0.35">
      <c r="A335" t="s">
        <v>18</v>
      </c>
      <c r="B335" t="s">
        <v>31</v>
      </c>
      <c r="C335" t="s">
        <v>93</v>
      </c>
      <c r="D335" t="s">
        <v>81</v>
      </c>
      <c r="E335" t="s">
        <v>116</v>
      </c>
      <c r="F335" t="s">
        <v>73</v>
      </c>
      <c r="G335" t="s">
        <v>74</v>
      </c>
      <c r="H335" t="s">
        <v>102</v>
      </c>
      <c r="I335" t="s">
        <v>84</v>
      </c>
      <c r="J335" s="4">
        <v>0.3673348440311186</v>
      </c>
    </row>
    <row r="336" spans="1:10" x14ac:dyDescent="0.35">
      <c r="A336" t="s">
        <v>18</v>
      </c>
      <c r="B336" t="s">
        <v>31</v>
      </c>
      <c r="C336" t="s">
        <v>93</v>
      </c>
      <c r="D336" t="s">
        <v>81</v>
      </c>
      <c r="E336" t="s">
        <v>117</v>
      </c>
      <c r="F336" t="s">
        <v>73</v>
      </c>
      <c r="G336" t="s">
        <v>74</v>
      </c>
      <c r="H336" t="s">
        <v>102</v>
      </c>
      <c r="I336" t="s">
        <v>84</v>
      </c>
      <c r="J336" s="76">
        <f>'SUT_EU27 total'!$J$112</f>
        <v>138.77909999999997</v>
      </c>
    </row>
    <row r="337" spans="1:10" x14ac:dyDescent="0.35">
      <c r="A337" t="s">
        <v>18</v>
      </c>
      <c r="B337" t="s">
        <v>31</v>
      </c>
      <c r="C337" t="s">
        <v>93</v>
      </c>
      <c r="D337" t="s">
        <v>81</v>
      </c>
      <c r="E337" t="s">
        <v>101</v>
      </c>
      <c r="F337" t="s">
        <v>73</v>
      </c>
      <c r="G337" t="s">
        <v>74</v>
      </c>
      <c r="H337" t="s">
        <v>102</v>
      </c>
      <c r="I337" t="s">
        <v>84</v>
      </c>
      <c r="J337" s="4" cm="1">
        <f t="array" ref="J337:J339">'SUT_EU27 total'!$J$117:$J$119</f>
        <v>0</v>
      </c>
    </row>
    <row r="338" spans="1:10" x14ac:dyDescent="0.35">
      <c r="A338" t="s">
        <v>18</v>
      </c>
      <c r="B338" t="s">
        <v>31</v>
      </c>
      <c r="C338" t="s">
        <v>93</v>
      </c>
      <c r="D338" t="s">
        <v>81</v>
      </c>
      <c r="E338" t="s">
        <v>104</v>
      </c>
      <c r="F338" t="s">
        <v>73</v>
      </c>
      <c r="G338" t="s">
        <v>74</v>
      </c>
      <c r="H338" t="s">
        <v>102</v>
      </c>
      <c r="I338" t="s">
        <v>84</v>
      </c>
      <c r="J338" s="4">
        <v>0</v>
      </c>
    </row>
    <row r="339" spans="1:10" x14ac:dyDescent="0.35">
      <c r="A339" t="s">
        <v>18</v>
      </c>
      <c r="B339" t="s">
        <v>31</v>
      </c>
      <c r="C339" t="s">
        <v>93</v>
      </c>
      <c r="D339" t="s">
        <v>81</v>
      </c>
      <c r="E339" t="s">
        <v>106</v>
      </c>
      <c r="F339" t="s">
        <v>73</v>
      </c>
      <c r="G339" t="s">
        <v>74</v>
      </c>
      <c r="H339" t="s">
        <v>102</v>
      </c>
      <c r="I339" t="s">
        <v>84</v>
      </c>
      <c r="J339" s="4">
        <v>0</v>
      </c>
    </row>
    <row r="340" spans="1:10" x14ac:dyDescent="0.35">
      <c r="A340" t="s">
        <v>18</v>
      </c>
      <c r="B340" t="s">
        <v>31</v>
      </c>
      <c r="C340" t="s">
        <v>73</v>
      </c>
      <c r="D340" t="s">
        <v>81</v>
      </c>
      <c r="E340" t="s">
        <v>118</v>
      </c>
      <c r="F340" t="s">
        <v>73</v>
      </c>
      <c r="G340" t="s">
        <v>74</v>
      </c>
      <c r="H340" t="s">
        <v>108</v>
      </c>
      <c r="I340" t="s">
        <v>84</v>
      </c>
      <c r="J340" s="76" cm="1">
        <f t="array" ref="J340:J342">'SUT_EU27 total'!$K$21:$K$23</f>
        <v>1.4582562144772118E-3</v>
      </c>
    </row>
    <row r="341" spans="1:10" x14ac:dyDescent="0.35">
      <c r="A341" t="s">
        <v>18</v>
      </c>
      <c r="B341" t="s">
        <v>31</v>
      </c>
      <c r="C341" t="s">
        <v>73</v>
      </c>
      <c r="D341" t="s">
        <v>81</v>
      </c>
      <c r="E341" t="s">
        <v>119</v>
      </c>
      <c r="F341" t="s">
        <v>73</v>
      </c>
      <c r="G341" t="s">
        <v>74</v>
      </c>
      <c r="H341" t="s">
        <v>108</v>
      </c>
      <c r="I341" t="s">
        <v>84</v>
      </c>
      <c r="J341" s="4">
        <v>8.4634636521458274E-4</v>
      </c>
    </row>
    <row r="342" spans="1:10" x14ac:dyDescent="0.35">
      <c r="A342" t="s">
        <v>18</v>
      </c>
      <c r="B342" t="s">
        <v>31</v>
      </c>
      <c r="C342" t="s">
        <v>73</v>
      </c>
      <c r="D342" t="s">
        <v>81</v>
      </c>
      <c r="E342" t="s">
        <v>120</v>
      </c>
      <c r="F342" t="s">
        <v>73</v>
      </c>
      <c r="G342" t="s">
        <v>74</v>
      </c>
      <c r="H342" t="s">
        <v>108</v>
      </c>
      <c r="I342" t="s">
        <v>84</v>
      </c>
      <c r="J342" s="4">
        <v>1.2517329093179335E-4</v>
      </c>
    </row>
    <row r="343" spans="1:10" x14ac:dyDescent="0.35">
      <c r="A343" t="s">
        <v>18</v>
      </c>
      <c r="B343" t="s">
        <v>31</v>
      </c>
      <c r="C343" t="s">
        <v>73</v>
      </c>
      <c r="D343" t="s">
        <v>81</v>
      </c>
      <c r="E343" s="77" t="s">
        <v>121</v>
      </c>
      <c r="F343" t="s">
        <v>73</v>
      </c>
      <c r="G343" t="s">
        <v>74</v>
      </c>
      <c r="H343" t="s">
        <v>108</v>
      </c>
      <c r="I343" t="s">
        <v>84</v>
      </c>
      <c r="J343" s="76">
        <f>'SUT_EU27 total'!$K$25</f>
        <v>6.9749679999999994E-2</v>
      </c>
    </row>
    <row r="344" spans="1:10" x14ac:dyDescent="0.35">
      <c r="A344" t="s">
        <v>18</v>
      </c>
      <c r="B344" t="s">
        <v>31</v>
      </c>
      <c r="C344" t="s">
        <v>73</v>
      </c>
      <c r="D344" t="s">
        <v>81</v>
      </c>
      <c r="E344" t="s">
        <v>117</v>
      </c>
      <c r="F344" t="s">
        <v>73</v>
      </c>
      <c r="G344" t="s">
        <v>74</v>
      </c>
      <c r="H344" t="s">
        <v>108</v>
      </c>
      <c r="I344" t="s">
        <v>84</v>
      </c>
      <c r="J344" s="76">
        <f>'SUT_EU27 total'!$K$27</f>
        <v>1.1932942595726979E-3</v>
      </c>
    </row>
    <row r="345" spans="1:10" x14ac:dyDescent="0.35">
      <c r="A345" t="s">
        <v>18</v>
      </c>
      <c r="B345" t="s">
        <v>31</v>
      </c>
      <c r="C345" t="s">
        <v>73</v>
      </c>
      <c r="D345" t="s">
        <v>81</v>
      </c>
      <c r="E345" t="s">
        <v>122</v>
      </c>
      <c r="F345" t="s">
        <v>73</v>
      </c>
      <c r="G345" t="s">
        <v>74</v>
      </c>
      <c r="H345" t="s">
        <v>108</v>
      </c>
      <c r="I345" t="s">
        <v>84</v>
      </c>
      <c r="J345" s="76">
        <f>'SUT_EU27 total'!$K$30</f>
        <v>1.5965533412604042E-3</v>
      </c>
    </row>
    <row r="346" spans="1:10" x14ac:dyDescent="0.35">
      <c r="A346" t="s">
        <v>18</v>
      </c>
      <c r="B346" t="s">
        <v>31</v>
      </c>
      <c r="C346" t="s">
        <v>73</v>
      </c>
      <c r="D346" t="s">
        <v>81</v>
      </c>
      <c r="E346" t="s">
        <v>101</v>
      </c>
      <c r="F346" t="s">
        <v>73</v>
      </c>
      <c r="G346" t="s">
        <v>74</v>
      </c>
      <c r="H346" t="s">
        <v>108</v>
      </c>
      <c r="I346" t="s">
        <v>84</v>
      </c>
      <c r="J346" s="76" cm="1">
        <f t="array" ref="J346:J348">'SUT_EU27 total'!$K$32:$K$34</f>
        <v>2.4335351040000001E-4</v>
      </c>
    </row>
    <row r="347" spans="1:10" x14ac:dyDescent="0.35">
      <c r="A347" t="s">
        <v>18</v>
      </c>
      <c r="B347" t="s">
        <v>31</v>
      </c>
      <c r="C347" t="s">
        <v>73</v>
      </c>
      <c r="D347" t="s">
        <v>81</v>
      </c>
      <c r="E347" t="s">
        <v>104</v>
      </c>
      <c r="F347" t="s">
        <v>73</v>
      </c>
      <c r="G347" t="s">
        <v>74</v>
      </c>
      <c r="H347" t="s">
        <v>108</v>
      </c>
      <c r="I347" t="s">
        <v>84</v>
      </c>
      <c r="J347" s="4">
        <v>4.6076808959999996E-4</v>
      </c>
    </row>
    <row r="348" spans="1:10" x14ac:dyDescent="0.35">
      <c r="A348" t="s">
        <v>18</v>
      </c>
      <c r="B348" t="s">
        <v>31</v>
      </c>
      <c r="C348" t="s">
        <v>73</v>
      </c>
      <c r="D348" t="s">
        <v>81</v>
      </c>
      <c r="E348" t="s">
        <v>106</v>
      </c>
      <c r="F348" t="s">
        <v>73</v>
      </c>
      <c r="G348" t="s">
        <v>74</v>
      </c>
      <c r="H348" t="s">
        <v>108</v>
      </c>
      <c r="I348" t="s">
        <v>84</v>
      </c>
      <c r="J348" s="4">
        <v>1.5672383999999996E-3</v>
      </c>
    </row>
    <row r="349" spans="1:10" x14ac:dyDescent="0.35">
      <c r="A349" t="s">
        <v>18</v>
      </c>
      <c r="B349" t="s">
        <v>31</v>
      </c>
      <c r="C349" t="s">
        <v>88</v>
      </c>
      <c r="D349" t="s">
        <v>81</v>
      </c>
      <c r="E349" t="s">
        <v>118</v>
      </c>
      <c r="F349" t="s">
        <v>73</v>
      </c>
      <c r="G349" t="s">
        <v>74</v>
      </c>
      <c r="H349" t="s">
        <v>108</v>
      </c>
      <c r="I349" t="s">
        <v>84</v>
      </c>
      <c r="J349" s="76" cm="1">
        <f t="array" ref="J349:J351">'SUT_EU27 total'!$K$38:$K$40</f>
        <v>3.3029309855227888E-2</v>
      </c>
    </row>
    <row r="350" spans="1:10" x14ac:dyDescent="0.35">
      <c r="A350" t="s">
        <v>18</v>
      </c>
      <c r="B350" t="s">
        <v>31</v>
      </c>
      <c r="C350" t="s">
        <v>88</v>
      </c>
      <c r="D350" t="s">
        <v>81</v>
      </c>
      <c r="E350" t="s">
        <v>119</v>
      </c>
      <c r="F350" t="s">
        <v>73</v>
      </c>
      <c r="G350" t="s">
        <v>74</v>
      </c>
      <c r="H350" t="s">
        <v>108</v>
      </c>
      <c r="I350" t="s">
        <v>84</v>
      </c>
      <c r="J350" s="4">
        <v>6.9915569300335089E-3</v>
      </c>
    </row>
    <row r="351" spans="1:10" x14ac:dyDescent="0.35">
      <c r="A351" t="s">
        <v>18</v>
      </c>
      <c r="B351" t="s">
        <v>31</v>
      </c>
      <c r="C351" t="s">
        <v>88</v>
      </c>
      <c r="D351" t="s">
        <v>81</v>
      </c>
      <c r="E351" t="s">
        <v>120</v>
      </c>
      <c r="F351" t="s">
        <v>73</v>
      </c>
      <c r="G351" t="s">
        <v>74</v>
      </c>
      <c r="H351" t="s">
        <v>108</v>
      </c>
      <c r="I351" t="s">
        <v>84</v>
      </c>
      <c r="J351" s="4">
        <v>1.5283979779928203E-3</v>
      </c>
    </row>
    <row r="352" spans="1:10" x14ac:dyDescent="0.35">
      <c r="A352" t="s">
        <v>18</v>
      </c>
      <c r="B352" t="s">
        <v>31</v>
      </c>
      <c r="C352" t="s">
        <v>88</v>
      </c>
      <c r="D352" t="s">
        <v>81</v>
      </c>
      <c r="E352" s="77" t="s">
        <v>121</v>
      </c>
      <c r="F352" t="s">
        <v>73</v>
      </c>
      <c r="G352" t="s">
        <v>74</v>
      </c>
      <c r="H352" t="s">
        <v>108</v>
      </c>
      <c r="I352" t="s">
        <v>84</v>
      </c>
      <c r="J352" s="4">
        <f>'SUT_EU27 total'!$K$42</f>
        <v>0</v>
      </c>
    </row>
    <row r="353" spans="1:10" x14ac:dyDescent="0.35">
      <c r="A353" t="s">
        <v>18</v>
      </c>
      <c r="B353" t="s">
        <v>31</v>
      </c>
      <c r="C353" t="s">
        <v>88</v>
      </c>
      <c r="D353" t="s">
        <v>81</v>
      </c>
      <c r="E353" t="s">
        <v>117</v>
      </c>
      <c r="F353" t="s">
        <v>73</v>
      </c>
      <c r="G353" t="s">
        <v>74</v>
      </c>
      <c r="H353" t="s">
        <v>108</v>
      </c>
      <c r="I353" t="s">
        <v>84</v>
      </c>
      <c r="J353" s="76">
        <f>'SUT_EU27 total'!$K$44</f>
        <v>9.9090099874062521E-4</v>
      </c>
    </row>
    <row r="354" spans="1:10" x14ac:dyDescent="0.35">
      <c r="A354" t="s">
        <v>18</v>
      </c>
      <c r="B354" t="s">
        <v>31</v>
      </c>
      <c r="C354" t="s">
        <v>88</v>
      </c>
      <c r="D354" t="s">
        <v>81</v>
      </c>
      <c r="E354" t="s">
        <v>122</v>
      </c>
      <c r="F354" t="s">
        <v>73</v>
      </c>
      <c r="G354" t="s">
        <v>74</v>
      </c>
      <c r="H354" t="s">
        <v>108</v>
      </c>
      <c r="I354" t="s">
        <v>84</v>
      </c>
      <c r="J354" s="76">
        <f>'SUT_EU27 total'!$K$47</f>
        <v>0</v>
      </c>
    </row>
    <row r="355" spans="1:10" x14ac:dyDescent="0.35">
      <c r="A355" t="s">
        <v>18</v>
      </c>
      <c r="B355" t="s">
        <v>31</v>
      </c>
      <c r="C355" t="s">
        <v>88</v>
      </c>
      <c r="D355" t="s">
        <v>81</v>
      </c>
      <c r="E355" t="s">
        <v>101</v>
      </c>
      <c r="F355" t="s">
        <v>73</v>
      </c>
      <c r="G355" t="s">
        <v>74</v>
      </c>
      <c r="H355" t="s">
        <v>108</v>
      </c>
      <c r="I355" t="s">
        <v>84</v>
      </c>
      <c r="J355" s="4" cm="1">
        <f t="array" ref="J355:J357">'SUT_EU27 total'!$K$49:$K$51</f>
        <v>0</v>
      </c>
    </row>
    <row r="356" spans="1:10" x14ac:dyDescent="0.35">
      <c r="A356" t="s">
        <v>18</v>
      </c>
      <c r="B356" t="s">
        <v>31</v>
      </c>
      <c r="C356" t="s">
        <v>88</v>
      </c>
      <c r="D356" t="s">
        <v>81</v>
      </c>
      <c r="E356" t="s">
        <v>104</v>
      </c>
      <c r="F356" t="s">
        <v>73</v>
      </c>
      <c r="G356" t="s">
        <v>74</v>
      </c>
      <c r="H356" t="s">
        <v>108</v>
      </c>
      <c r="I356" t="s">
        <v>84</v>
      </c>
      <c r="J356" s="4">
        <v>0</v>
      </c>
    </row>
    <row r="357" spans="1:10" x14ac:dyDescent="0.35">
      <c r="A357" t="s">
        <v>18</v>
      </c>
      <c r="B357" t="s">
        <v>31</v>
      </c>
      <c r="C357" t="s">
        <v>88</v>
      </c>
      <c r="D357" t="s">
        <v>81</v>
      </c>
      <c r="E357" t="s">
        <v>106</v>
      </c>
      <c r="F357" t="s">
        <v>73</v>
      </c>
      <c r="G357" t="s">
        <v>74</v>
      </c>
      <c r="H357" t="s">
        <v>108</v>
      </c>
      <c r="I357" t="s">
        <v>84</v>
      </c>
      <c r="J357" s="4">
        <v>0</v>
      </c>
    </row>
    <row r="358" spans="1:10" x14ac:dyDescent="0.35">
      <c r="A358" t="s">
        <v>18</v>
      </c>
      <c r="B358" t="s">
        <v>31</v>
      </c>
      <c r="C358" t="s">
        <v>90</v>
      </c>
      <c r="D358" t="s">
        <v>81</v>
      </c>
      <c r="E358" t="s">
        <v>118</v>
      </c>
      <c r="F358" t="s">
        <v>73</v>
      </c>
      <c r="G358" t="s">
        <v>74</v>
      </c>
      <c r="H358" t="s">
        <v>108</v>
      </c>
      <c r="I358" t="s">
        <v>84</v>
      </c>
      <c r="J358" s="76" cm="1">
        <f t="array" ref="J358:J360">'SUT_EU27 total'!$K$55:$K$57</f>
        <v>4.323194595174263E-3</v>
      </c>
    </row>
    <row r="359" spans="1:10" x14ac:dyDescent="0.35">
      <c r="A359" t="s">
        <v>18</v>
      </c>
      <c r="B359" t="s">
        <v>31</v>
      </c>
      <c r="C359" t="s">
        <v>90</v>
      </c>
      <c r="D359" t="s">
        <v>81</v>
      </c>
      <c r="E359" t="s">
        <v>119</v>
      </c>
      <c r="F359" t="s">
        <v>73</v>
      </c>
      <c r="G359" t="s">
        <v>74</v>
      </c>
      <c r="H359" t="s">
        <v>108</v>
      </c>
      <c r="I359" t="s">
        <v>84</v>
      </c>
      <c r="J359" s="4">
        <v>1.2800331672655335E-3</v>
      </c>
    </row>
    <row r="360" spans="1:10" x14ac:dyDescent="0.35">
      <c r="A360" t="s">
        <v>18</v>
      </c>
      <c r="B360" t="s">
        <v>31</v>
      </c>
      <c r="C360" t="s">
        <v>90</v>
      </c>
      <c r="D360" t="s">
        <v>81</v>
      </c>
      <c r="E360" t="s">
        <v>120</v>
      </c>
      <c r="F360" t="s">
        <v>73</v>
      </c>
      <c r="G360" t="s">
        <v>74</v>
      </c>
      <c r="H360" t="s">
        <v>108</v>
      </c>
      <c r="I360" t="s">
        <v>84</v>
      </c>
      <c r="J360" s="4">
        <v>5.6700291220540041E-3</v>
      </c>
    </row>
    <row r="361" spans="1:10" x14ac:dyDescent="0.35">
      <c r="A361" t="s">
        <v>18</v>
      </c>
      <c r="B361" t="s">
        <v>31</v>
      </c>
      <c r="C361" t="s">
        <v>90</v>
      </c>
      <c r="D361" t="s">
        <v>81</v>
      </c>
      <c r="E361" s="77" t="s">
        <v>121</v>
      </c>
      <c r="F361" t="s">
        <v>73</v>
      </c>
      <c r="G361" t="s">
        <v>74</v>
      </c>
      <c r="H361" t="s">
        <v>108</v>
      </c>
      <c r="I361" t="s">
        <v>84</v>
      </c>
      <c r="J361" s="4">
        <f>'SUT_EU27 total'!$K$59</f>
        <v>0</v>
      </c>
    </row>
    <row r="362" spans="1:10" x14ac:dyDescent="0.35">
      <c r="A362" t="s">
        <v>18</v>
      </c>
      <c r="B362" t="s">
        <v>31</v>
      </c>
      <c r="C362" t="s">
        <v>90</v>
      </c>
      <c r="D362" t="s">
        <v>81</v>
      </c>
      <c r="E362" t="s">
        <v>117</v>
      </c>
      <c r="F362" t="s">
        <v>73</v>
      </c>
      <c r="G362" t="s">
        <v>74</v>
      </c>
      <c r="H362" t="s">
        <v>108</v>
      </c>
      <c r="I362" t="s">
        <v>84</v>
      </c>
      <c r="J362" s="76">
        <f>'SUT_EU27 total'!$K$61</f>
        <v>1.1930979242119881E-3</v>
      </c>
    </row>
    <row r="363" spans="1:10" x14ac:dyDescent="0.35">
      <c r="A363" t="s">
        <v>18</v>
      </c>
      <c r="B363" t="s">
        <v>31</v>
      </c>
      <c r="C363" t="s">
        <v>90</v>
      </c>
      <c r="D363" t="s">
        <v>81</v>
      </c>
      <c r="E363" t="s">
        <v>122</v>
      </c>
      <c r="F363" t="s">
        <v>73</v>
      </c>
      <c r="G363" t="s">
        <v>74</v>
      </c>
      <c r="H363" t="s">
        <v>108</v>
      </c>
      <c r="I363" t="s">
        <v>84</v>
      </c>
      <c r="J363" s="76">
        <f>'SUT_EU27 total'!$K$64</f>
        <v>2.5776238002378116E-3</v>
      </c>
    </row>
    <row r="364" spans="1:10" x14ac:dyDescent="0.35">
      <c r="A364" t="s">
        <v>18</v>
      </c>
      <c r="B364" t="s">
        <v>31</v>
      </c>
      <c r="C364" t="s">
        <v>90</v>
      </c>
      <c r="D364" t="s">
        <v>81</v>
      </c>
      <c r="E364" t="s">
        <v>101</v>
      </c>
      <c r="F364" t="s">
        <v>73</v>
      </c>
      <c r="G364" t="s">
        <v>74</v>
      </c>
      <c r="H364" t="s">
        <v>108</v>
      </c>
      <c r="I364" t="s">
        <v>84</v>
      </c>
      <c r="J364" s="4" cm="1">
        <f t="array" ref="J364:J366">'SUT_EU27 total'!$K$66:$K$68</f>
        <v>0</v>
      </c>
    </row>
    <row r="365" spans="1:10" x14ac:dyDescent="0.35">
      <c r="A365" t="s">
        <v>18</v>
      </c>
      <c r="B365" t="s">
        <v>31</v>
      </c>
      <c r="C365" t="s">
        <v>90</v>
      </c>
      <c r="D365" t="s">
        <v>81</v>
      </c>
      <c r="E365" t="s">
        <v>104</v>
      </c>
      <c r="F365" t="s">
        <v>73</v>
      </c>
      <c r="G365" t="s">
        <v>74</v>
      </c>
      <c r="H365" t="s">
        <v>108</v>
      </c>
      <c r="I365" t="s">
        <v>84</v>
      </c>
      <c r="J365" s="4">
        <v>0</v>
      </c>
    </row>
    <row r="366" spans="1:10" x14ac:dyDescent="0.35">
      <c r="A366" t="s">
        <v>18</v>
      </c>
      <c r="B366" t="s">
        <v>31</v>
      </c>
      <c r="C366" t="s">
        <v>90</v>
      </c>
      <c r="D366" t="s">
        <v>81</v>
      </c>
      <c r="E366" t="s">
        <v>106</v>
      </c>
      <c r="F366" t="s">
        <v>73</v>
      </c>
      <c r="G366" t="s">
        <v>74</v>
      </c>
      <c r="H366" t="s">
        <v>108</v>
      </c>
      <c r="I366" t="s">
        <v>84</v>
      </c>
      <c r="J366" s="4">
        <v>0</v>
      </c>
    </row>
    <row r="367" spans="1:10" x14ac:dyDescent="0.35">
      <c r="A367" t="s">
        <v>18</v>
      </c>
      <c r="B367" t="s">
        <v>31</v>
      </c>
      <c r="C367" t="s">
        <v>91</v>
      </c>
      <c r="D367" t="s">
        <v>81</v>
      </c>
      <c r="E367" t="s">
        <v>118</v>
      </c>
      <c r="F367" t="s">
        <v>73</v>
      </c>
      <c r="G367" t="s">
        <v>74</v>
      </c>
      <c r="H367" t="s">
        <v>108</v>
      </c>
      <c r="I367" t="s">
        <v>84</v>
      </c>
      <c r="J367" s="76" cm="1">
        <f t="array" ref="J367:J369">'SUT_EU27 total'!$K$72:$K$74</f>
        <v>5.3791732332439677E-3</v>
      </c>
    </row>
    <row r="368" spans="1:10" x14ac:dyDescent="0.35">
      <c r="A368" t="s">
        <v>18</v>
      </c>
      <c r="B368" t="s">
        <v>31</v>
      </c>
      <c r="C368" t="s">
        <v>91</v>
      </c>
      <c r="D368" t="s">
        <v>81</v>
      </c>
      <c r="E368" t="s">
        <v>119</v>
      </c>
      <c r="F368" t="s">
        <v>73</v>
      </c>
      <c r="G368" t="s">
        <v>74</v>
      </c>
      <c r="H368" t="s">
        <v>108</v>
      </c>
      <c r="I368" t="s">
        <v>84</v>
      </c>
      <c r="J368" s="4">
        <v>6.5526133182607291E-3</v>
      </c>
    </row>
    <row r="369" spans="1:10" x14ac:dyDescent="0.35">
      <c r="A369" t="s">
        <v>18</v>
      </c>
      <c r="B369" t="s">
        <v>31</v>
      </c>
      <c r="C369" t="s">
        <v>91</v>
      </c>
      <c r="D369" t="s">
        <v>81</v>
      </c>
      <c r="E369" t="s">
        <v>120</v>
      </c>
      <c r="F369" t="s">
        <v>73</v>
      </c>
      <c r="G369" t="s">
        <v>74</v>
      </c>
      <c r="H369" t="s">
        <v>108</v>
      </c>
      <c r="I369" t="s">
        <v>84</v>
      </c>
      <c r="J369" s="4">
        <v>2.464950959887623E-4</v>
      </c>
    </row>
    <row r="370" spans="1:10" x14ac:dyDescent="0.35">
      <c r="A370" t="s">
        <v>18</v>
      </c>
      <c r="B370" t="s">
        <v>31</v>
      </c>
      <c r="C370" t="s">
        <v>91</v>
      </c>
      <c r="D370" t="s">
        <v>81</v>
      </c>
      <c r="E370" s="77" t="s">
        <v>121</v>
      </c>
      <c r="F370" t="s">
        <v>73</v>
      </c>
      <c r="G370" t="s">
        <v>74</v>
      </c>
      <c r="H370" t="s">
        <v>108</v>
      </c>
      <c r="I370" t="s">
        <v>84</v>
      </c>
      <c r="J370" s="4">
        <f>'SUT_EU27 total'!$K$76</f>
        <v>0</v>
      </c>
    </row>
    <row r="371" spans="1:10" x14ac:dyDescent="0.35">
      <c r="A371" t="s">
        <v>18</v>
      </c>
      <c r="B371" t="s">
        <v>31</v>
      </c>
      <c r="C371" t="s">
        <v>91</v>
      </c>
      <c r="D371" t="s">
        <v>81</v>
      </c>
      <c r="E371" t="s">
        <v>117</v>
      </c>
      <c r="F371" t="s">
        <v>73</v>
      </c>
      <c r="G371" t="s">
        <v>74</v>
      </c>
      <c r="H371" t="s">
        <v>108</v>
      </c>
      <c r="I371" t="s">
        <v>84</v>
      </c>
      <c r="J371" s="76">
        <f>'SUT_EU27 total'!$K$78</f>
        <v>1.1485683451306521E-3</v>
      </c>
    </row>
    <row r="372" spans="1:10" x14ac:dyDescent="0.35">
      <c r="A372" t="s">
        <v>18</v>
      </c>
      <c r="B372" t="s">
        <v>31</v>
      </c>
      <c r="C372" t="s">
        <v>91</v>
      </c>
      <c r="D372" t="s">
        <v>81</v>
      </c>
      <c r="E372" t="s">
        <v>122</v>
      </c>
      <c r="F372" t="s">
        <v>73</v>
      </c>
      <c r="G372" t="s">
        <v>74</v>
      </c>
      <c r="H372" t="s">
        <v>108</v>
      </c>
      <c r="I372" t="s">
        <v>84</v>
      </c>
      <c r="J372" s="76">
        <f>'SUT_EU27 total'!$K$81</f>
        <v>0</v>
      </c>
    </row>
    <row r="373" spans="1:10" x14ac:dyDescent="0.35">
      <c r="A373" t="s">
        <v>18</v>
      </c>
      <c r="B373" t="s">
        <v>31</v>
      </c>
      <c r="C373" t="s">
        <v>91</v>
      </c>
      <c r="D373" t="s">
        <v>81</v>
      </c>
      <c r="E373" t="s">
        <v>101</v>
      </c>
      <c r="F373" t="s">
        <v>73</v>
      </c>
      <c r="G373" t="s">
        <v>74</v>
      </c>
      <c r="H373" t="s">
        <v>108</v>
      </c>
      <c r="I373" t="s">
        <v>84</v>
      </c>
      <c r="J373" s="4" cm="1">
        <f t="array" ref="J373:J375">'SUT_EU27 total'!$K$83:$K$85</f>
        <v>0</v>
      </c>
    </row>
    <row r="374" spans="1:10" x14ac:dyDescent="0.35">
      <c r="A374" t="s">
        <v>18</v>
      </c>
      <c r="B374" t="s">
        <v>31</v>
      </c>
      <c r="C374" t="s">
        <v>91</v>
      </c>
      <c r="D374" t="s">
        <v>81</v>
      </c>
      <c r="E374" t="s">
        <v>104</v>
      </c>
      <c r="F374" t="s">
        <v>73</v>
      </c>
      <c r="G374" t="s">
        <v>74</v>
      </c>
      <c r="H374" t="s">
        <v>108</v>
      </c>
      <c r="I374" t="s">
        <v>84</v>
      </c>
      <c r="J374" s="4">
        <v>0</v>
      </c>
    </row>
    <row r="375" spans="1:10" x14ac:dyDescent="0.35">
      <c r="A375" t="s">
        <v>18</v>
      </c>
      <c r="B375" t="s">
        <v>31</v>
      </c>
      <c r="C375" t="s">
        <v>91</v>
      </c>
      <c r="D375" t="s">
        <v>81</v>
      </c>
      <c r="E375" t="s">
        <v>106</v>
      </c>
      <c r="F375" t="s">
        <v>73</v>
      </c>
      <c r="G375" t="s">
        <v>74</v>
      </c>
      <c r="H375" t="s">
        <v>108</v>
      </c>
      <c r="I375" t="s">
        <v>84</v>
      </c>
      <c r="J375" s="4">
        <v>0</v>
      </c>
    </row>
    <row r="376" spans="1:10" x14ac:dyDescent="0.35">
      <c r="A376" t="s">
        <v>18</v>
      </c>
      <c r="B376" t="s">
        <v>31</v>
      </c>
      <c r="C376" t="s">
        <v>92</v>
      </c>
      <c r="D376" t="s">
        <v>81</v>
      </c>
      <c r="E376" t="s">
        <v>118</v>
      </c>
      <c r="F376" t="s">
        <v>73</v>
      </c>
      <c r="G376" t="s">
        <v>74</v>
      </c>
      <c r="H376" t="s">
        <v>108</v>
      </c>
      <c r="I376" t="s">
        <v>84</v>
      </c>
      <c r="J376" s="76" cm="1">
        <f t="array" ref="J376:J378">'SUT_EU27 total'!$K$89:$K$91</f>
        <v>3.3497344343163542E-3</v>
      </c>
    </row>
    <row r="377" spans="1:10" x14ac:dyDescent="0.35">
      <c r="A377" t="s">
        <v>18</v>
      </c>
      <c r="B377" t="s">
        <v>31</v>
      </c>
      <c r="C377" t="s">
        <v>92</v>
      </c>
      <c r="D377" t="s">
        <v>81</v>
      </c>
      <c r="E377" t="s">
        <v>119</v>
      </c>
      <c r="F377" t="s">
        <v>73</v>
      </c>
      <c r="G377" t="s">
        <v>74</v>
      </c>
      <c r="H377" t="s">
        <v>108</v>
      </c>
      <c r="I377" t="s">
        <v>84</v>
      </c>
      <c r="J377" s="4">
        <v>6.0269323460777589E-3</v>
      </c>
    </row>
    <row r="378" spans="1:10" x14ac:dyDescent="0.35">
      <c r="A378" t="s">
        <v>18</v>
      </c>
      <c r="B378" t="s">
        <v>31</v>
      </c>
      <c r="C378" t="s">
        <v>92</v>
      </c>
      <c r="D378" t="s">
        <v>81</v>
      </c>
      <c r="E378" t="s">
        <v>120</v>
      </c>
      <c r="F378" t="s">
        <v>73</v>
      </c>
      <c r="G378" t="s">
        <v>74</v>
      </c>
      <c r="H378" t="s">
        <v>108</v>
      </c>
      <c r="I378" t="s">
        <v>84</v>
      </c>
      <c r="J378" s="4">
        <v>4.0947713992508196E-3</v>
      </c>
    </row>
    <row r="379" spans="1:10" x14ac:dyDescent="0.35">
      <c r="A379" t="s">
        <v>18</v>
      </c>
      <c r="B379" t="s">
        <v>31</v>
      </c>
      <c r="C379" t="s">
        <v>92</v>
      </c>
      <c r="D379" t="s">
        <v>81</v>
      </c>
      <c r="E379" s="77" t="s">
        <v>121</v>
      </c>
      <c r="F379" t="s">
        <v>73</v>
      </c>
      <c r="G379" t="s">
        <v>74</v>
      </c>
      <c r="H379" t="s">
        <v>108</v>
      </c>
      <c r="I379" t="s">
        <v>84</v>
      </c>
      <c r="J379" s="4">
        <f>'SUT_EU27 total'!$K$93</f>
        <v>0</v>
      </c>
    </row>
    <row r="380" spans="1:10" x14ac:dyDescent="0.35">
      <c r="A380" t="s">
        <v>18</v>
      </c>
      <c r="B380" t="s">
        <v>31</v>
      </c>
      <c r="C380" t="s">
        <v>92</v>
      </c>
      <c r="D380" t="s">
        <v>81</v>
      </c>
      <c r="E380" t="s">
        <v>117</v>
      </c>
      <c r="F380" t="s">
        <v>73</v>
      </c>
      <c r="G380" t="s">
        <v>74</v>
      </c>
      <c r="H380" t="s">
        <v>108</v>
      </c>
      <c r="I380" t="s">
        <v>84</v>
      </c>
      <c r="J380" s="4">
        <f>'SUT_EU27 total'!$K$95</f>
        <v>0</v>
      </c>
    </row>
    <row r="381" spans="1:10" x14ac:dyDescent="0.35">
      <c r="A381" t="s">
        <v>18</v>
      </c>
      <c r="B381" t="s">
        <v>31</v>
      </c>
      <c r="C381" t="s">
        <v>92</v>
      </c>
      <c r="D381" t="s">
        <v>81</v>
      </c>
      <c r="E381" t="s">
        <v>122</v>
      </c>
      <c r="F381" t="s">
        <v>73</v>
      </c>
      <c r="G381" t="s">
        <v>74</v>
      </c>
      <c r="H381" t="s">
        <v>108</v>
      </c>
      <c r="I381" t="s">
        <v>84</v>
      </c>
      <c r="J381" s="76">
        <f>'SUT_EU27 total'!$K$98</f>
        <v>0</v>
      </c>
    </row>
    <row r="382" spans="1:10" x14ac:dyDescent="0.35">
      <c r="A382" t="s">
        <v>18</v>
      </c>
      <c r="B382" t="s">
        <v>31</v>
      </c>
      <c r="C382" t="s">
        <v>92</v>
      </c>
      <c r="D382" t="s">
        <v>81</v>
      </c>
      <c r="E382" t="s">
        <v>101</v>
      </c>
      <c r="F382" t="s">
        <v>73</v>
      </c>
      <c r="G382" t="s">
        <v>74</v>
      </c>
      <c r="H382" t="s">
        <v>108</v>
      </c>
      <c r="I382" t="s">
        <v>84</v>
      </c>
      <c r="J382" s="4" cm="1">
        <f t="array" ref="J382:J384">'SUT_EU27 total'!$K$100:$K$102</f>
        <v>0</v>
      </c>
    </row>
    <row r="383" spans="1:10" x14ac:dyDescent="0.35">
      <c r="A383" t="s">
        <v>18</v>
      </c>
      <c r="B383" t="s">
        <v>31</v>
      </c>
      <c r="C383" t="s">
        <v>92</v>
      </c>
      <c r="D383" t="s">
        <v>81</v>
      </c>
      <c r="E383" t="s">
        <v>104</v>
      </c>
      <c r="F383" t="s">
        <v>73</v>
      </c>
      <c r="G383" t="s">
        <v>74</v>
      </c>
      <c r="H383" t="s">
        <v>108</v>
      </c>
      <c r="I383" t="s">
        <v>84</v>
      </c>
      <c r="J383" s="4">
        <v>0</v>
      </c>
    </row>
    <row r="384" spans="1:10" x14ac:dyDescent="0.35">
      <c r="A384" t="s">
        <v>18</v>
      </c>
      <c r="B384" t="s">
        <v>31</v>
      </c>
      <c r="C384" t="s">
        <v>92</v>
      </c>
      <c r="D384" t="s">
        <v>81</v>
      </c>
      <c r="E384" t="s">
        <v>106</v>
      </c>
      <c r="F384" t="s">
        <v>73</v>
      </c>
      <c r="G384" t="s">
        <v>74</v>
      </c>
      <c r="H384" t="s">
        <v>108</v>
      </c>
      <c r="I384" t="s">
        <v>84</v>
      </c>
      <c r="J384" s="4">
        <v>0</v>
      </c>
    </row>
    <row r="385" spans="1:10" x14ac:dyDescent="0.35">
      <c r="A385" t="s">
        <v>18</v>
      </c>
      <c r="B385" t="s">
        <v>31</v>
      </c>
      <c r="C385" t="s">
        <v>93</v>
      </c>
      <c r="D385" t="s">
        <v>81</v>
      </c>
      <c r="E385" t="s">
        <v>118</v>
      </c>
      <c r="F385" t="s">
        <v>73</v>
      </c>
      <c r="G385" t="s">
        <v>74</v>
      </c>
      <c r="H385" t="s">
        <v>108</v>
      </c>
      <c r="I385" t="s">
        <v>84</v>
      </c>
      <c r="J385" s="76" cm="1">
        <f t="array" ref="J385:J387">'SUT_EU27 total'!$K$106:$K$108</f>
        <v>1.4980971667560324E-2</v>
      </c>
    </row>
    <row r="386" spans="1:10" x14ac:dyDescent="0.35">
      <c r="A386" t="s">
        <v>18</v>
      </c>
      <c r="B386" t="s">
        <v>31</v>
      </c>
      <c r="C386" t="s">
        <v>93</v>
      </c>
      <c r="D386" t="s">
        <v>81</v>
      </c>
      <c r="E386" t="s">
        <v>119</v>
      </c>
      <c r="F386" t="s">
        <v>73</v>
      </c>
      <c r="G386" t="s">
        <v>74</v>
      </c>
      <c r="H386" t="s">
        <v>108</v>
      </c>
      <c r="I386" t="s">
        <v>84</v>
      </c>
      <c r="J386" s="4">
        <v>4.3405477873147885E-2</v>
      </c>
    </row>
    <row r="387" spans="1:10" x14ac:dyDescent="0.35">
      <c r="A387" t="s">
        <v>18</v>
      </c>
      <c r="B387" t="s">
        <v>31</v>
      </c>
      <c r="C387" t="s">
        <v>93</v>
      </c>
      <c r="D387" t="s">
        <v>81</v>
      </c>
      <c r="E387" t="s">
        <v>120</v>
      </c>
      <c r="F387" t="s">
        <v>73</v>
      </c>
      <c r="G387" t="s">
        <v>74</v>
      </c>
      <c r="H387" t="s">
        <v>108</v>
      </c>
      <c r="I387" t="s">
        <v>84</v>
      </c>
      <c r="J387" s="4">
        <v>2.1237093113781802E-2</v>
      </c>
    </row>
    <row r="388" spans="1:10" x14ac:dyDescent="0.35">
      <c r="A388" t="s">
        <v>18</v>
      </c>
      <c r="B388" t="s">
        <v>31</v>
      </c>
      <c r="C388" t="s">
        <v>93</v>
      </c>
      <c r="D388" t="s">
        <v>81</v>
      </c>
      <c r="E388" s="77" t="s">
        <v>121</v>
      </c>
      <c r="F388" t="s">
        <v>73</v>
      </c>
      <c r="G388" t="s">
        <v>74</v>
      </c>
      <c r="H388" t="s">
        <v>108</v>
      </c>
      <c r="I388" t="s">
        <v>84</v>
      </c>
      <c r="J388" s="4">
        <f>'SUT_EU27 total'!$K$110</f>
        <v>0</v>
      </c>
    </row>
    <row r="389" spans="1:10" x14ac:dyDescent="0.35">
      <c r="A389" t="s">
        <v>18</v>
      </c>
      <c r="B389" t="s">
        <v>31</v>
      </c>
      <c r="C389" t="s">
        <v>93</v>
      </c>
      <c r="D389" t="s">
        <v>81</v>
      </c>
      <c r="E389" t="s">
        <v>117</v>
      </c>
      <c r="F389" t="s">
        <v>73</v>
      </c>
      <c r="G389" t="s">
        <v>74</v>
      </c>
      <c r="H389" t="s">
        <v>108</v>
      </c>
      <c r="I389" t="s">
        <v>84</v>
      </c>
      <c r="J389" s="76">
        <f>'SUT_EU27 total'!$K$112</f>
        <v>1.1930984723440377E-3</v>
      </c>
    </row>
    <row r="390" spans="1:10" x14ac:dyDescent="0.35">
      <c r="A390" t="s">
        <v>18</v>
      </c>
      <c r="B390" t="s">
        <v>31</v>
      </c>
      <c r="C390" t="s">
        <v>93</v>
      </c>
      <c r="D390" t="s">
        <v>81</v>
      </c>
      <c r="E390" t="s">
        <v>122</v>
      </c>
      <c r="F390" t="s">
        <v>73</v>
      </c>
      <c r="G390" t="s">
        <v>74</v>
      </c>
      <c r="H390" t="s">
        <v>108</v>
      </c>
      <c r="I390" t="s">
        <v>84</v>
      </c>
      <c r="J390" s="76">
        <f>'SUT_EU27 total'!$K$115</f>
        <v>8.7987828585017833E-3</v>
      </c>
    </row>
    <row r="391" spans="1:10" x14ac:dyDescent="0.35">
      <c r="A391" t="s">
        <v>18</v>
      </c>
      <c r="B391" t="s">
        <v>31</v>
      </c>
      <c r="C391" t="s">
        <v>93</v>
      </c>
      <c r="D391" t="s">
        <v>81</v>
      </c>
      <c r="E391" t="s">
        <v>101</v>
      </c>
      <c r="F391" t="s">
        <v>73</v>
      </c>
      <c r="G391" t="s">
        <v>74</v>
      </c>
      <c r="H391" t="s">
        <v>108</v>
      </c>
      <c r="I391" t="s">
        <v>84</v>
      </c>
      <c r="J391" s="4" cm="1">
        <f t="array" ref="J391:J393">'SUT_EU27 total'!$K$117:$K$119</f>
        <v>0</v>
      </c>
    </row>
    <row r="392" spans="1:10" x14ac:dyDescent="0.35">
      <c r="A392" t="s">
        <v>18</v>
      </c>
      <c r="B392" t="s">
        <v>31</v>
      </c>
      <c r="C392" t="s">
        <v>93</v>
      </c>
      <c r="D392" t="s">
        <v>81</v>
      </c>
      <c r="E392" t="s">
        <v>104</v>
      </c>
      <c r="F392" t="s">
        <v>73</v>
      </c>
      <c r="G392" t="s">
        <v>74</v>
      </c>
      <c r="H392" t="s">
        <v>108</v>
      </c>
      <c r="I392" t="s">
        <v>84</v>
      </c>
      <c r="J392" s="4">
        <v>0</v>
      </c>
    </row>
    <row r="393" spans="1:10" x14ac:dyDescent="0.35">
      <c r="A393" t="s">
        <v>18</v>
      </c>
      <c r="B393" t="s">
        <v>31</v>
      </c>
      <c r="C393" t="s">
        <v>93</v>
      </c>
      <c r="D393" t="s">
        <v>81</v>
      </c>
      <c r="E393" t="s">
        <v>106</v>
      </c>
      <c r="F393" t="s">
        <v>73</v>
      </c>
      <c r="G393" t="s">
        <v>74</v>
      </c>
      <c r="H393" t="s">
        <v>108</v>
      </c>
      <c r="I393" t="s">
        <v>84</v>
      </c>
      <c r="J393" s="4">
        <v>0</v>
      </c>
    </row>
    <row r="394" spans="1:10" x14ac:dyDescent="0.35">
      <c r="A394" t="s">
        <v>18</v>
      </c>
      <c r="B394" t="s">
        <v>31</v>
      </c>
      <c r="C394" t="s">
        <v>73</v>
      </c>
      <c r="D394" t="s">
        <v>81</v>
      </c>
      <c r="E394" t="s">
        <v>119</v>
      </c>
      <c r="F394" t="s">
        <v>73</v>
      </c>
      <c r="G394" t="s">
        <v>74</v>
      </c>
      <c r="H394" t="s">
        <v>123</v>
      </c>
      <c r="I394" t="s">
        <v>84</v>
      </c>
      <c r="J394" s="76">
        <f>'SUT_EU27 total'!$L$22</f>
        <v>1.9500181678711294E-2</v>
      </c>
    </row>
    <row r="395" spans="1:10" x14ac:dyDescent="0.35">
      <c r="A395" t="s">
        <v>18</v>
      </c>
      <c r="B395" t="s">
        <v>31</v>
      </c>
      <c r="C395" t="s">
        <v>73</v>
      </c>
      <c r="D395" t="s">
        <v>81</v>
      </c>
      <c r="E395" t="s">
        <v>124</v>
      </c>
      <c r="F395" t="s">
        <v>73</v>
      </c>
      <c r="G395" t="s">
        <v>74</v>
      </c>
      <c r="H395" t="s">
        <v>123</v>
      </c>
      <c r="I395" t="s">
        <v>84</v>
      </c>
      <c r="J395" s="76" cm="1">
        <f t="array" ref="J395:J403">'SUT_EU27 total'!$L$26:$L$34</f>
        <v>1.9404661061278542E-3</v>
      </c>
    </row>
    <row r="396" spans="1:10" x14ac:dyDescent="0.35">
      <c r="A396" t="s">
        <v>18</v>
      </c>
      <c r="B396" t="s">
        <v>31</v>
      </c>
      <c r="C396" t="s">
        <v>73</v>
      </c>
      <c r="D396" t="s">
        <v>81</v>
      </c>
      <c r="E396" t="s">
        <v>117</v>
      </c>
      <c r="F396" t="s">
        <v>73</v>
      </c>
      <c r="G396" t="s">
        <v>74</v>
      </c>
      <c r="H396" t="s">
        <v>123</v>
      </c>
      <c r="I396" t="s">
        <v>84</v>
      </c>
      <c r="J396" s="4">
        <v>5.8423628191201782E-3</v>
      </c>
    </row>
    <row r="397" spans="1:10" x14ac:dyDescent="0.35">
      <c r="A397" t="s">
        <v>18</v>
      </c>
      <c r="B397" t="s">
        <v>31</v>
      </c>
      <c r="C397" t="s">
        <v>73</v>
      </c>
      <c r="D397" t="s">
        <v>81</v>
      </c>
      <c r="E397" t="s">
        <v>82</v>
      </c>
      <c r="F397" t="s">
        <v>73</v>
      </c>
      <c r="G397" t="s">
        <v>74</v>
      </c>
      <c r="H397" t="s">
        <v>123</v>
      </c>
      <c r="I397" t="s">
        <v>84</v>
      </c>
      <c r="J397" s="4">
        <v>4.8981233243967828E-4</v>
      </c>
    </row>
    <row r="398" spans="1:10" x14ac:dyDescent="0.35">
      <c r="A398" t="s">
        <v>18</v>
      </c>
      <c r="B398" t="s">
        <v>31</v>
      </c>
      <c r="C398" t="s">
        <v>73</v>
      </c>
      <c r="D398" t="s">
        <v>81</v>
      </c>
      <c r="E398" t="s">
        <v>125</v>
      </c>
      <c r="F398" t="s">
        <v>73</v>
      </c>
      <c r="G398" t="s">
        <v>74</v>
      </c>
      <c r="H398" t="s">
        <v>123</v>
      </c>
      <c r="I398" t="s">
        <v>84</v>
      </c>
      <c r="J398" s="4">
        <v>2.4658201215687387E-3</v>
      </c>
    </row>
    <row r="399" spans="1:10" x14ac:dyDescent="0.35">
      <c r="A399" t="s">
        <v>18</v>
      </c>
      <c r="B399" t="s">
        <v>31</v>
      </c>
      <c r="C399" t="s">
        <v>73</v>
      </c>
      <c r="D399" t="s">
        <v>81</v>
      </c>
      <c r="E399" t="s">
        <v>122</v>
      </c>
      <c r="F399" t="s">
        <v>73</v>
      </c>
      <c r="G399" t="s">
        <v>74</v>
      </c>
      <c r="H399" t="s">
        <v>123</v>
      </c>
      <c r="I399" t="s">
        <v>84</v>
      </c>
      <c r="J399" s="4">
        <v>4.922711058263972E-4</v>
      </c>
    </row>
    <row r="400" spans="1:10" x14ac:dyDescent="0.35">
      <c r="A400" t="s">
        <v>18</v>
      </c>
      <c r="B400" t="s">
        <v>31</v>
      </c>
      <c r="C400" t="s">
        <v>73</v>
      </c>
      <c r="D400" t="s">
        <v>81</v>
      </c>
      <c r="E400" t="s">
        <v>126</v>
      </c>
      <c r="F400" t="s">
        <v>73</v>
      </c>
      <c r="G400" t="s">
        <v>74</v>
      </c>
      <c r="H400" t="s">
        <v>123</v>
      </c>
      <c r="I400" t="s">
        <v>84</v>
      </c>
      <c r="J400" s="4">
        <v>0</v>
      </c>
    </row>
    <row r="401" spans="1:10" x14ac:dyDescent="0.35">
      <c r="A401" t="s">
        <v>18</v>
      </c>
      <c r="B401" t="s">
        <v>31</v>
      </c>
      <c r="C401" t="s">
        <v>73</v>
      </c>
      <c r="D401" t="s">
        <v>81</v>
      </c>
      <c r="E401" t="s">
        <v>101</v>
      </c>
      <c r="F401" t="s">
        <v>73</v>
      </c>
      <c r="G401" t="s">
        <v>74</v>
      </c>
      <c r="H401" t="s">
        <v>123</v>
      </c>
      <c r="I401" t="s">
        <v>84</v>
      </c>
      <c r="J401" s="76">
        <v>3.7860913795851507E-4</v>
      </c>
    </row>
    <row r="402" spans="1:10" x14ac:dyDescent="0.35">
      <c r="A402" t="s">
        <v>18</v>
      </c>
      <c r="B402" t="s">
        <v>31</v>
      </c>
      <c r="C402" t="s">
        <v>73</v>
      </c>
      <c r="D402" t="s">
        <v>81</v>
      </c>
      <c r="E402" t="s">
        <v>104</v>
      </c>
      <c r="F402" t="s">
        <v>73</v>
      </c>
      <c r="G402" t="s">
        <v>74</v>
      </c>
      <c r="H402" t="s">
        <v>123</v>
      </c>
      <c r="I402" t="s">
        <v>84</v>
      </c>
      <c r="J402" s="4">
        <v>7.1686251377883477E-4</v>
      </c>
    </row>
    <row r="403" spans="1:10" x14ac:dyDescent="0.35">
      <c r="A403" t="s">
        <v>18</v>
      </c>
      <c r="B403" t="s">
        <v>31</v>
      </c>
      <c r="C403" t="s">
        <v>73</v>
      </c>
      <c r="D403" t="s">
        <v>81</v>
      </c>
      <c r="E403" t="s">
        <v>106</v>
      </c>
      <c r="F403" t="s">
        <v>73</v>
      </c>
      <c r="G403" t="s">
        <v>74</v>
      </c>
      <c r="H403" t="s">
        <v>123</v>
      </c>
      <c r="I403" t="s">
        <v>84</v>
      </c>
      <c r="J403" s="4">
        <v>2.438307869996036E-3</v>
      </c>
    </row>
    <row r="404" spans="1:10" x14ac:dyDescent="0.35">
      <c r="A404" t="s">
        <v>18</v>
      </c>
      <c r="B404" t="s">
        <v>31</v>
      </c>
      <c r="C404" t="s">
        <v>88</v>
      </c>
      <c r="D404" t="s">
        <v>81</v>
      </c>
      <c r="E404" t="s">
        <v>119</v>
      </c>
      <c r="F404" t="s">
        <v>73</v>
      </c>
      <c r="G404" t="s">
        <v>74</v>
      </c>
      <c r="H404" t="s">
        <v>123</v>
      </c>
      <c r="I404" t="s">
        <v>84</v>
      </c>
      <c r="J404" s="76">
        <f>'SUT_EU27 total'!$L$39</f>
        <v>0.16108845734587587</v>
      </c>
    </row>
    <row r="405" spans="1:10" x14ac:dyDescent="0.35">
      <c r="A405" t="s">
        <v>18</v>
      </c>
      <c r="B405" t="s">
        <v>31</v>
      </c>
      <c r="C405" t="s">
        <v>88</v>
      </c>
      <c r="D405" t="s">
        <v>81</v>
      </c>
      <c r="E405" t="s">
        <v>124</v>
      </c>
      <c r="F405" t="s">
        <v>73</v>
      </c>
      <c r="G405" t="s">
        <v>74</v>
      </c>
      <c r="H405" t="s">
        <v>123</v>
      </c>
      <c r="I405" t="s">
        <v>84</v>
      </c>
      <c r="J405" s="76" cm="1">
        <f t="array" ref="J405:J413">'SUT_EU27 total'!$M$43:$M$51</f>
        <v>5.0558836222750793E-4</v>
      </c>
    </row>
    <row r="406" spans="1:10" x14ac:dyDescent="0.35">
      <c r="A406" t="s">
        <v>18</v>
      </c>
      <c r="B406" t="s">
        <v>31</v>
      </c>
      <c r="C406" t="s">
        <v>88</v>
      </c>
      <c r="D406" t="s">
        <v>81</v>
      </c>
      <c r="E406" t="s">
        <v>117</v>
      </c>
      <c r="F406" t="s">
        <v>73</v>
      </c>
      <c r="G406" t="s">
        <v>74</v>
      </c>
      <c r="H406" t="s">
        <v>123</v>
      </c>
      <c r="I406" t="s">
        <v>84</v>
      </c>
      <c r="J406" s="4">
        <v>4.8514464106651379E-3</v>
      </c>
    </row>
    <row r="407" spans="1:10" x14ac:dyDescent="0.35">
      <c r="A407" t="s">
        <v>18</v>
      </c>
      <c r="B407" t="s">
        <v>31</v>
      </c>
      <c r="C407" t="s">
        <v>88</v>
      </c>
      <c r="D407" t="s">
        <v>81</v>
      </c>
      <c r="E407" t="s">
        <v>82</v>
      </c>
      <c r="F407" t="s">
        <v>73</v>
      </c>
      <c r="G407" t="s">
        <v>74</v>
      </c>
      <c r="H407" t="s">
        <v>123</v>
      </c>
      <c r="I407" t="s">
        <v>84</v>
      </c>
      <c r="J407" s="4">
        <v>1.109418436791091E-2</v>
      </c>
    </row>
    <row r="408" spans="1:10" x14ac:dyDescent="0.35">
      <c r="A408" t="s">
        <v>18</v>
      </c>
      <c r="B408" t="s">
        <v>31</v>
      </c>
      <c r="C408" t="s">
        <v>88</v>
      </c>
      <c r="D408" t="s">
        <v>81</v>
      </c>
      <c r="E408" t="s">
        <v>125</v>
      </c>
      <c r="F408" t="s">
        <v>73</v>
      </c>
      <c r="G408" t="s">
        <v>74</v>
      </c>
      <c r="H408" t="s">
        <v>123</v>
      </c>
      <c r="I408" t="s">
        <v>84</v>
      </c>
      <c r="J408" s="4">
        <v>2.890870278990243E-5</v>
      </c>
    </row>
    <row r="409" spans="1:10" x14ac:dyDescent="0.35">
      <c r="A409" t="s">
        <v>18</v>
      </c>
      <c r="B409" t="s">
        <v>31</v>
      </c>
      <c r="C409" t="s">
        <v>88</v>
      </c>
      <c r="D409" t="s">
        <v>81</v>
      </c>
      <c r="E409" t="s">
        <v>122</v>
      </c>
      <c r="F409" t="s">
        <v>73</v>
      </c>
      <c r="G409" t="s">
        <v>74</v>
      </c>
      <c r="H409" t="s">
        <v>123</v>
      </c>
      <c r="I409" t="s">
        <v>84</v>
      </c>
      <c r="J409" s="4">
        <v>0</v>
      </c>
    </row>
    <row r="410" spans="1:10" x14ac:dyDescent="0.35">
      <c r="A410" t="s">
        <v>18</v>
      </c>
      <c r="B410" t="s">
        <v>31</v>
      </c>
      <c r="C410" t="s">
        <v>88</v>
      </c>
      <c r="D410" t="s">
        <v>81</v>
      </c>
      <c r="E410" t="s">
        <v>126</v>
      </c>
      <c r="F410" t="s">
        <v>73</v>
      </c>
      <c r="G410" t="s">
        <v>74</v>
      </c>
      <c r="H410" t="s">
        <v>123</v>
      </c>
      <c r="I410" t="s">
        <v>84</v>
      </c>
      <c r="J410" s="4">
        <v>2.8514320987501449E-3</v>
      </c>
    </row>
    <row r="411" spans="1:10" x14ac:dyDescent="0.35">
      <c r="A411" t="s">
        <v>18</v>
      </c>
      <c r="B411" t="s">
        <v>31</v>
      </c>
      <c r="C411" t="s">
        <v>88</v>
      </c>
      <c r="D411" t="s">
        <v>81</v>
      </c>
      <c r="E411" t="s">
        <v>101</v>
      </c>
      <c r="F411" t="s">
        <v>73</v>
      </c>
      <c r="G411" t="s">
        <v>74</v>
      </c>
      <c r="H411" t="s">
        <v>123</v>
      </c>
      <c r="I411" t="s">
        <v>84</v>
      </c>
      <c r="J411" s="4">
        <v>0</v>
      </c>
    </row>
    <row r="412" spans="1:10" x14ac:dyDescent="0.35">
      <c r="A412" t="s">
        <v>18</v>
      </c>
      <c r="B412" t="s">
        <v>31</v>
      </c>
      <c r="C412" t="s">
        <v>88</v>
      </c>
      <c r="D412" t="s">
        <v>81</v>
      </c>
      <c r="E412" t="s">
        <v>104</v>
      </c>
      <c r="F412" t="s">
        <v>73</v>
      </c>
      <c r="G412" t="s">
        <v>74</v>
      </c>
      <c r="H412" t="s">
        <v>123</v>
      </c>
      <c r="I412" t="s">
        <v>84</v>
      </c>
      <c r="J412" s="4">
        <v>0</v>
      </c>
    </row>
    <row r="413" spans="1:10" x14ac:dyDescent="0.35">
      <c r="A413" t="s">
        <v>18</v>
      </c>
      <c r="B413" t="s">
        <v>31</v>
      </c>
      <c r="C413" t="s">
        <v>88</v>
      </c>
      <c r="D413" t="s">
        <v>81</v>
      </c>
      <c r="E413" t="s">
        <v>106</v>
      </c>
      <c r="F413" t="s">
        <v>73</v>
      </c>
      <c r="G413" t="s">
        <v>74</v>
      </c>
      <c r="H413" t="s">
        <v>123</v>
      </c>
      <c r="I413" t="s">
        <v>84</v>
      </c>
      <c r="J413" s="4">
        <v>0</v>
      </c>
    </row>
    <row r="414" spans="1:10" x14ac:dyDescent="0.35">
      <c r="A414" t="s">
        <v>18</v>
      </c>
      <c r="B414" t="s">
        <v>31</v>
      </c>
      <c r="C414" t="s">
        <v>90</v>
      </c>
      <c r="D414" t="s">
        <v>81</v>
      </c>
      <c r="E414" t="s">
        <v>119</v>
      </c>
      <c r="F414" t="s">
        <v>73</v>
      </c>
      <c r="G414" t="s">
        <v>74</v>
      </c>
      <c r="H414" t="s">
        <v>123</v>
      </c>
      <c r="I414" t="s">
        <v>84</v>
      </c>
      <c r="J414" s="76">
        <f>'SUT_EU27 total'!$M$56</f>
        <v>2.949251079979006E-2</v>
      </c>
    </row>
    <row r="415" spans="1:10" x14ac:dyDescent="0.35">
      <c r="A415" t="s">
        <v>18</v>
      </c>
      <c r="B415" t="s">
        <v>31</v>
      </c>
      <c r="C415" t="s">
        <v>90</v>
      </c>
      <c r="D415" t="s">
        <v>81</v>
      </c>
      <c r="E415" t="s">
        <v>124</v>
      </c>
      <c r="F415" t="s">
        <v>73</v>
      </c>
      <c r="G415" t="s">
        <v>74</v>
      </c>
      <c r="H415" t="s">
        <v>123</v>
      </c>
      <c r="I415" t="s">
        <v>84</v>
      </c>
      <c r="J415" s="76" cm="1">
        <f t="array" ref="J415:J423">'SUT_EU27 total'!$L$60:$L$68</f>
        <v>2.1047443073980527E-5</v>
      </c>
    </row>
    <row r="416" spans="1:10" x14ac:dyDescent="0.35">
      <c r="A416" t="s">
        <v>18</v>
      </c>
      <c r="B416" t="s">
        <v>31</v>
      </c>
      <c r="C416" t="s">
        <v>90</v>
      </c>
      <c r="D416" t="s">
        <v>81</v>
      </c>
      <c r="E416" t="s">
        <v>117</v>
      </c>
      <c r="F416" t="s">
        <v>73</v>
      </c>
      <c r="G416" t="s">
        <v>74</v>
      </c>
      <c r="H416" t="s">
        <v>123</v>
      </c>
      <c r="I416" t="s">
        <v>84</v>
      </c>
      <c r="J416" s="4">
        <v>5.8414015621608938E-3</v>
      </c>
    </row>
    <row r="417" spans="1:10" x14ac:dyDescent="0.35">
      <c r="A417" t="s">
        <v>18</v>
      </c>
      <c r="B417" t="s">
        <v>31</v>
      </c>
      <c r="C417" t="s">
        <v>90</v>
      </c>
      <c r="D417" t="s">
        <v>81</v>
      </c>
      <c r="E417" t="s">
        <v>82</v>
      </c>
      <c r="F417" t="s">
        <v>73</v>
      </c>
      <c r="G417" t="s">
        <v>74</v>
      </c>
      <c r="H417" t="s">
        <v>123</v>
      </c>
      <c r="I417" t="s">
        <v>84</v>
      </c>
      <c r="J417" s="4">
        <v>1.4521138379047227E-3</v>
      </c>
    </row>
    <row r="418" spans="1:10" x14ac:dyDescent="0.35">
      <c r="A418" t="s">
        <v>18</v>
      </c>
      <c r="B418" t="s">
        <v>31</v>
      </c>
      <c r="C418" t="s">
        <v>90</v>
      </c>
      <c r="D418" t="s">
        <v>81</v>
      </c>
      <c r="E418" t="s">
        <v>125</v>
      </c>
      <c r="F418" t="s">
        <v>73</v>
      </c>
      <c r="G418" t="s">
        <v>74</v>
      </c>
      <c r="H418" t="s">
        <v>123</v>
      </c>
      <c r="I418" t="s">
        <v>84</v>
      </c>
      <c r="J418" s="4">
        <v>6.5130870114372285E-5</v>
      </c>
    </row>
    <row r="419" spans="1:10" x14ac:dyDescent="0.35">
      <c r="A419" t="s">
        <v>18</v>
      </c>
      <c r="B419" t="s">
        <v>31</v>
      </c>
      <c r="C419" t="s">
        <v>90</v>
      </c>
      <c r="D419" t="s">
        <v>81</v>
      </c>
      <c r="E419" t="s">
        <v>122</v>
      </c>
      <c r="F419" t="s">
        <v>73</v>
      </c>
      <c r="G419" t="s">
        <v>74</v>
      </c>
      <c r="H419" t="s">
        <v>123</v>
      </c>
      <c r="I419" t="s">
        <v>84</v>
      </c>
      <c r="J419" s="4">
        <v>7.9476813317479189E-4</v>
      </c>
    </row>
    <row r="420" spans="1:10" x14ac:dyDescent="0.35">
      <c r="A420" t="s">
        <v>18</v>
      </c>
      <c r="B420" t="s">
        <v>31</v>
      </c>
      <c r="C420" t="s">
        <v>90</v>
      </c>
      <c r="D420" t="s">
        <v>81</v>
      </c>
      <c r="E420" t="s">
        <v>126</v>
      </c>
      <c r="F420" t="s">
        <v>73</v>
      </c>
      <c r="G420" t="s">
        <v>74</v>
      </c>
      <c r="H420" t="s">
        <v>123</v>
      </c>
      <c r="I420" t="s">
        <v>84</v>
      </c>
      <c r="J420" s="4">
        <v>8.4821183458843076E-3</v>
      </c>
    </row>
    <row r="421" spans="1:10" x14ac:dyDescent="0.35">
      <c r="A421" t="s">
        <v>18</v>
      </c>
      <c r="B421" t="s">
        <v>31</v>
      </c>
      <c r="C421" t="s">
        <v>90</v>
      </c>
      <c r="D421" t="s">
        <v>81</v>
      </c>
      <c r="E421" t="s">
        <v>101</v>
      </c>
      <c r="F421" t="s">
        <v>73</v>
      </c>
      <c r="G421" t="s">
        <v>74</v>
      </c>
      <c r="H421" t="s">
        <v>123</v>
      </c>
      <c r="I421" t="s">
        <v>84</v>
      </c>
      <c r="J421" s="4">
        <v>0</v>
      </c>
    </row>
    <row r="422" spans="1:10" x14ac:dyDescent="0.35">
      <c r="A422" t="s">
        <v>18</v>
      </c>
      <c r="B422" t="s">
        <v>31</v>
      </c>
      <c r="C422" t="s">
        <v>90</v>
      </c>
      <c r="D422" t="s">
        <v>81</v>
      </c>
      <c r="E422" t="s">
        <v>104</v>
      </c>
      <c r="F422" t="s">
        <v>73</v>
      </c>
      <c r="G422" t="s">
        <v>74</v>
      </c>
      <c r="H422" t="s">
        <v>123</v>
      </c>
      <c r="I422" t="s">
        <v>84</v>
      </c>
      <c r="J422" s="4">
        <v>0</v>
      </c>
    </row>
    <row r="423" spans="1:10" x14ac:dyDescent="0.35">
      <c r="A423" t="s">
        <v>18</v>
      </c>
      <c r="B423" t="s">
        <v>31</v>
      </c>
      <c r="C423" t="s">
        <v>90</v>
      </c>
      <c r="D423" t="s">
        <v>81</v>
      </c>
      <c r="E423" t="s">
        <v>106</v>
      </c>
      <c r="F423" t="s">
        <v>73</v>
      </c>
      <c r="G423" t="s">
        <v>74</v>
      </c>
      <c r="H423" t="s">
        <v>123</v>
      </c>
      <c r="I423" t="s">
        <v>84</v>
      </c>
      <c r="J423" s="4">
        <v>0</v>
      </c>
    </row>
    <row r="424" spans="1:10" x14ac:dyDescent="0.35">
      <c r="A424" t="s">
        <v>18</v>
      </c>
      <c r="B424" t="s">
        <v>31</v>
      </c>
      <c r="C424" t="s">
        <v>91</v>
      </c>
      <c r="D424" t="s">
        <v>81</v>
      </c>
      <c r="E424" t="s">
        <v>119</v>
      </c>
      <c r="F424" t="s">
        <v>73</v>
      </c>
      <c r="G424" t="s">
        <v>74</v>
      </c>
      <c r="H424" t="s">
        <v>123</v>
      </c>
      <c r="I424" t="s">
        <v>84</v>
      </c>
      <c r="J424" s="76">
        <f>'SUT_EU27 total'!$L$73</f>
        <v>0.15097500908393557</v>
      </c>
    </row>
    <row r="425" spans="1:10" x14ac:dyDescent="0.35">
      <c r="A425" t="s">
        <v>18</v>
      </c>
      <c r="B425" t="s">
        <v>31</v>
      </c>
      <c r="C425" t="s">
        <v>91</v>
      </c>
      <c r="D425" t="s">
        <v>81</v>
      </c>
      <c r="E425" t="s">
        <v>124</v>
      </c>
      <c r="F425" t="s">
        <v>73</v>
      </c>
      <c r="G425" t="s">
        <v>74</v>
      </c>
      <c r="H425" t="s">
        <v>123</v>
      </c>
      <c r="I425" t="s">
        <v>84</v>
      </c>
      <c r="J425" s="76" cm="1">
        <f t="array" ref="J425:J433">'SUT_EU27 total'!$L$77:$L$85</f>
        <v>6.7728942399646885E-5</v>
      </c>
    </row>
    <row r="426" spans="1:10" x14ac:dyDescent="0.35">
      <c r="A426" t="s">
        <v>18</v>
      </c>
      <c r="B426" t="s">
        <v>31</v>
      </c>
      <c r="C426" t="s">
        <v>91</v>
      </c>
      <c r="D426" t="s">
        <v>81</v>
      </c>
      <c r="E426" t="s">
        <v>117</v>
      </c>
      <c r="F426" t="s">
        <v>73</v>
      </c>
      <c r="G426" t="s">
        <v>74</v>
      </c>
      <c r="H426" t="s">
        <v>123</v>
      </c>
      <c r="I426" t="s">
        <v>84</v>
      </c>
      <c r="J426" s="4">
        <v>5.6233849622410815E-3</v>
      </c>
    </row>
    <row r="427" spans="1:10" x14ac:dyDescent="0.35">
      <c r="A427" t="s">
        <v>18</v>
      </c>
      <c r="B427" t="s">
        <v>31</v>
      </c>
      <c r="C427" t="s">
        <v>91</v>
      </c>
      <c r="D427" t="s">
        <v>81</v>
      </c>
      <c r="E427" t="s">
        <v>82</v>
      </c>
      <c r="F427" t="s">
        <v>73</v>
      </c>
      <c r="G427" t="s">
        <v>74</v>
      </c>
      <c r="H427" t="s">
        <v>123</v>
      </c>
      <c r="I427" t="s">
        <v>84</v>
      </c>
      <c r="J427" s="4">
        <v>1.8068055269127655E-3</v>
      </c>
    </row>
    <row r="428" spans="1:10" x14ac:dyDescent="0.35">
      <c r="A428" t="s">
        <v>18</v>
      </c>
      <c r="B428" t="s">
        <v>31</v>
      </c>
      <c r="C428" t="s">
        <v>91</v>
      </c>
      <c r="D428" t="s">
        <v>81</v>
      </c>
      <c r="E428" t="s">
        <v>125</v>
      </c>
      <c r="F428" t="s">
        <v>73</v>
      </c>
      <c r="G428" t="s">
        <v>74</v>
      </c>
      <c r="H428" t="s">
        <v>123</v>
      </c>
      <c r="I428" t="s">
        <v>84</v>
      </c>
      <c r="J428" s="4">
        <v>5.6492118062760293E-6</v>
      </c>
    </row>
    <row r="429" spans="1:10" x14ac:dyDescent="0.35">
      <c r="A429" t="s">
        <v>18</v>
      </c>
      <c r="B429" t="s">
        <v>31</v>
      </c>
      <c r="C429" t="s">
        <v>91</v>
      </c>
      <c r="D429" t="s">
        <v>81</v>
      </c>
      <c r="E429" t="s">
        <v>122</v>
      </c>
      <c r="F429" t="s">
        <v>73</v>
      </c>
      <c r="G429" t="s">
        <v>74</v>
      </c>
      <c r="H429" t="s">
        <v>123</v>
      </c>
      <c r="I429" t="s">
        <v>84</v>
      </c>
      <c r="J429" s="4">
        <v>0</v>
      </c>
    </row>
    <row r="430" spans="1:10" x14ac:dyDescent="0.35">
      <c r="A430" t="s">
        <v>18</v>
      </c>
      <c r="B430" t="s">
        <v>31</v>
      </c>
      <c r="C430" t="s">
        <v>91</v>
      </c>
      <c r="D430" t="s">
        <v>81</v>
      </c>
      <c r="E430" t="s">
        <v>126</v>
      </c>
      <c r="F430" t="s">
        <v>73</v>
      </c>
      <c r="G430" t="s">
        <v>74</v>
      </c>
      <c r="H430" t="s">
        <v>123</v>
      </c>
      <c r="I430" t="s">
        <v>84</v>
      </c>
      <c r="J430" s="4">
        <v>8.1093795177776388E-4</v>
      </c>
    </row>
    <row r="431" spans="1:10" x14ac:dyDescent="0.35">
      <c r="A431" t="s">
        <v>18</v>
      </c>
      <c r="B431" t="s">
        <v>31</v>
      </c>
      <c r="C431" t="s">
        <v>91</v>
      </c>
      <c r="D431" t="s">
        <v>81</v>
      </c>
      <c r="E431" t="s">
        <v>101</v>
      </c>
      <c r="F431" t="s">
        <v>73</v>
      </c>
      <c r="G431" t="s">
        <v>74</v>
      </c>
      <c r="H431" t="s">
        <v>123</v>
      </c>
      <c r="I431" t="s">
        <v>84</v>
      </c>
      <c r="J431" s="4">
        <v>0</v>
      </c>
    </row>
    <row r="432" spans="1:10" x14ac:dyDescent="0.35">
      <c r="A432" t="s">
        <v>18</v>
      </c>
      <c r="B432" t="s">
        <v>31</v>
      </c>
      <c r="C432" t="s">
        <v>91</v>
      </c>
      <c r="D432" t="s">
        <v>81</v>
      </c>
      <c r="E432" t="s">
        <v>104</v>
      </c>
      <c r="F432" t="s">
        <v>73</v>
      </c>
      <c r="G432" t="s">
        <v>74</v>
      </c>
      <c r="H432" t="s">
        <v>123</v>
      </c>
      <c r="I432" t="s">
        <v>84</v>
      </c>
      <c r="J432" s="4">
        <v>0</v>
      </c>
    </row>
    <row r="433" spans="1:10" x14ac:dyDescent="0.35">
      <c r="A433" t="s">
        <v>18</v>
      </c>
      <c r="B433" t="s">
        <v>31</v>
      </c>
      <c r="C433" t="s">
        <v>91</v>
      </c>
      <c r="D433" t="s">
        <v>81</v>
      </c>
      <c r="E433" t="s">
        <v>106</v>
      </c>
      <c r="F433" t="s">
        <v>73</v>
      </c>
      <c r="G433" t="s">
        <v>74</v>
      </c>
      <c r="H433" t="s">
        <v>123</v>
      </c>
      <c r="I433" t="s">
        <v>84</v>
      </c>
      <c r="J433" s="4">
        <v>0</v>
      </c>
    </row>
    <row r="434" spans="1:10" x14ac:dyDescent="0.35">
      <c r="A434" t="s">
        <v>18</v>
      </c>
      <c r="B434" t="s">
        <v>31</v>
      </c>
      <c r="C434" t="s">
        <v>92</v>
      </c>
      <c r="D434" t="s">
        <v>81</v>
      </c>
      <c r="E434" t="s">
        <v>119</v>
      </c>
      <c r="F434" t="s">
        <v>73</v>
      </c>
      <c r="G434" t="s">
        <v>74</v>
      </c>
      <c r="H434" t="s">
        <v>123</v>
      </c>
      <c r="I434" t="s">
        <v>84</v>
      </c>
      <c r="J434" s="76">
        <f>'SUT_EU27 total'!$L$90</f>
        <v>0.13886309499777949</v>
      </c>
    </row>
    <row r="435" spans="1:10" x14ac:dyDescent="0.35">
      <c r="A435" t="s">
        <v>18</v>
      </c>
      <c r="B435" t="s">
        <v>31</v>
      </c>
      <c r="C435" t="s">
        <v>92</v>
      </c>
      <c r="D435" t="s">
        <v>81</v>
      </c>
      <c r="E435" t="s">
        <v>124</v>
      </c>
      <c r="F435" t="s">
        <v>73</v>
      </c>
      <c r="G435" t="s">
        <v>74</v>
      </c>
      <c r="H435" t="s">
        <v>123</v>
      </c>
      <c r="I435" t="s">
        <v>84</v>
      </c>
      <c r="J435" s="76" cm="1">
        <f t="array" ref="J435:J443">'SUT_EU27 total'!$L$94:$L$102</f>
        <v>9.2968907089085616E-5</v>
      </c>
    </row>
    <row r="436" spans="1:10" x14ac:dyDescent="0.35">
      <c r="A436" t="s">
        <v>18</v>
      </c>
      <c r="B436" t="s">
        <v>31</v>
      </c>
      <c r="C436" t="s">
        <v>92</v>
      </c>
      <c r="D436" t="s">
        <v>81</v>
      </c>
      <c r="E436" t="s">
        <v>117</v>
      </c>
      <c r="F436" t="s">
        <v>73</v>
      </c>
      <c r="G436" t="s">
        <v>74</v>
      </c>
      <c r="H436" t="s">
        <v>123</v>
      </c>
      <c r="I436" t="s">
        <v>84</v>
      </c>
      <c r="J436" s="4">
        <v>0</v>
      </c>
    </row>
    <row r="437" spans="1:10" x14ac:dyDescent="0.35">
      <c r="A437" t="s">
        <v>18</v>
      </c>
      <c r="B437" t="s">
        <v>31</v>
      </c>
      <c r="C437" t="s">
        <v>92</v>
      </c>
      <c r="D437" t="s">
        <v>81</v>
      </c>
      <c r="E437" t="s">
        <v>82</v>
      </c>
      <c r="F437" t="s">
        <v>73</v>
      </c>
      <c r="G437" t="s">
        <v>74</v>
      </c>
      <c r="H437" t="s">
        <v>123</v>
      </c>
      <c r="I437" t="s">
        <v>84</v>
      </c>
      <c r="J437" s="4">
        <v>1.1251392039595793E-3</v>
      </c>
    </row>
    <row r="438" spans="1:10" x14ac:dyDescent="0.35">
      <c r="A438" t="s">
        <v>18</v>
      </c>
      <c r="B438" t="s">
        <v>31</v>
      </c>
      <c r="C438" t="s">
        <v>92</v>
      </c>
      <c r="D438" t="s">
        <v>81</v>
      </c>
      <c r="E438" t="s">
        <v>125</v>
      </c>
      <c r="F438" t="s">
        <v>73</v>
      </c>
      <c r="G438" t="s">
        <v>74</v>
      </c>
      <c r="H438" t="s">
        <v>123</v>
      </c>
      <c r="I438" t="s">
        <v>84</v>
      </c>
      <c r="J438" s="4">
        <v>5.0048817841215026E-7</v>
      </c>
    </row>
    <row r="439" spans="1:10" x14ac:dyDescent="0.35">
      <c r="A439" t="s">
        <v>18</v>
      </c>
      <c r="B439" t="s">
        <v>31</v>
      </c>
      <c r="C439" t="s">
        <v>92</v>
      </c>
      <c r="D439" t="s">
        <v>81</v>
      </c>
      <c r="E439" t="s">
        <v>122</v>
      </c>
      <c r="F439" t="s">
        <v>73</v>
      </c>
      <c r="G439" t="s">
        <v>74</v>
      </c>
      <c r="H439" t="s">
        <v>123</v>
      </c>
      <c r="I439" t="s">
        <v>84</v>
      </c>
      <c r="J439" s="4">
        <v>0</v>
      </c>
    </row>
    <row r="440" spans="1:10" x14ac:dyDescent="0.35">
      <c r="A440" t="s">
        <v>18</v>
      </c>
      <c r="B440" t="s">
        <v>31</v>
      </c>
      <c r="C440" t="s">
        <v>92</v>
      </c>
      <c r="D440" t="s">
        <v>81</v>
      </c>
      <c r="E440" t="s">
        <v>126</v>
      </c>
      <c r="F440" t="s">
        <v>73</v>
      </c>
      <c r="G440" t="s">
        <v>74</v>
      </c>
      <c r="H440" t="s">
        <v>123</v>
      </c>
      <c r="I440" t="s">
        <v>84</v>
      </c>
      <c r="J440" s="4">
        <v>0</v>
      </c>
    </row>
    <row r="441" spans="1:10" x14ac:dyDescent="0.35">
      <c r="A441" t="s">
        <v>18</v>
      </c>
      <c r="B441" t="s">
        <v>31</v>
      </c>
      <c r="C441" t="s">
        <v>92</v>
      </c>
      <c r="D441" t="s">
        <v>81</v>
      </c>
      <c r="E441" t="s">
        <v>101</v>
      </c>
      <c r="F441" t="s">
        <v>73</v>
      </c>
      <c r="G441" t="s">
        <v>74</v>
      </c>
      <c r="H441" t="s">
        <v>123</v>
      </c>
      <c r="I441" t="s">
        <v>84</v>
      </c>
      <c r="J441" s="4">
        <v>0</v>
      </c>
    </row>
    <row r="442" spans="1:10" x14ac:dyDescent="0.35">
      <c r="A442" t="s">
        <v>18</v>
      </c>
      <c r="B442" t="s">
        <v>31</v>
      </c>
      <c r="C442" t="s">
        <v>92</v>
      </c>
      <c r="D442" t="s">
        <v>81</v>
      </c>
      <c r="E442" t="s">
        <v>104</v>
      </c>
      <c r="F442" t="s">
        <v>73</v>
      </c>
      <c r="G442" t="s">
        <v>74</v>
      </c>
      <c r="H442" t="s">
        <v>123</v>
      </c>
      <c r="I442" t="s">
        <v>84</v>
      </c>
      <c r="J442" s="4">
        <v>0</v>
      </c>
    </row>
    <row r="443" spans="1:10" x14ac:dyDescent="0.35">
      <c r="A443" t="s">
        <v>18</v>
      </c>
      <c r="B443" t="s">
        <v>31</v>
      </c>
      <c r="C443" t="s">
        <v>92</v>
      </c>
      <c r="D443" t="s">
        <v>81</v>
      </c>
      <c r="E443" t="s">
        <v>106</v>
      </c>
      <c r="F443" t="s">
        <v>73</v>
      </c>
      <c r="G443" t="s">
        <v>74</v>
      </c>
      <c r="H443" t="s">
        <v>123</v>
      </c>
      <c r="I443" t="s">
        <v>84</v>
      </c>
      <c r="J443" s="4">
        <v>0</v>
      </c>
    </row>
    <row r="444" spans="1:10" x14ac:dyDescent="0.35">
      <c r="A444" t="s">
        <v>18</v>
      </c>
      <c r="B444" t="s">
        <v>31</v>
      </c>
      <c r="C444" t="s">
        <v>93</v>
      </c>
      <c r="D444" t="s">
        <v>81</v>
      </c>
      <c r="E444" t="s">
        <v>119</v>
      </c>
      <c r="F444" t="s">
        <v>73</v>
      </c>
      <c r="G444" t="s">
        <v>74</v>
      </c>
      <c r="H444" t="s">
        <v>123</v>
      </c>
      <c r="I444" t="s">
        <v>84</v>
      </c>
      <c r="J444" s="76">
        <f>'SUT_EU27 total'!$L$107</f>
        <v>1.0000807460939076</v>
      </c>
    </row>
    <row r="445" spans="1:10" x14ac:dyDescent="0.35">
      <c r="A445" t="s">
        <v>18</v>
      </c>
      <c r="B445" t="s">
        <v>31</v>
      </c>
      <c r="C445" t="s">
        <v>93</v>
      </c>
      <c r="D445" t="s">
        <v>81</v>
      </c>
      <c r="E445" t="s">
        <v>124</v>
      </c>
      <c r="F445" t="s">
        <v>73</v>
      </c>
      <c r="G445" t="s">
        <v>74</v>
      </c>
      <c r="H445" t="s">
        <v>123</v>
      </c>
      <c r="I445" t="s">
        <v>84</v>
      </c>
      <c r="J445" s="76" cm="1">
        <f t="array" ref="J445:J453">'SUT_EU27 total'!$L$111:$L$119</f>
        <v>3.7052409430862396E-4</v>
      </c>
    </row>
    <row r="446" spans="1:10" x14ac:dyDescent="0.35">
      <c r="A446" t="s">
        <v>18</v>
      </c>
      <c r="B446" t="s">
        <v>31</v>
      </c>
      <c r="C446" t="s">
        <v>93</v>
      </c>
      <c r="D446" t="s">
        <v>81</v>
      </c>
      <c r="E446" t="s">
        <v>117</v>
      </c>
      <c r="F446" t="s">
        <v>73</v>
      </c>
      <c r="G446" t="s">
        <v>74</v>
      </c>
      <c r="H446" t="s">
        <v>123</v>
      </c>
      <c r="I446" t="s">
        <v>84</v>
      </c>
      <c r="J446" s="4">
        <v>5.8414042458127093E-3</v>
      </c>
    </row>
    <row r="447" spans="1:10" x14ac:dyDescent="0.35">
      <c r="A447" t="s">
        <v>18</v>
      </c>
      <c r="B447" t="s">
        <v>31</v>
      </c>
      <c r="C447" t="s">
        <v>93</v>
      </c>
      <c r="D447" t="s">
        <v>81</v>
      </c>
      <c r="E447" t="s">
        <v>82</v>
      </c>
      <c r="F447" t="s">
        <v>73</v>
      </c>
      <c r="G447" t="s">
        <v>74</v>
      </c>
      <c r="H447" t="s">
        <v>123</v>
      </c>
      <c r="I447" t="s">
        <v>84</v>
      </c>
      <c r="J447" s="4">
        <v>5.0319447308723453E-3</v>
      </c>
    </row>
    <row r="448" spans="1:10" x14ac:dyDescent="0.35">
      <c r="A448" t="s">
        <v>18</v>
      </c>
      <c r="B448" t="s">
        <v>31</v>
      </c>
      <c r="C448" t="s">
        <v>93</v>
      </c>
      <c r="D448" t="s">
        <v>81</v>
      </c>
      <c r="E448" t="s">
        <v>125</v>
      </c>
      <c r="F448" t="s">
        <v>73</v>
      </c>
      <c r="G448" t="s">
        <v>74</v>
      </c>
      <c r="H448" t="s">
        <v>123</v>
      </c>
      <c r="I448" t="s">
        <v>84</v>
      </c>
      <c r="J448" s="4">
        <v>4.336096678710085E-4</v>
      </c>
    </row>
    <row r="449" spans="1:10" x14ac:dyDescent="0.35">
      <c r="A449" t="s">
        <v>18</v>
      </c>
      <c r="B449" t="s">
        <v>31</v>
      </c>
      <c r="C449" t="s">
        <v>93</v>
      </c>
      <c r="D449" t="s">
        <v>81</v>
      </c>
      <c r="E449" t="s">
        <v>122</v>
      </c>
      <c r="F449" t="s">
        <v>73</v>
      </c>
      <c r="G449" t="s">
        <v>74</v>
      </c>
      <c r="H449" t="s">
        <v>123</v>
      </c>
      <c r="I449" t="s">
        <v>84</v>
      </c>
      <c r="J449" s="4">
        <v>2.7129607609988112E-3</v>
      </c>
    </row>
    <row r="450" spans="1:10" x14ac:dyDescent="0.35">
      <c r="A450" t="s">
        <v>18</v>
      </c>
      <c r="B450" t="s">
        <v>31</v>
      </c>
      <c r="C450" t="s">
        <v>93</v>
      </c>
      <c r="D450" t="s">
        <v>81</v>
      </c>
      <c r="E450" t="s">
        <v>126</v>
      </c>
      <c r="F450" t="s">
        <v>73</v>
      </c>
      <c r="G450" t="s">
        <v>74</v>
      </c>
      <c r="H450" t="s">
        <v>123</v>
      </c>
      <c r="I450" t="s">
        <v>84</v>
      </c>
      <c r="J450" s="4">
        <v>4.3855511603587784E-2</v>
      </c>
    </row>
    <row r="451" spans="1:10" x14ac:dyDescent="0.35">
      <c r="A451" t="s">
        <v>18</v>
      </c>
      <c r="B451" t="s">
        <v>31</v>
      </c>
      <c r="C451" t="s">
        <v>93</v>
      </c>
      <c r="D451" t="s">
        <v>81</v>
      </c>
      <c r="E451" t="s">
        <v>101</v>
      </c>
      <c r="F451" t="s">
        <v>73</v>
      </c>
      <c r="G451" t="s">
        <v>74</v>
      </c>
      <c r="H451" t="s">
        <v>123</v>
      </c>
      <c r="I451" t="s">
        <v>84</v>
      </c>
      <c r="J451" s="4">
        <v>0</v>
      </c>
    </row>
    <row r="452" spans="1:10" x14ac:dyDescent="0.35">
      <c r="A452" t="s">
        <v>18</v>
      </c>
      <c r="B452" t="s">
        <v>31</v>
      </c>
      <c r="C452" t="s">
        <v>93</v>
      </c>
      <c r="D452" t="s">
        <v>81</v>
      </c>
      <c r="E452" t="s">
        <v>104</v>
      </c>
      <c r="F452" t="s">
        <v>73</v>
      </c>
      <c r="G452" t="s">
        <v>74</v>
      </c>
      <c r="H452" t="s">
        <v>123</v>
      </c>
      <c r="I452" t="s">
        <v>84</v>
      </c>
      <c r="J452" s="4">
        <v>0</v>
      </c>
    </row>
    <row r="453" spans="1:10" x14ac:dyDescent="0.35">
      <c r="A453" t="s">
        <v>18</v>
      </c>
      <c r="B453" t="s">
        <v>31</v>
      </c>
      <c r="C453" t="s">
        <v>93</v>
      </c>
      <c r="D453" t="s">
        <v>81</v>
      </c>
      <c r="E453" t="s">
        <v>106</v>
      </c>
      <c r="F453" t="s">
        <v>73</v>
      </c>
      <c r="G453" t="s">
        <v>74</v>
      </c>
      <c r="H453" t="s">
        <v>123</v>
      </c>
      <c r="I453" t="s">
        <v>84</v>
      </c>
      <c r="J453" s="4">
        <v>0</v>
      </c>
    </row>
    <row r="454" spans="1:10" x14ac:dyDescent="0.35">
      <c r="A454" t="s">
        <v>18</v>
      </c>
      <c r="B454" t="s">
        <v>31</v>
      </c>
      <c r="C454" t="s">
        <v>73</v>
      </c>
      <c r="D454" t="s">
        <v>81</v>
      </c>
      <c r="E454" t="s">
        <v>119</v>
      </c>
      <c r="F454" t="s">
        <v>73</v>
      </c>
      <c r="G454" t="s">
        <v>74</v>
      </c>
      <c r="H454" t="s">
        <v>127</v>
      </c>
      <c r="I454" t="s">
        <v>84</v>
      </c>
      <c r="J454" s="76">
        <f>'SUT_EU27 total'!$M$22</f>
        <v>1.9500181678711294E-2</v>
      </c>
    </row>
    <row r="455" spans="1:10" x14ac:dyDescent="0.35">
      <c r="A455" t="s">
        <v>18</v>
      </c>
      <c r="B455" t="s">
        <v>31</v>
      </c>
      <c r="C455" t="s">
        <v>73</v>
      </c>
      <c r="D455" t="s">
        <v>81</v>
      </c>
      <c r="E455" t="s">
        <v>124</v>
      </c>
      <c r="F455" t="s">
        <v>73</v>
      </c>
      <c r="G455" t="s">
        <v>74</v>
      </c>
      <c r="H455" t="s">
        <v>127</v>
      </c>
      <c r="I455" t="s">
        <v>84</v>
      </c>
      <c r="J455" s="76" cm="1">
        <f t="array" ref="J455:J463">'SUT_EU27 total'!$M$26:$M$34</f>
        <v>1.9404661061278542E-3</v>
      </c>
    </row>
    <row r="456" spans="1:10" x14ac:dyDescent="0.35">
      <c r="A456" t="s">
        <v>18</v>
      </c>
      <c r="B456" t="s">
        <v>31</v>
      </c>
      <c r="C456" t="s">
        <v>73</v>
      </c>
      <c r="D456" t="s">
        <v>81</v>
      </c>
      <c r="E456" t="s">
        <v>117</v>
      </c>
      <c r="F456" t="s">
        <v>73</v>
      </c>
      <c r="G456" t="s">
        <v>74</v>
      </c>
      <c r="H456" t="s">
        <v>127</v>
      </c>
      <c r="I456" t="s">
        <v>84</v>
      </c>
      <c r="J456" s="4">
        <v>5.8423628191201782E-3</v>
      </c>
    </row>
    <row r="457" spans="1:10" x14ac:dyDescent="0.35">
      <c r="A457" t="s">
        <v>18</v>
      </c>
      <c r="B457" t="s">
        <v>31</v>
      </c>
      <c r="C457" t="s">
        <v>73</v>
      </c>
      <c r="D457" t="s">
        <v>81</v>
      </c>
      <c r="E457" t="s">
        <v>82</v>
      </c>
      <c r="F457" t="s">
        <v>73</v>
      </c>
      <c r="G457" t="s">
        <v>74</v>
      </c>
      <c r="H457" t="s">
        <v>127</v>
      </c>
      <c r="I457" t="s">
        <v>84</v>
      </c>
      <c r="J457" s="4">
        <v>4.8981233243967828E-4</v>
      </c>
    </row>
    <row r="458" spans="1:10" x14ac:dyDescent="0.35">
      <c r="A458" t="s">
        <v>18</v>
      </c>
      <c r="B458" t="s">
        <v>31</v>
      </c>
      <c r="C458" t="s">
        <v>73</v>
      </c>
      <c r="D458" t="s">
        <v>81</v>
      </c>
      <c r="E458" t="s">
        <v>125</v>
      </c>
      <c r="F458" t="s">
        <v>73</v>
      </c>
      <c r="G458" t="s">
        <v>74</v>
      </c>
      <c r="H458" t="s">
        <v>127</v>
      </c>
      <c r="I458" t="s">
        <v>84</v>
      </c>
      <c r="J458" s="4">
        <v>2.4658201215687387E-3</v>
      </c>
    </row>
    <row r="459" spans="1:10" x14ac:dyDescent="0.35">
      <c r="A459" t="s">
        <v>18</v>
      </c>
      <c r="B459" t="s">
        <v>31</v>
      </c>
      <c r="C459" t="s">
        <v>73</v>
      </c>
      <c r="D459" t="s">
        <v>81</v>
      </c>
      <c r="E459" t="s">
        <v>122</v>
      </c>
      <c r="F459" t="s">
        <v>73</v>
      </c>
      <c r="G459" t="s">
        <v>74</v>
      </c>
      <c r="H459" t="s">
        <v>127</v>
      </c>
      <c r="I459" t="s">
        <v>84</v>
      </c>
      <c r="J459" s="4">
        <v>4.922711058263972E-4</v>
      </c>
    </row>
    <row r="460" spans="1:10" x14ac:dyDescent="0.35">
      <c r="A460" t="s">
        <v>18</v>
      </c>
      <c r="B460" t="s">
        <v>31</v>
      </c>
      <c r="C460" t="s">
        <v>73</v>
      </c>
      <c r="D460" t="s">
        <v>81</v>
      </c>
      <c r="E460" t="s">
        <v>126</v>
      </c>
      <c r="F460" t="s">
        <v>73</v>
      </c>
      <c r="G460" t="s">
        <v>74</v>
      </c>
      <c r="H460" t="s">
        <v>127</v>
      </c>
      <c r="I460" t="s">
        <v>84</v>
      </c>
      <c r="J460" s="4">
        <v>0</v>
      </c>
    </row>
    <row r="461" spans="1:10" x14ac:dyDescent="0.35">
      <c r="A461" t="s">
        <v>18</v>
      </c>
      <c r="B461" t="s">
        <v>31</v>
      </c>
      <c r="C461" t="s">
        <v>73</v>
      </c>
      <c r="D461" t="s">
        <v>81</v>
      </c>
      <c r="E461" t="s">
        <v>101</v>
      </c>
      <c r="F461" t="s">
        <v>73</v>
      </c>
      <c r="G461" t="s">
        <v>74</v>
      </c>
      <c r="H461" t="s">
        <v>127</v>
      </c>
      <c r="I461" t="s">
        <v>84</v>
      </c>
      <c r="J461" s="4">
        <v>3.6586167200000007E-4</v>
      </c>
    </row>
    <row r="462" spans="1:10" x14ac:dyDescent="0.35">
      <c r="A462" t="s">
        <v>18</v>
      </c>
      <c r="B462" t="s">
        <v>31</v>
      </c>
      <c r="C462" t="s">
        <v>73</v>
      </c>
      <c r="D462" t="s">
        <v>81</v>
      </c>
      <c r="E462" t="s">
        <v>104</v>
      </c>
      <c r="F462" t="s">
        <v>73</v>
      </c>
      <c r="G462" t="s">
        <v>74</v>
      </c>
      <c r="H462" t="s">
        <v>127</v>
      </c>
      <c r="I462" t="s">
        <v>84</v>
      </c>
      <c r="J462" s="4">
        <v>6.9272632800000005E-4</v>
      </c>
    </row>
    <row r="463" spans="1:10" x14ac:dyDescent="0.35">
      <c r="A463" t="s">
        <v>18</v>
      </c>
      <c r="B463" t="s">
        <v>31</v>
      </c>
      <c r="C463" t="s">
        <v>73</v>
      </c>
      <c r="D463" t="s">
        <v>81</v>
      </c>
      <c r="E463" t="s">
        <v>106</v>
      </c>
      <c r="F463" t="s">
        <v>73</v>
      </c>
      <c r="G463" t="s">
        <v>74</v>
      </c>
      <c r="H463" t="s">
        <v>127</v>
      </c>
      <c r="I463" t="s">
        <v>84</v>
      </c>
      <c r="J463" s="4">
        <v>2.3562119999999999E-3</v>
      </c>
    </row>
    <row r="464" spans="1:10" x14ac:dyDescent="0.35">
      <c r="A464" t="s">
        <v>18</v>
      </c>
      <c r="B464" t="s">
        <v>31</v>
      </c>
      <c r="C464" t="s">
        <v>88</v>
      </c>
      <c r="D464" t="s">
        <v>81</v>
      </c>
      <c r="E464" t="s">
        <v>119</v>
      </c>
      <c r="F464" t="s">
        <v>73</v>
      </c>
      <c r="G464" t="s">
        <v>74</v>
      </c>
      <c r="H464" t="s">
        <v>127</v>
      </c>
      <c r="I464" t="s">
        <v>84</v>
      </c>
      <c r="J464" s="76">
        <f>'SUT_EU27 total'!$M$39</f>
        <v>0.16108845734587587</v>
      </c>
    </row>
    <row r="465" spans="1:10" x14ac:dyDescent="0.35">
      <c r="A465" t="s">
        <v>18</v>
      </c>
      <c r="B465" t="s">
        <v>31</v>
      </c>
      <c r="C465" t="s">
        <v>88</v>
      </c>
      <c r="D465" t="s">
        <v>81</v>
      </c>
      <c r="E465" t="s">
        <v>124</v>
      </c>
      <c r="F465" t="s">
        <v>73</v>
      </c>
      <c r="G465" t="s">
        <v>74</v>
      </c>
      <c r="H465" t="s">
        <v>127</v>
      </c>
      <c r="I465" t="s">
        <v>84</v>
      </c>
      <c r="J465" s="76" cm="1">
        <f t="array" ref="J465:J473">'SUT_EU27 total'!$L$43:$L$51</f>
        <v>5.0558836222750793E-4</v>
      </c>
    </row>
    <row r="466" spans="1:10" x14ac:dyDescent="0.35">
      <c r="A466" t="s">
        <v>18</v>
      </c>
      <c r="B466" t="s">
        <v>31</v>
      </c>
      <c r="C466" t="s">
        <v>88</v>
      </c>
      <c r="D466" t="s">
        <v>81</v>
      </c>
      <c r="E466" t="s">
        <v>117</v>
      </c>
      <c r="F466" t="s">
        <v>73</v>
      </c>
      <c r="G466" t="s">
        <v>74</v>
      </c>
      <c r="H466" t="s">
        <v>127</v>
      </c>
      <c r="I466" t="s">
        <v>84</v>
      </c>
      <c r="J466" s="4">
        <v>4.8514464106651379E-3</v>
      </c>
    </row>
    <row r="467" spans="1:10" x14ac:dyDescent="0.35">
      <c r="A467" t="s">
        <v>18</v>
      </c>
      <c r="B467" t="s">
        <v>31</v>
      </c>
      <c r="C467" t="s">
        <v>88</v>
      </c>
      <c r="D467" t="s">
        <v>81</v>
      </c>
      <c r="E467" t="s">
        <v>82</v>
      </c>
      <c r="F467" t="s">
        <v>73</v>
      </c>
      <c r="G467" t="s">
        <v>74</v>
      </c>
      <c r="H467" t="s">
        <v>127</v>
      </c>
      <c r="I467" t="s">
        <v>84</v>
      </c>
      <c r="J467" s="4">
        <v>1.109418436791091E-2</v>
      </c>
    </row>
    <row r="468" spans="1:10" x14ac:dyDescent="0.35">
      <c r="A468" t="s">
        <v>18</v>
      </c>
      <c r="B468" t="s">
        <v>31</v>
      </c>
      <c r="C468" t="s">
        <v>88</v>
      </c>
      <c r="D468" t="s">
        <v>81</v>
      </c>
      <c r="E468" t="s">
        <v>125</v>
      </c>
      <c r="F468" t="s">
        <v>73</v>
      </c>
      <c r="G468" t="s">
        <v>74</v>
      </c>
      <c r="H468" t="s">
        <v>127</v>
      </c>
      <c r="I468" t="s">
        <v>84</v>
      </c>
      <c r="J468" s="4">
        <v>2.890870278990243E-5</v>
      </c>
    </row>
    <row r="469" spans="1:10" x14ac:dyDescent="0.35">
      <c r="A469" t="s">
        <v>18</v>
      </c>
      <c r="B469" t="s">
        <v>31</v>
      </c>
      <c r="C469" t="s">
        <v>88</v>
      </c>
      <c r="D469" t="s">
        <v>81</v>
      </c>
      <c r="E469" t="s">
        <v>122</v>
      </c>
      <c r="F469" t="s">
        <v>73</v>
      </c>
      <c r="G469" t="s">
        <v>74</v>
      </c>
      <c r="H469" t="s">
        <v>127</v>
      </c>
      <c r="I469" t="s">
        <v>84</v>
      </c>
      <c r="J469" s="4">
        <v>0</v>
      </c>
    </row>
    <row r="470" spans="1:10" x14ac:dyDescent="0.35">
      <c r="A470" t="s">
        <v>18</v>
      </c>
      <c r="B470" t="s">
        <v>31</v>
      </c>
      <c r="C470" t="s">
        <v>88</v>
      </c>
      <c r="D470" t="s">
        <v>81</v>
      </c>
      <c r="E470" t="s">
        <v>126</v>
      </c>
      <c r="F470" t="s">
        <v>73</v>
      </c>
      <c r="G470" t="s">
        <v>74</v>
      </c>
      <c r="H470" t="s">
        <v>127</v>
      </c>
      <c r="I470" t="s">
        <v>84</v>
      </c>
      <c r="J470" s="4">
        <v>2.8514320987501449E-3</v>
      </c>
    </row>
    <row r="471" spans="1:10" x14ac:dyDescent="0.35">
      <c r="A471" t="s">
        <v>18</v>
      </c>
      <c r="B471" t="s">
        <v>31</v>
      </c>
      <c r="C471" t="s">
        <v>88</v>
      </c>
      <c r="D471" t="s">
        <v>81</v>
      </c>
      <c r="E471" t="s">
        <v>101</v>
      </c>
      <c r="F471" t="s">
        <v>73</v>
      </c>
      <c r="G471" t="s">
        <v>74</v>
      </c>
      <c r="H471" t="s">
        <v>127</v>
      </c>
      <c r="I471" t="s">
        <v>84</v>
      </c>
      <c r="J471" s="4">
        <v>0</v>
      </c>
    </row>
    <row r="472" spans="1:10" x14ac:dyDescent="0.35">
      <c r="A472" t="s">
        <v>18</v>
      </c>
      <c r="B472" t="s">
        <v>31</v>
      </c>
      <c r="C472" t="s">
        <v>88</v>
      </c>
      <c r="D472" t="s">
        <v>81</v>
      </c>
      <c r="E472" t="s">
        <v>104</v>
      </c>
      <c r="F472" t="s">
        <v>73</v>
      </c>
      <c r="G472" t="s">
        <v>74</v>
      </c>
      <c r="H472" t="s">
        <v>127</v>
      </c>
      <c r="I472" t="s">
        <v>84</v>
      </c>
      <c r="J472" s="4">
        <v>0</v>
      </c>
    </row>
    <row r="473" spans="1:10" x14ac:dyDescent="0.35">
      <c r="A473" t="s">
        <v>18</v>
      </c>
      <c r="B473" t="s">
        <v>31</v>
      </c>
      <c r="C473" t="s">
        <v>88</v>
      </c>
      <c r="D473" t="s">
        <v>81</v>
      </c>
      <c r="E473" t="s">
        <v>106</v>
      </c>
      <c r="F473" t="s">
        <v>73</v>
      </c>
      <c r="G473" t="s">
        <v>74</v>
      </c>
      <c r="H473" t="s">
        <v>127</v>
      </c>
      <c r="I473" t="s">
        <v>84</v>
      </c>
      <c r="J473" s="4">
        <v>0</v>
      </c>
    </row>
    <row r="474" spans="1:10" x14ac:dyDescent="0.35">
      <c r="A474" t="s">
        <v>18</v>
      </c>
      <c r="B474" t="s">
        <v>31</v>
      </c>
      <c r="C474" t="s">
        <v>90</v>
      </c>
      <c r="D474" t="s">
        <v>81</v>
      </c>
      <c r="E474" t="s">
        <v>119</v>
      </c>
      <c r="F474" t="s">
        <v>73</v>
      </c>
      <c r="G474" t="s">
        <v>74</v>
      </c>
      <c r="H474" t="s">
        <v>127</v>
      </c>
      <c r="I474" t="s">
        <v>84</v>
      </c>
      <c r="J474" s="76">
        <f>'SUT_EU27 total'!$M$56</f>
        <v>2.949251079979006E-2</v>
      </c>
    </row>
    <row r="475" spans="1:10" x14ac:dyDescent="0.35">
      <c r="A475" t="s">
        <v>18</v>
      </c>
      <c r="B475" t="s">
        <v>31</v>
      </c>
      <c r="C475" t="s">
        <v>90</v>
      </c>
      <c r="D475" t="s">
        <v>81</v>
      </c>
      <c r="E475" t="s">
        <v>124</v>
      </c>
      <c r="F475" t="s">
        <v>73</v>
      </c>
      <c r="G475" t="s">
        <v>74</v>
      </c>
      <c r="H475" t="s">
        <v>127</v>
      </c>
      <c r="I475" t="s">
        <v>84</v>
      </c>
      <c r="J475" s="76" cm="1">
        <f t="array" ref="J475:J483">'SUT_EU27 total'!$M$60:$M$68</f>
        <v>2.1047443073980527E-5</v>
      </c>
    </row>
    <row r="476" spans="1:10" x14ac:dyDescent="0.35">
      <c r="A476" t="s">
        <v>18</v>
      </c>
      <c r="B476" t="s">
        <v>31</v>
      </c>
      <c r="C476" t="s">
        <v>90</v>
      </c>
      <c r="D476" t="s">
        <v>81</v>
      </c>
      <c r="E476" t="s">
        <v>117</v>
      </c>
      <c r="F476" t="s">
        <v>73</v>
      </c>
      <c r="G476" t="s">
        <v>74</v>
      </c>
      <c r="H476" t="s">
        <v>127</v>
      </c>
      <c r="I476" t="s">
        <v>84</v>
      </c>
      <c r="J476" s="4">
        <v>5.8414015621608938E-3</v>
      </c>
    </row>
    <row r="477" spans="1:10" x14ac:dyDescent="0.35">
      <c r="A477" t="s">
        <v>18</v>
      </c>
      <c r="B477" t="s">
        <v>31</v>
      </c>
      <c r="C477" t="s">
        <v>90</v>
      </c>
      <c r="D477" t="s">
        <v>81</v>
      </c>
      <c r="E477" t="s">
        <v>82</v>
      </c>
      <c r="F477" t="s">
        <v>73</v>
      </c>
      <c r="G477" t="s">
        <v>74</v>
      </c>
      <c r="H477" t="s">
        <v>127</v>
      </c>
      <c r="I477" t="s">
        <v>84</v>
      </c>
      <c r="J477" s="4">
        <v>1.4521138379047227E-3</v>
      </c>
    </row>
    <row r="478" spans="1:10" x14ac:dyDescent="0.35">
      <c r="A478" t="s">
        <v>18</v>
      </c>
      <c r="B478" t="s">
        <v>31</v>
      </c>
      <c r="C478" t="s">
        <v>90</v>
      </c>
      <c r="D478" t="s">
        <v>81</v>
      </c>
      <c r="E478" t="s">
        <v>125</v>
      </c>
      <c r="F478" t="s">
        <v>73</v>
      </c>
      <c r="G478" t="s">
        <v>74</v>
      </c>
      <c r="H478" t="s">
        <v>127</v>
      </c>
      <c r="I478" t="s">
        <v>84</v>
      </c>
      <c r="J478" s="4">
        <v>6.5130870114372285E-5</v>
      </c>
    </row>
    <row r="479" spans="1:10" x14ac:dyDescent="0.35">
      <c r="A479" t="s">
        <v>18</v>
      </c>
      <c r="B479" t="s">
        <v>31</v>
      </c>
      <c r="C479" t="s">
        <v>90</v>
      </c>
      <c r="D479" t="s">
        <v>81</v>
      </c>
      <c r="E479" t="s">
        <v>122</v>
      </c>
      <c r="F479" t="s">
        <v>73</v>
      </c>
      <c r="G479" t="s">
        <v>74</v>
      </c>
      <c r="H479" t="s">
        <v>127</v>
      </c>
      <c r="I479" t="s">
        <v>84</v>
      </c>
      <c r="J479" s="4">
        <v>7.9476813317479189E-4</v>
      </c>
    </row>
    <row r="480" spans="1:10" x14ac:dyDescent="0.35">
      <c r="A480" t="s">
        <v>18</v>
      </c>
      <c r="B480" t="s">
        <v>31</v>
      </c>
      <c r="C480" t="s">
        <v>90</v>
      </c>
      <c r="D480" t="s">
        <v>81</v>
      </c>
      <c r="E480" t="s">
        <v>126</v>
      </c>
      <c r="F480" t="s">
        <v>73</v>
      </c>
      <c r="G480" t="s">
        <v>74</v>
      </c>
      <c r="H480" t="s">
        <v>127</v>
      </c>
      <c r="I480" t="s">
        <v>84</v>
      </c>
      <c r="J480" s="4">
        <v>8.4821183458843076E-3</v>
      </c>
    </row>
    <row r="481" spans="1:10" x14ac:dyDescent="0.35">
      <c r="A481" t="s">
        <v>18</v>
      </c>
      <c r="B481" t="s">
        <v>31</v>
      </c>
      <c r="C481" t="s">
        <v>90</v>
      </c>
      <c r="D481" t="s">
        <v>81</v>
      </c>
      <c r="E481" t="s">
        <v>101</v>
      </c>
      <c r="F481" t="s">
        <v>73</v>
      </c>
      <c r="G481" t="s">
        <v>74</v>
      </c>
      <c r="H481" t="s">
        <v>127</v>
      </c>
      <c r="I481" t="s">
        <v>84</v>
      </c>
      <c r="J481" s="4">
        <v>0</v>
      </c>
    </row>
    <row r="482" spans="1:10" x14ac:dyDescent="0.35">
      <c r="A482" t="s">
        <v>18</v>
      </c>
      <c r="B482" t="s">
        <v>31</v>
      </c>
      <c r="C482" t="s">
        <v>90</v>
      </c>
      <c r="D482" t="s">
        <v>81</v>
      </c>
      <c r="E482" t="s">
        <v>104</v>
      </c>
      <c r="F482" t="s">
        <v>73</v>
      </c>
      <c r="G482" t="s">
        <v>74</v>
      </c>
      <c r="H482" t="s">
        <v>127</v>
      </c>
      <c r="I482" t="s">
        <v>84</v>
      </c>
      <c r="J482" s="4">
        <v>0</v>
      </c>
    </row>
    <row r="483" spans="1:10" x14ac:dyDescent="0.35">
      <c r="A483" t="s">
        <v>18</v>
      </c>
      <c r="B483" t="s">
        <v>31</v>
      </c>
      <c r="C483" t="s">
        <v>90</v>
      </c>
      <c r="D483" t="s">
        <v>81</v>
      </c>
      <c r="E483" t="s">
        <v>106</v>
      </c>
      <c r="F483" t="s">
        <v>73</v>
      </c>
      <c r="G483" t="s">
        <v>74</v>
      </c>
      <c r="H483" t="s">
        <v>127</v>
      </c>
      <c r="I483" t="s">
        <v>84</v>
      </c>
      <c r="J483" s="4">
        <v>0</v>
      </c>
    </row>
    <row r="484" spans="1:10" x14ac:dyDescent="0.35">
      <c r="A484" t="s">
        <v>18</v>
      </c>
      <c r="B484" t="s">
        <v>31</v>
      </c>
      <c r="C484" t="s">
        <v>91</v>
      </c>
      <c r="D484" t="s">
        <v>81</v>
      </c>
      <c r="E484" t="s">
        <v>119</v>
      </c>
      <c r="F484" t="s">
        <v>73</v>
      </c>
      <c r="G484" t="s">
        <v>74</v>
      </c>
      <c r="H484" t="s">
        <v>127</v>
      </c>
      <c r="I484" t="s">
        <v>84</v>
      </c>
      <c r="J484" s="76">
        <f>'SUT_EU27 total'!$M$73</f>
        <v>0.15097500908393557</v>
      </c>
    </row>
    <row r="485" spans="1:10" x14ac:dyDescent="0.35">
      <c r="A485" t="s">
        <v>18</v>
      </c>
      <c r="B485" t="s">
        <v>31</v>
      </c>
      <c r="C485" t="s">
        <v>91</v>
      </c>
      <c r="D485" t="s">
        <v>81</v>
      </c>
      <c r="E485" t="s">
        <v>124</v>
      </c>
      <c r="F485" t="s">
        <v>73</v>
      </c>
      <c r="G485" t="s">
        <v>74</v>
      </c>
      <c r="H485" t="s">
        <v>127</v>
      </c>
      <c r="I485" t="s">
        <v>84</v>
      </c>
      <c r="J485" s="76" cm="1">
        <f t="array" ref="J485:J493">'SUT_EU27 total'!$M$77:$M$85</f>
        <v>6.7728942399646885E-5</v>
      </c>
    </row>
    <row r="486" spans="1:10" x14ac:dyDescent="0.35">
      <c r="A486" t="s">
        <v>18</v>
      </c>
      <c r="B486" t="s">
        <v>31</v>
      </c>
      <c r="C486" t="s">
        <v>91</v>
      </c>
      <c r="D486" t="s">
        <v>81</v>
      </c>
      <c r="E486" t="s">
        <v>117</v>
      </c>
      <c r="F486" t="s">
        <v>73</v>
      </c>
      <c r="G486" t="s">
        <v>74</v>
      </c>
      <c r="H486" t="s">
        <v>127</v>
      </c>
      <c r="I486" t="s">
        <v>84</v>
      </c>
      <c r="J486" s="4">
        <v>5.6233849622410815E-3</v>
      </c>
    </row>
    <row r="487" spans="1:10" x14ac:dyDescent="0.35">
      <c r="A487" t="s">
        <v>18</v>
      </c>
      <c r="B487" t="s">
        <v>31</v>
      </c>
      <c r="C487" t="s">
        <v>91</v>
      </c>
      <c r="D487" t="s">
        <v>81</v>
      </c>
      <c r="E487" t="s">
        <v>82</v>
      </c>
      <c r="F487" t="s">
        <v>73</v>
      </c>
      <c r="G487" t="s">
        <v>74</v>
      </c>
      <c r="H487" t="s">
        <v>127</v>
      </c>
      <c r="I487" t="s">
        <v>84</v>
      </c>
      <c r="J487" s="4">
        <v>1.8068055269127655E-3</v>
      </c>
    </row>
    <row r="488" spans="1:10" x14ac:dyDescent="0.35">
      <c r="A488" t="s">
        <v>18</v>
      </c>
      <c r="B488" t="s">
        <v>31</v>
      </c>
      <c r="C488" t="s">
        <v>91</v>
      </c>
      <c r="D488" t="s">
        <v>81</v>
      </c>
      <c r="E488" t="s">
        <v>125</v>
      </c>
      <c r="F488" t="s">
        <v>73</v>
      </c>
      <c r="G488" t="s">
        <v>74</v>
      </c>
      <c r="H488" t="s">
        <v>127</v>
      </c>
      <c r="I488" t="s">
        <v>84</v>
      </c>
      <c r="J488" s="4">
        <v>5.6492118062760293E-6</v>
      </c>
    </row>
    <row r="489" spans="1:10" x14ac:dyDescent="0.35">
      <c r="A489" t="s">
        <v>18</v>
      </c>
      <c r="B489" t="s">
        <v>31</v>
      </c>
      <c r="C489" t="s">
        <v>91</v>
      </c>
      <c r="D489" t="s">
        <v>81</v>
      </c>
      <c r="E489" t="s">
        <v>122</v>
      </c>
      <c r="F489" t="s">
        <v>73</v>
      </c>
      <c r="G489" t="s">
        <v>74</v>
      </c>
      <c r="H489" t="s">
        <v>127</v>
      </c>
      <c r="I489" t="s">
        <v>84</v>
      </c>
      <c r="J489" s="4">
        <v>0</v>
      </c>
    </row>
    <row r="490" spans="1:10" x14ac:dyDescent="0.35">
      <c r="A490" t="s">
        <v>18</v>
      </c>
      <c r="B490" t="s">
        <v>31</v>
      </c>
      <c r="C490" t="s">
        <v>91</v>
      </c>
      <c r="D490" t="s">
        <v>81</v>
      </c>
      <c r="E490" t="s">
        <v>126</v>
      </c>
      <c r="F490" t="s">
        <v>73</v>
      </c>
      <c r="G490" t="s">
        <v>74</v>
      </c>
      <c r="H490" t="s">
        <v>127</v>
      </c>
      <c r="I490" t="s">
        <v>84</v>
      </c>
      <c r="J490" s="4">
        <v>8.1093795177776388E-4</v>
      </c>
    </row>
    <row r="491" spans="1:10" x14ac:dyDescent="0.35">
      <c r="A491" t="s">
        <v>18</v>
      </c>
      <c r="B491" t="s">
        <v>31</v>
      </c>
      <c r="C491" t="s">
        <v>91</v>
      </c>
      <c r="D491" t="s">
        <v>81</v>
      </c>
      <c r="E491" t="s">
        <v>101</v>
      </c>
      <c r="F491" t="s">
        <v>73</v>
      </c>
      <c r="G491" t="s">
        <v>74</v>
      </c>
      <c r="H491" t="s">
        <v>127</v>
      </c>
      <c r="I491" t="s">
        <v>84</v>
      </c>
      <c r="J491" s="4">
        <v>0</v>
      </c>
    </row>
    <row r="492" spans="1:10" x14ac:dyDescent="0.35">
      <c r="A492" t="s">
        <v>18</v>
      </c>
      <c r="B492" t="s">
        <v>31</v>
      </c>
      <c r="C492" t="s">
        <v>91</v>
      </c>
      <c r="D492" t="s">
        <v>81</v>
      </c>
      <c r="E492" t="s">
        <v>104</v>
      </c>
      <c r="F492" t="s">
        <v>73</v>
      </c>
      <c r="G492" t="s">
        <v>74</v>
      </c>
      <c r="H492" t="s">
        <v>127</v>
      </c>
      <c r="I492" t="s">
        <v>84</v>
      </c>
      <c r="J492" s="4">
        <v>0</v>
      </c>
    </row>
    <row r="493" spans="1:10" x14ac:dyDescent="0.35">
      <c r="A493" t="s">
        <v>18</v>
      </c>
      <c r="B493" t="s">
        <v>31</v>
      </c>
      <c r="C493" t="s">
        <v>91</v>
      </c>
      <c r="D493" t="s">
        <v>81</v>
      </c>
      <c r="E493" t="s">
        <v>106</v>
      </c>
      <c r="F493" t="s">
        <v>73</v>
      </c>
      <c r="G493" t="s">
        <v>74</v>
      </c>
      <c r="H493" t="s">
        <v>127</v>
      </c>
      <c r="I493" t="s">
        <v>84</v>
      </c>
      <c r="J493" s="4">
        <v>0</v>
      </c>
    </row>
    <row r="494" spans="1:10" x14ac:dyDescent="0.35">
      <c r="A494" t="s">
        <v>18</v>
      </c>
      <c r="B494" t="s">
        <v>31</v>
      </c>
      <c r="C494" t="s">
        <v>92</v>
      </c>
      <c r="D494" t="s">
        <v>81</v>
      </c>
      <c r="E494" t="s">
        <v>119</v>
      </c>
      <c r="F494" t="s">
        <v>73</v>
      </c>
      <c r="G494" t="s">
        <v>74</v>
      </c>
      <c r="H494" t="s">
        <v>127</v>
      </c>
      <c r="I494" t="s">
        <v>84</v>
      </c>
      <c r="J494" s="76">
        <f>'SUT_EU27 total'!$M$90</f>
        <v>0.13886309499777949</v>
      </c>
    </row>
    <row r="495" spans="1:10" x14ac:dyDescent="0.35">
      <c r="A495" t="s">
        <v>18</v>
      </c>
      <c r="B495" t="s">
        <v>31</v>
      </c>
      <c r="C495" t="s">
        <v>92</v>
      </c>
      <c r="D495" t="s">
        <v>81</v>
      </c>
      <c r="E495" t="s">
        <v>124</v>
      </c>
      <c r="F495" t="s">
        <v>73</v>
      </c>
      <c r="G495" t="s">
        <v>74</v>
      </c>
      <c r="H495" t="s">
        <v>127</v>
      </c>
      <c r="I495" t="s">
        <v>84</v>
      </c>
      <c r="J495" s="76" cm="1">
        <f t="array" ref="J495:J503">'SUT_EU27 total'!$M$94:$M$102</f>
        <v>9.2968907089085616E-5</v>
      </c>
    </row>
    <row r="496" spans="1:10" x14ac:dyDescent="0.35">
      <c r="A496" t="s">
        <v>18</v>
      </c>
      <c r="B496" t="s">
        <v>31</v>
      </c>
      <c r="C496" t="s">
        <v>92</v>
      </c>
      <c r="D496" t="s">
        <v>81</v>
      </c>
      <c r="E496" t="s">
        <v>117</v>
      </c>
      <c r="F496" t="s">
        <v>73</v>
      </c>
      <c r="G496" t="s">
        <v>74</v>
      </c>
      <c r="H496" t="s">
        <v>127</v>
      </c>
      <c r="I496" t="s">
        <v>84</v>
      </c>
      <c r="J496" s="4">
        <v>0</v>
      </c>
    </row>
    <row r="497" spans="1:10" x14ac:dyDescent="0.35">
      <c r="A497" t="s">
        <v>18</v>
      </c>
      <c r="B497" t="s">
        <v>31</v>
      </c>
      <c r="C497" t="s">
        <v>92</v>
      </c>
      <c r="D497" t="s">
        <v>81</v>
      </c>
      <c r="E497" t="s">
        <v>82</v>
      </c>
      <c r="F497" t="s">
        <v>73</v>
      </c>
      <c r="G497" t="s">
        <v>74</v>
      </c>
      <c r="H497" t="s">
        <v>127</v>
      </c>
      <c r="I497" t="s">
        <v>84</v>
      </c>
      <c r="J497" s="4">
        <v>1.1251392039595793E-3</v>
      </c>
    </row>
    <row r="498" spans="1:10" x14ac:dyDescent="0.35">
      <c r="A498" t="s">
        <v>18</v>
      </c>
      <c r="B498" t="s">
        <v>31</v>
      </c>
      <c r="C498" t="s">
        <v>92</v>
      </c>
      <c r="D498" t="s">
        <v>81</v>
      </c>
      <c r="E498" t="s">
        <v>125</v>
      </c>
      <c r="F498" t="s">
        <v>73</v>
      </c>
      <c r="G498" t="s">
        <v>74</v>
      </c>
      <c r="H498" t="s">
        <v>127</v>
      </c>
      <c r="I498" t="s">
        <v>84</v>
      </c>
      <c r="J498" s="4">
        <v>5.0048817841215026E-7</v>
      </c>
    </row>
    <row r="499" spans="1:10" x14ac:dyDescent="0.35">
      <c r="A499" t="s">
        <v>18</v>
      </c>
      <c r="B499" t="s">
        <v>31</v>
      </c>
      <c r="C499" t="s">
        <v>92</v>
      </c>
      <c r="D499" t="s">
        <v>81</v>
      </c>
      <c r="E499" t="s">
        <v>122</v>
      </c>
      <c r="F499" t="s">
        <v>73</v>
      </c>
      <c r="G499" t="s">
        <v>74</v>
      </c>
      <c r="H499" t="s">
        <v>127</v>
      </c>
      <c r="I499" t="s">
        <v>84</v>
      </c>
      <c r="J499" s="4">
        <v>0</v>
      </c>
    </row>
    <row r="500" spans="1:10" x14ac:dyDescent="0.35">
      <c r="A500" t="s">
        <v>18</v>
      </c>
      <c r="B500" t="s">
        <v>31</v>
      </c>
      <c r="C500" t="s">
        <v>92</v>
      </c>
      <c r="D500" t="s">
        <v>81</v>
      </c>
      <c r="E500" t="s">
        <v>126</v>
      </c>
      <c r="F500" t="s">
        <v>73</v>
      </c>
      <c r="G500" t="s">
        <v>74</v>
      </c>
      <c r="H500" t="s">
        <v>127</v>
      </c>
      <c r="I500" t="s">
        <v>84</v>
      </c>
      <c r="J500" s="4">
        <v>0</v>
      </c>
    </row>
    <row r="501" spans="1:10" x14ac:dyDescent="0.35">
      <c r="A501" t="s">
        <v>18</v>
      </c>
      <c r="B501" t="s">
        <v>31</v>
      </c>
      <c r="C501" t="s">
        <v>92</v>
      </c>
      <c r="D501" t="s">
        <v>81</v>
      </c>
      <c r="E501" t="s">
        <v>101</v>
      </c>
      <c r="F501" t="s">
        <v>73</v>
      </c>
      <c r="G501" t="s">
        <v>74</v>
      </c>
      <c r="H501" t="s">
        <v>127</v>
      </c>
      <c r="I501" t="s">
        <v>84</v>
      </c>
      <c r="J501" s="4">
        <v>0</v>
      </c>
    </row>
    <row r="502" spans="1:10" x14ac:dyDescent="0.35">
      <c r="A502" t="s">
        <v>18</v>
      </c>
      <c r="B502" t="s">
        <v>31</v>
      </c>
      <c r="C502" t="s">
        <v>92</v>
      </c>
      <c r="D502" t="s">
        <v>81</v>
      </c>
      <c r="E502" t="s">
        <v>104</v>
      </c>
      <c r="F502" t="s">
        <v>73</v>
      </c>
      <c r="G502" t="s">
        <v>74</v>
      </c>
      <c r="H502" t="s">
        <v>127</v>
      </c>
      <c r="I502" t="s">
        <v>84</v>
      </c>
      <c r="J502" s="4">
        <v>0</v>
      </c>
    </row>
    <row r="503" spans="1:10" x14ac:dyDescent="0.35">
      <c r="A503" t="s">
        <v>18</v>
      </c>
      <c r="B503" t="s">
        <v>31</v>
      </c>
      <c r="C503" t="s">
        <v>92</v>
      </c>
      <c r="D503" t="s">
        <v>81</v>
      </c>
      <c r="E503" t="s">
        <v>106</v>
      </c>
      <c r="F503" t="s">
        <v>73</v>
      </c>
      <c r="G503" t="s">
        <v>74</v>
      </c>
      <c r="H503" t="s">
        <v>127</v>
      </c>
      <c r="I503" t="s">
        <v>84</v>
      </c>
      <c r="J503" s="4">
        <v>0</v>
      </c>
    </row>
    <row r="504" spans="1:10" x14ac:dyDescent="0.35">
      <c r="A504" t="s">
        <v>18</v>
      </c>
      <c r="B504" t="s">
        <v>31</v>
      </c>
      <c r="C504" t="s">
        <v>93</v>
      </c>
      <c r="D504" t="s">
        <v>81</v>
      </c>
      <c r="E504" t="s">
        <v>119</v>
      </c>
      <c r="F504" t="s">
        <v>73</v>
      </c>
      <c r="G504" t="s">
        <v>74</v>
      </c>
      <c r="H504" t="s">
        <v>127</v>
      </c>
      <c r="I504" t="s">
        <v>84</v>
      </c>
      <c r="J504" s="76">
        <f>'SUT_EU27 total'!$M$107</f>
        <v>1.0000807460939076</v>
      </c>
    </row>
    <row r="505" spans="1:10" x14ac:dyDescent="0.35">
      <c r="A505" t="s">
        <v>18</v>
      </c>
      <c r="B505" t="s">
        <v>31</v>
      </c>
      <c r="C505" t="s">
        <v>93</v>
      </c>
      <c r="D505" t="s">
        <v>81</v>
      </c>
      <c r="E505" t="s">
        <v>124</v>
      </c>
      <c r="F505" t="s">
        <v>73</v>
      </c>
      <c r="G505" t="s">
        <v>74</v>
      </c>
      <c r="H505" t="s">
        <v>127</v>
      </c>
      <c r="I505" t="s">
        <v>84</v>
      </c>
      <c r="J505" s="76" cm="1">
        <f t="array" ref="J505:J513">'SUT_EU27 total'!$M$111:$M$119</f>
        <v>3.7052409430862396E-4</v>
      </c>
    </row>
    <row r="506" spans="1:10" x14ac:dyDescent="0.35">
      <c r="A506" t="s">
        <v>18</v>
      </c>
      <c r="B506" t="s">
        <v>31</v>
      </c>
      <c r="C506" t="s">
        <v>93</v>
      </c>
      <c r="D506" t="s">
        <v>81</v>
      </c>
      <c r="E506" t="s">
        <v>117</v>
      </c>
      <c r="F506" t="s">
        <v>73</v>
      </c>
      <c r="G506" t="s">
        <v>74</v>
      </c>
      <c r="H506" t="s">
        <v>127</v>
      </c>
      <c r="I506" t="s">
        <v>84</v>
      </c>
      <c r="J506" s="4">
        <v>5.8414042458127093E-3</v>
      </c>
    </row>
    <row r="507" spans="1:10" x14ac:dyDescent="0.35">
      <c r="A507" t="s">
        <v>18</v>
      </c>
      <c r="B507" t="s">
        <v>31</v>
      </c>
      <c r="C507" t="s">
        <v>93</v>
      </c>
      <c r="D507" t="s">
        <v>81</v>
      </c>
      <c r="E507" t="s">
        <v>82</v>
      </c>
      <c r="F507" t="s">
        <v>73</v>
      </c>
      <c r="G507" t="s">
        <v>74</v>
      </c>
      <c r="H507" t="s">
        <v>127</v>
      </c>
      <c r="I507" t="s">
        <v>84</v>
      </c>
      <c r="J507" s="4">
        <v>5.0319447308723453E-3</v>
      </c>
    </row>
    <row r="508" spans="1:10" x14ac:dyDescent="0.35">
      <c r="A508" t="s">
        <v>18</v>
      </c>
      <c r="B508" t="s">
        <v>31</v>
      </c>
      <c r="C508" t="s">
        <v>93</v>
      </c>
      <c r="D508" t="s">
        <v>81</v>
      </c>
      <c r="E508" t="s">
        <v>125</v>
      </c>
      <c r="F508" t="s">
        <v>73</v>
      </c>
      <c r="G508" t="s">
        <v>74</v>
      </c>
      <c r="H508" t="s">
        <v>127</v>
      </c>
      <c r="I508" t="s">
        <v>84</v>
      </c>
      <c r="J508" s="4">
        <v>4.336096678710085E-4</v>
      </c>
    </row>
    <row r="509" spans="1:10" x14ac:dyDescent="0.35">
      <c r="A509" t="s">
        <v>18</v>
      </c>
      <c r="B509" t="s">
        <v>31</v>
      </c>
      <c r="C509" t="s">
        <v>93</v>
      </c>
      <c r="D509" t="s">
        <v>81</v>
      </c>
      <c r="E509" t="s">
        <v>122</v>
      </c>
      <c r="F509" t="s">
        <v>73</v>
      </c>
      <c r="G509" t="s">
        <v>74</v>
      </c>
      <c r="H509" t="s">
        <v>127</v>
      </c>
      <c r="I509" t="s">
        <v>84</v>
      </c>
      <c r="J509" s="4">
        <v>2.7129607609988112E-3</v>
      </c>
    </row>
    <row r="510" spans="1:10" x14ac:dyDescent="0.35">
      <c r="A510" t="s">
        <v>18</v>
      </c>
      <c r="B510" t="s">
        <v>31</v>
      </c>
      <c r="C510" t="s">
        <v>93</v>
      </c>
      <c r="D510" t="s">
        <v>81</v>
      </c>
      <c r="E510" t="s">
        <v>126</v>
      </c>
      <c r="F510" t="s">
        <v>73</v>
      </c>
      <c r="G510" t="s">
        <v>74</v>
      </c>
      <c r="H510" t="s">
        <v>127</v>
      </c>
      <c r="I510" t="s">
        <v>84</v>
      </c>
      <c r="J510" s="4">
        <v>4.3855511603587784E-2</v>
      </c>
    </row>
    <row r="511" spans="1:10" x14ac:dyDescent="0.35">
      <c r="A511" t="s">
        <v>18</v>
      </c>
      <c r="B511" t="s">
        <v>31</v>
      </c>
      <c r="C511" t="s">
        <v>93</v>
      </c>
      <c r="D511" t="s">
        <v>81</v>
      </c>
      <c r="E511" t="s">
        <v>101</v>
      </c>
      <c r="F511" t="s">
        <v>73</v>
      </c>
      <c r="G511" t="s">
        <v>74</v>
      </c>
      <c r="H511" t="s">
        <v>127</v>
      </c>
      <c r="I511" t="s">
        <v>84</v>
      </c>
      <c r="J511" s="4">
        <v>0</v>
      </c>
    </row>
    <row r="512" spans="1:10" x14ac:dyDescent="0.35">
      <c r="A512" t="s">
        <v>18</v>
      </c>
      <c r="B512" t="s">
        <v>31</v>
      </c>
      <c r="C512" t="s">
        <v>93</v>
      </c>
      <c r="D512" t="s">
        <v>81</v>
      </c>
      <c r="E512" t="s">
        <v>104</v>
      </c>
      <c r="F512" t="s">
        <v>73</v>
      </c>
      <c r="G512" t="s">
        <v>74</v>
      </c>
      <c r="H512" t="s">
        <v>127</v>
      </c>
      <c r="I512" t="s">
        <v>84</v>
      </c>
      <c r="J512" s="4">
        <v>0</v>
      </c>
    </row>
    <row r="513" spans="1:10" x14ac:dyDescent="0.35">
      <c r="A513" t="s">
        <v>18</v>
      </c>
      <c r="B513" t="s">
        <v>31</v>
      </c>
      <c r="C513" t="s">
        <v>93</v>
      </c>
      <c r="D513" t="s">
        <v>81</v>
      </c>
      <c r="E513" t="s">
        <v>106</v>
      </c>
      <c r="F513" t="s">
        <v>73</v>
      </c>
      <c r="G513" t="s">
        <v>74</v>
      </c>
      <c r="H513" t="s">
        <v>127</v>
      </c>
      <c r="I513" t="s">
        <v>84</v>
      </c>
      <c r="J513" s="4">
        <v>0</v>
      </c>
    </row>
    <row r="514" spans="1:10" x14ac:dyDescent="0.35">
      <c r="A514" t="s">
        <v>18</v>
      </c>
      <c r="B514" t="s">
        <v>31</v>
      </c>
      <c r="C514" t="s">
        <v>73</v>
      </c>
      <c r="D514" t="s">
        <v>81</v>
      </c>
      <c r="E514" t="s">
        <v>82</v>
      </c>
      <c r="F514" t="s">
        <v>73</v>
      </c>
      <c r="G514" t="s">
        <v>74</v>
      </c>
      <c r="H514" t="s">
        <v>128</v>
      </c>
      <c r="I514" t="s">
        <v>84</v>
      </c>
      <c r="J514" s="467" cm="1">
        <f t="array" ref="J514:J537">Sensitivity!J42:J65</f>
        <v>4.1745598096881081E-2</v>
      </c>
    </row>
    <row r="515" spans="1:10" x14ac:dyDescent="0.35">
      <c r="A515" t="s">
        <v>18</v>
      </c>
      <c r="B515" t="s">
        <v>31</v>
      </c>
      <c r="C515" t="s">
        <v>73</v>
      </c>
      <c r="D515" t="s">
        <v>81</v>
      </c>
      <c r="E515" t="s">
        <v>86</v>
      </c>
      <c r="F515" t="s">
        <v>73</v>
      </c>
      <c r="G515" t="s">
        <v>74</v>
      </c>
      <c r="H515" t="s">
        <v>128</v>
      </c>
      <c r="I515" t="s">
        <v>84</v>
      </c>
      <c r="J515" s="467">
        <v>1.8928725973451437E-3</v>
      </c>
    </row>
    <row r="516" spans="1:10" x14ac:dyDescent="0.35">
      <c r="A516" t="s">
        <v>18</v>
      </c>
      <c r="B516" t="s">
        <v>31</v>
      </c>
      <c r="C516" t="s">
        <v>88</v>
      </c>
      <c r="D516" t="s">
        <v>81</v>
      </c>
      <c r="E516" t="s">
        <v>82</v>
      </c>
      <c r="F516" t="s">
        <v>73</v>
      </c>
      <c r="G516" t="s">
        <v>74</v>
      </c>
      <c r="H516" t="s">
        <v>128</v>
      </c>
      <c r="I516" t="s">
        <v>84</v>
      </c>
      <c r="J516" s="467">
        <v>2.6279577842549875E-2</v>
      </c>
    </row>
    <row r="517" spans="1:10" x14ac:dyDescent="0.35">
      <c r="A517" t="s">
        <v>18</v>
      </c>
      <c r="B517" t="s">
        <v>31</v>
      </c>
      <c r="C517" t="s">
        <v>88</v>
      </c>
      <c r="D517" t="s">
        <v>81</v>
      </c>
      <c r="E517" t="s">
        <v>86</v>
      </c>
      <c r="F517" t="s">
        <v>73</v>
      </c>
      <c r="G517" t="s">
        <v>74</v>
      </c>
      <c r="H517" t="s">
        <v>128</v>
      </c>
      <c r="I517" t="s">
        <v>84</v>
      </c>
      <c r="J517" s="467">
        <v>4.2873313285756449E-2</v>
      </c>
    </row>
    <row r="518" spans="1:10" x14ac:dyDescent="0.35">
      <c r="A518" t="s">
        <v>18</v>
      </c>
      <c r="B518" t="s">
        <v>31</v>
      </c>
      <c r="C518" t="s">
        <v>90</v>
      </c>
      <c r="D518" t="s">
        <v>81</v>
      </c>
      <c r="E518" t="s">
        <v>82</v>
      </c>
      <c r="F518" t="s">
        <v>73</v>
      </c>
      <c r="G518" t="s">
        <v>74</v>
      </c>
      <c r="H518" t="s">
        <v>128</v>
      </c>
      <c r="I518" t="s">
        <v>84</v>
      </c>
      <c r="J518" s="467">
        <v>6.3224022592840835E-6</v>
      </c>
    </row>
    <row r="519" spans="1:10" x14ac:dyDescent="0.35">
      <c r="A519" t="s">
        <v>18</v>
      </c>
      <c r="B519" t="s">
        <v>31</v>
      </c>
      <c r="C519" t="s">
        <v>90</v>
      </c>
      <c r="D519" t="s">
        <v>81</v>
      </c>
      <c r="E519" t="s">
        <v>86</v>
      </c>
      <c r="F519" t="s">
        <v>73</v>
      </c>
      <c r="G519" t="s">
        <v>74</v>
      </c>
      <c r="H519" t="s">
        <v>128</v>
      </c>
      <c r="I519" t="s">
        <v>84</v>
      </c>
      <c r="J519" s="467">
        <v>5.6116726957544357E-3</v>
      </c>
    </row>
    <row r="520" spans="1:10" x14ac:dyDescent="0.35">
      <c r="A520" t="s">
        <v>18</v>
      </c>
      <c r="B520" t="s">
        <v>31</v>
      </c>
      <c r="C520" t="s">
        <v>91</v>
      </c>
      <c r="D520" t="s">
        <v>81</v>
      </c>
      <c r="E520" t="s">
        <v>82</v>
      </c>
      <c r="F520" t="s">
        <v>73</v>
      </c>
      <c r="G520" t="s">
        <v>74</v>
      </c>
      <c r="H520" t="s">
        <v>128</v>
      </c>
      <c r="I520" t="s">
        <v>84</v>
      </c>
      <c r="J520" s="467">
        <v>1.230167843126702E-3</v>
      </c>
    </row>
    <row r="521" spans="1:10" x14ac:dyDescent="0.35">
      <c r="A521" t="s">
        <v>18</v>
      </c>
      <c r="B521" t="s">
        <v>31</v>
      </c>
      <c r="C521" t="s">
        <v>91</v>
      </c>
      <c r="D521" t="s">
        <v>81</v>
      </c>
      <c r="E521" t="s">
        <v>86</v>
      </c>
      <c r="F521" t="s">
        <v>73</v>
      </c>
      <c r="G521" t="s">
        <v>74</v>
      </c>
      <c r="H521" t="s">
        <v>128</v>
      </c>
      <c r="I521" t="s">
        <v>84</v>
      </c>
      <c r="J521" s="467">
        <v>6.9823735421078153E-3</v>
      </c>
    </row>
    <row r="522" spans="1:10" x14ac:dyDescent="0.35">
      <c r="A522" t="s">
        <v>18</v>
      </c>
      <c r="B522" t="s">
        <v>31</v>
      </c>
      <c r="C522" t="s">
        <v>92</v>
      </c>
      <c r="D522" t="s">
        <v>81</v>
      </c>
      <c r="E522" t="s">
        <v>82</v>
      </c>
      <c r="F522" t="s">
        <v>73</v>
      </c>
      <c r="G522" t="s">
        <v>74</v>
      </c>
      <c r="H522" t="s">
        <v>128</v>
      </c>
      <c r="I522" t="s">
        <v>84</v>
      </c>
      <c r="J522" s="467">
        <v>1.7077210460603577E-3</v>
      </c>
    </row>
    <row r="523" spans="1:10" x14ac:dyDescent="0.35">
      <c r="A523" t="s">
        <v>18</v>
      </c>
      <c r="B523" t="s">
        <v>31</v>
      </c>
      <c r="C523" t="s">
        <v>92</v>
      </c>
      <c r="D523" t="s">
        <v>81</v>
      </c>
      <c r="E523" t="s">
        <v>86</v>
      </c>
      <c r="F523" t="s">
        <v>73</v>
      </c>
      <c r="G523" t="s">
        <v>74</v>
      </c>
      <c r="H523" t="s">
        <v>128</v>
      </c>
      <c r="I523" t="s">
        <v>84</v>
      </c>
      <c r="J523" s="467">
        <v>4.3480840034506481E-3</v>
      </c>
    </row>
    <row r="524" spans="1:10" x14ac:dyDescent="0.35">
      <c r="A524" t="s">
        <v>18</v>
      </c>
      <c r="B524" t="s">
        <v>31</v>
      </c>
      <c r="C524" t="s">
        <v>93</v>
      </c>
      <c r="D524" t="s">
        <v>81</v>
      </c>
      <c r="E524" t="s">
        <v>82</v>
      </c>
      <c r="F524" t="s">
        <v>73</v>
      </c>
      <c r="G524" t="s">
        <v>74</v>
      </c>
      <c r="H524" t="s">
        <v>128</v>
      </c>
      <c r="I524" t="s">
        <v>84</v>
      </c>
      <c r="J524" s="467">
        <v>7.0782764884202284E-3</v>
      </c>
    </row>
    <row r="525" spans="1:10" x14ac:dyDescent="0.35">
      <c r="A525" t="s">
        <v>18</v>
      </c>
      <c r="B525" t="s">
        <v>31</v>
      </c>
      <c r="C525" t="s">
        <v>93</v>
      </c>
      <c r="D525" t="s">
        <v>81</v>
      </c>
      <c r="E525" t="s">
        <v>86</v>
      </c>
      <c r="F525" t="s">
        <v>73</v>
      </c>
      <c r="G525" t="s">
        <v>74</v>
      </c>
      <c r="H525" t="s">
        <v>128</v>
      </c>
      <c r="I525" t="s">
        <v>84</v>
      </c>
      <c r="J525" s="467">
        <v>1.9445876842222126E-2</v>
      </c>
    </row>
    <row r="526" spans="1:10" x14ac:dyDescent="0.35">
      <c r="A526" t="s">
        <v>18</v>
      </c>
      <c r="B526" t="s">
        <v>31</v>
      </c>
      <c r="C526" t="s">
        <v>73</v>
      </c>
      <c r="D526" t="s">
        <v>81</v>
      </c>
      <c r="E526" t="s">
        <v>82</v>
      </c>
      <c r="F526" t="s">
        <v>73</v>
      </c>
      <c r="G526" t="s">
        <v>74</v>
      </c>
      <c r="H526" t="s">
        <v>129</v>
      </c>
      <c r="I526" t="s">
        <v>84</v>
      </c>
      <c r="J526" s="467">
        <v>4.1745598096881081E-2</v>
      </c>
    </row>
    <row r="527" spans="1:10" x14ac:dyDescent="0.35">
      <c r="A527" t="s">
        <v>18</v>
      </c>
      <c r="B527" t="s">
        <v>31</v>
      </c>
      <c r="C527" t="s">
        <v>73</v>
      </c>
      <c r="D527" t="s">
        <v>81</v>
      </c>
      <c r="E527" t="s">
        <v>86</v>
      </c>
      <c r="F527" t="s">
        <v>73</v>
      </c>
      <c r="G527" t="s">
        <v>74</v>
      </c>
      <c r="H527" t="s">
        <v>129</v>
      </c>
      <c r="I527" t="s">
        <v>84</v>
      </c>
      <c r="J527" s="467">
        <v>1.8928725973451437E-3</v>
      </c>
    </row>
    <row r="528" spans="1:10" x14ac:dyDescent="0.35">
      <c r="A528" t="s">
        <v>18</v>
      </c>
      <c r="B528" t="s">
        <v>31</v>
      </c>
      <c r="C528" t="s">
        <v>88</v>
      </c>
      <c r="D528" t="s">
        <v>81</v>
      </c>
      <c r="E528" t="s">
        <v>82</v>
      </c>
      <c r="F528" t="s">
        <v>73</v>
      </c>
      <c r="G528" t="s">
        <v>74</v>
      </c>
      <c r="H528" t="s">
        <v>129</v>
      </c>
      <c r="I528" t="s">
        <v>84</v>
      </c>
      <c r="J528" s="467">
        <v>2.6279577842549875E-2</v>
      </c>
    </row>
    <row r="529" spans="1:10" x14ac:dyDescent="0.35">
      <c r="A529" t="s">
        <v>18</v>
      </c>
      <c r="B529" t="s">
        <v>31</v>
      </c>
      <c r="C529" t="s">
        <v>88</v>
      </c>
      <c r="D529" t="s">
        <v>81</v>
      </c>
      <c r="E529" t="s">
        <v>86</v>
      </c>
      <c r="F529" t="s">
        <v>73</v>
      </c>
      <c r="G529" t="s">
        <v>74</v>
      </c>
      <c r="H529" t="s">
        <v>129</v>
      </c>
      <c r="I529" t="s">
        <v>84</v>
      </c>
      <c r="J529" s="467">
        <v>4.2873313285756449E-2</v>
      </c>
    </row>
    <row r="530" spans="1:10" x14ac:dyDescent="0.35">
      <c r="A530" t="s">
        <v>18</v>
      </c>
      <c r="B530" t="s">
        <v>31</v>
      </c>
      <c r="C530" t="s">
        <v>90</v>
      </c>
      <c r="D530" t="s">
        <v>81</v>
      </c>
      <c r="E530" t="s">
        <v>82</v>
      </c>
      <c r="F530" t="s">
        <v>73</v>
      </c>
      <c r="G530" t="s">
        <v>74</v>
      </c>
      <c r="H530" t="s">
        <v>129</v>
      </c>
      <c r="I530" t="s">
        <v>84</v>
      </c>
      <c r="J530" s="467">
        <v>6.3224022592840835E-6</v>
      </c>
    </row>
    <row r="531" spans="1:10" x14ac:dyDescent="0.35">
      <c r="A531" t="s">
        <v>18</v>
      </c>
      <c r="B531" t="s">
        <v>31</v>
      </c>
      <c r="C531" t="s">
        <v>90</v>
      </c>
      <c r="D531" t="s">
        <v>81</v>
      </c>
      <c r="E531" t="s">
        <v>86</v>
      </c>
      <c r="F531" t="s">
        <v>73</v>
      </c>
      <c r="G531" t="s">
        <v>74</v>
      </c>
      <c r="H531" t="s">
        <v>129</v>
      </c>
      <c r="I531" t="s">
        <v>84</v>
      </c>
      <c r="J531" s="467">
        <v>5.6116726957544357E-3</v>
      </c>
    </row>
    <row r="532" spans="1:10" x14ac:dyDescent="0.35">
      <c r="A532" t="s">
        <v>18</v>
      </c>
      <c r="B532" t="s">
        <v>31</v>
      </c>
      <c r="C532" t="s">
        <v>91</v>
      </c>
      <c r="D532" t="s">
        <v>81</v>
      </c>
      <c r="E532" t="s">
        <v>82</v>
      </c>
      <c r="F532" t="s">
        <v>73</v>
      </c>
      <c r="G532" t="s">
        <v>74</v>
      </c>
      <c r="H532" t="s">
        <v>129</v>
      </c>
      <c r="I532" t="s">
        <v>84</v>
      </c>
      <c r="J532" s="467">
        <v>1.230167843126702E-3</v>
      </c>
    </row>
    <row r="533" spans="1:10" x14ac:dyDescent="0.35">
      <c r="A533" t="s">
        <v>18</v>
      </c>
      <c r="B533" t="s">
        <v>31</v>
      </c>
      <c r="C533" t="s">
        <v>91</v>
      </c>
      <c r="D533" t="s">
        <v>81</v>
      </c>
      <c r="E533" t="s">
        <v>86</v>
      </c>
      <c r="F533" t="s">
        <v>73</v>
      </c>
      <c r="G533" t="s">
        <v>74</v>
      </c>
      <c r="H533" t="s">
        <v>129</v>
      </c>
      <c r="I533" t="s">
        <v>84</v>
      </c>
      <c r="J533" s="467">
        <v>6.9823735421078153E-3</v>
      </c>
    </row>
    <row r="534" spans="1:10" x14ac:dyDescent="0.35">
      <c r="A534" t="s">
        <v>18</v>
      </c>
      <c r="B534" t="s">
        <v>31</v>
      </c>
      <c r="C534" t="s">
        <v>92</v>
      </c>
      <c r="D534" t="s">
        <v>81</v>
      </c>
      <c r="E534" t="s">
        <v>82</v>
      </c>
      <c r="F534" t="s">
        <v>73</v>
      </c>
      <c r="G534" t="s">
        <v>74</v>
      </c>
      <c r="H534" t="s">
        <v>129</v>
      </c>
      <c r="I534" t="s">
        <v>84</v>
      </c>
      <c r="J534" s="467">
        <v>1.7077210460603577E-3</v>
      </c>
    </row>
    <row r="535" spans="1:10" x14ac:dyDescent="0.35">
      <c r="A535" t="s">
        <v>18</v>
      </c>
      <c r="B535" t="s">
        <v>31</v>
      </c>
      <c r="C535" t="s">
        <v>92</v>
      </c>
      <c r="D535" t="s">
        <v>81</v>
      </c>
      <c r="E535" t="s">
        <v>86</v>
      </c>
      <c r="F535" t="s">
        <v>73</v>
      </c>
      <c r="G535" t="s">
        <v>74</v>
      </c>
      <c r="H535" t="s">
        <v>129</v>
      </c>
      <c r="I535" t="s">
        <v>84</v>
      </c>
      <c r="J535" s="467">
        <v>4.3480840034506481E-3</v>
      </c>
    </row>
    <row r="536" spans="1:10" x14ac:dyDescent="0.35">
      <c r="A536" t="s">
        <v>18</v>
      </c>
      <c r="B536" t="s">
        <v>31</v>
      </c>
      <c r="C536" t="s">
        <v>93</v>
      </c>
      <c r="D536" t="s">
        <v>81</v>
      </c>
      <c r="E536" t="s">
        <v>82</v>
      </c>
      <c r="F536" t="s">
        <v>73</v>
      </c>
      <c r="G536" t="s">
        <v>74</v>
      </c>
      <c r="H536" t="s">
        <v>129</v>
      </c>
      <c r="I536" t="s">
        <v>84</v>
      </c>
      <c r="J536" s="467">
        <v>7.0782764884202284E-3</v>
      </c>
    </row>
    <row r="537" spans="1:10" x14ac:dyDescent="0.35">
      <c r="A537" t="s">
        <v>18</v>
      </c>
      <c r="B537" t="s">
        <v>31</v>
      </c>
      <c r="C537" t="s">
        <v>93</v>
      </c>
      <c r="D537" t="s">
        <v>81</v>
      </c>
      <c r="E537" t="s">
        <v>86</v>
      </c>
      <c r="F537" t="s">
        <v>73</v>
      </c>
      <c r="G537" t="s">
        <v>74</v>
      </c>
      <c r="H537" t="s">
        <v>129</v>
      </c>
      <c r="I537" t="s">
        <v>84</v>
      </c>
      <c r="J537" s="467">
        <v>1.9445876842222126E-2</v>
      </c>
    </row>
    <row r="538" spans="1:10" x14ac:dyDescent="0.35">
      <c r="A538" t="s">
        <v>18</v>
      </c>
      <c r="B538" t="s">
        <v>31</v>
      </c>
      <c r="C538" t="s">
        <v>73</v>
      </c>
      <c r="D538" t="s">
        <v>81</v>
      </c>
      <c r="E538" t="s">
        <v>82</v>
      </c>
      <c r="F538" t="s">
        <v>73</v>
      </c>
      <c r="G538" t="s">
        <v>74</v>
      </c>
      <c r="H538" t="s">
        <v>130</v>
      </c>
      <c r="I538" t="s">
        <v>84</v>
      </c>
      <c r="J538" s="76">
        <f>'SUT_EU27 total'!$Q$28</f>
        <v>7.0611384178638645E-2</v>
      </c>
    </row>
    <row r="539" spans="1:10" x14ac:dyDescent="0.35">
      <c r="A539" t="s">
        <v>18</v>
      </c>
      <c r="B539" t="s">
        <v>31</v>
      </c>
      <c r="C539" t="s">
        <v>88</v>
      </c>
      <c r="D539" t="s">
        <v>81</v>
      </c>
      <c r="E539" t="s">
        <v>82</v>
      </c>
      <c r="F539" t="s">
        <v>73</v>
      </c>
      <c r="G539" t="s">
        <v>74</v>
      </c>
      <c r="H539" t="s">
        <v>130</v>
      </c>
      <c r="I539" t="s">
        <v>84</v>
      </c>
      <c r="J539" s="76">
        <f>'SUT_EU27 total'!$Q$45</f>
        <v>4.4451090694311274E-2</v>
      </c>
    </row>
    <row r="540" spans="1:10" x14ac:dyDescent="0.35">
      <c r="A540" t="s">
        <v>18</v>
      </c>
      <c r="B540" t="s">
        <v>31</v>
      </c>
      <c r="C540" t="s">
        <v>90</v>
      </c>
      <c r="D540" t="s">
        <v>81</v>
      </c>
      <c r="E540" t="s">
        <v>82</v>
      </c>
      <c r="F540" t="s">
        <v>73</v>
      </c>
      <c r="G540" t="s">
        <v>74</v>
      </c>
      <c r="H540" t="s">
        <v>130</v>
      </c>
      <c r="I540" t="s">
        <v>84</v>
      </c>
      <c r="J540" s="76">
        <f>'SUT_EU27 total'!$Q$62</f>
        <v>1.0694147292515508E-5</v>
      </c>
    </row>
    <row r="541" spans="1:10" x14ac:dyDescent="0.35">
      <c r="A541" t="s">
        <v>18</v>
      </c>
      <c r="B541" t="s">
        <v>31</v>
      </c>
      <c r="C541" t="s">
        <v>91</v>
      </c>
      <c r="D541" t="s">
        <v>81</v>
      </c>
      <c r="E541" t="s">
        <v>82</v>
      </c>
      <c r="F541" t="s">
        <v>73</v>
      </c>
      <c r="G541" t="s">
        <v>74</v>
      </c>
      <c r="H541" t="s">
        <v>130</v>
      </c>
      <c r="I541" t="s">
        <v>84</v>
      </c>
      <c r="J541" s="76">
        <f>'SUT_EU27 total'!$Q$79</f>
        <v>2.0807907452574416E-3</v>
      </c>
    </row>
    <row r="542" spans="1:10" x14ac:dyDescent="0.35">
      <c r="A542" t="s">
        <v>18</v>
      </c>
      <c r="B542" t="s">
        <v>31</v>
      </c>
      <c r="C542" t="s">
        <v>92</v>
      </c>
      <c r="D542" t="s">
        <v>81</v>
      </c>
      <c r="E542" t="s">
        <v>82</v>
      </c>
      <c r="F542" t="s">
        <v>73</v>
      </c>
      <c r="G542" t="s">
        <v>74</v>
      </c>
      <c r="H542" t="s">
        <v>130</v>
      </c>
      <c r="I542" t="s">
        <v>84</v>
      </c>
      <c r="J542" s="76">
        <f>'SUT_EU27 total'!$Q$96</f>
        <v>2.8885571737041122E-3</v>
      </c>
    </row>
    <row r="543" spans="1:10" x14ac:dyDescent="0.35">
      <c r="A543" t="s">
        <v>18</v>
      </c>
      <c r="B543" t="s">
        <v>31</v>
      </c>
      <c r="C543" t="s">
        <v>93</v>
      </c>
      <c r="D543" t="s">
        <v>81</v>
      </c>
      <c r="E543" t="s">
        <v>82</v>
      </c>
      <c r="F543" t="s">
        <v>73</v>
      </c>
      <c r="G543" t="s">
        <v>74</v>
      </c>
      <c r="H543" t="s">
        <v>130</v>
      </c>
      <c r="I543" t="s">
        <v>84</v>
      </c>
      <c r="J543" s="76">
        <f>'SUT_EU27 total'!$Q$113</f>
        <v>1.1972685102906883E-2</v>
      </c>
    </row>
    <row r="544" spans="1:10" x14ac:dyDescent="0.35">
      <c r="A544" t="s">
        <v>18</v>
      </c>
      <c r="B544" t="s">
        <v>31</v>
      </c>
      <c r="C544" t="s">
        <v>73</v>
      </c>
      <c r="D544" t="s">
        <v>81</v>
      </c>
      <c r="E544" t="s">
        <v>131</v>
      </c>
      <c r="F544" t="s">
        <v>73</v>
      </c>
      <c r="G544" t="s">
        <v>74</v>
      </c>
      <c r="H544" t="s">
        <v>112</v>
      </c>
      <c r="I544" t="s">
        <v>84</v>
      </c>
      <c r="J544" s="76">
        <f>'SUT_EU27 total'!$R$24</f>
        <v>4.0146105919003111E-8</v>
      </c>
    </row>
    <row r="545" spans="1:10" x14ac:dyDescent="0.35">
      <c r="A545" t="s">
        <v>18</v>
      </c>
      <c r="B545" t="s">
        <v>31</v>
      </c>
      <c r="C545" t="s">
        <v>73</v>
      </c>
      <c r="D545" t="s">
        <v>81</v>
      </c>
      <c r="E545" t="s">
        <v>122</v>
      </c>
      <c r="F545" t="s">
        <v>73</v>
      </c>
      <c r="G545" t="s">
        <v>74</v>
      </c>
      <c r="H545" t="s">
        <v>112</v>
      </c>
      <c r="I545" t="s">
        <v>84</v>
      </c>
      <c r="J545" s="76">
        <f>'SUT_EU27 total'!$R$30</f>
        <v>3.9708116569218732E-4</v>
      </c>
    </row>
    <row r="546" spans="1:10" x14ac:dyDescent="0.35">
      <c r="A546" t="s">
        <v>18</v>
      </c>
      <c r="B546" t="s">
        <v>31</v>
      </c>
      <c r="C546" t="s">
        <v>73</v>
      </c>
      <c r="D546" t="s">
        <v>81</v>
      </c>
      <c r="E546" t="s">
        <v>101</v>
      </c>
      <c r="F546" t="s">
        <v>73</v>
      </c>
      <c r="G546" t="s">
        <v>74</v>
      </c>
      <c r="H546" t="s">
        <v>112</v>
      </c>
      <c r="I546" t="s">
        <v>84</v>
      </c>
      <c r="J546" s="76" cm="1">
        <f t="array" ref="J546:J548">'SUT_EU27 total'!$R$32:$R$34</f>
        <v>1.2183459827918709E-7</v>
      </c>
    </row>
    <row r="547" spans="1:10" x14ac:dyDescent="0.35">
      <c r="A547" t="s">
        <v>18</v>
      </c>
      <c r="B547" t="s">
        <v>31</v>
      </c>
      <c r="C547" t="s">
        <v>73</v>
      </c>
      <c r="D547" t="s">
        <v>81</v>
      </c>
      <c r="E547" t="s">
        <v>104</v>
      </c>
      <c r="F547" t="s">
        <v>73</v>
      </c>
      <c r="G547" t="s">
        <v>74</v>
      </c>
      <c r="H547" t="s">
        <v>112</v>
      </c>
      <c r="I547" t="s">
        <v>84</v>
      </c>
      <c r="J547" s="4">
        <v>2.3068290654205609E-7</v>
      </c>
    </row>
    <row r="548" spans="1:10" x14ac:dyDescent="0.35">
      <c r="A548" t="s">
        <v>18</v>
      </c>
      <c r="B548" t="s">
        <v>31</v>
      </c>
      <c r="C548" t="s">
        <v>73</v>
      </c>
      <c r="D548" t="s">
        <v>81</v>
      </c>
      <c r="E548" t="s">
        <v>106</v>
      </c>
      <c r="F548" t="s">
        <v>73</v>
      </c>
      <c r="G548" t="s">
        <v>74</v>
      </c>
      <c r="H548" t="s">
        <v>112</v>
      </c>
      <c r="I548" t="s">
        <v>84</v>
      </c>
      <c r="J548" s="4">
        <v>7.8463573653760568E-7</v>
      </c>
    </row>
    <row r="549" spans="1:10" x14ac:dyDescent="0.35">
      <c r="A549" t="s">
        <v>18</v>
      </c>
      <c r="B549" t="s">
        <v>31</v>
      </c>
      <c r="C549" t="s">
        <v>88</v>
      </c>
      <c r="D549" t="s">
        <v>81</v>
      </c>
      <c r="E549" t="s">
        <v>131</v>
      </c>
      <c r="F549" t="s">
        <v>73</v>
      </c>
      <c r="G549" t="s">
        <v>74</v>
      </c>
      <c r="H549" t="s">
        <v>112</v>
      </c>
      <c r="I549" t="s">
        <v>84</v>
      </c>
      <c r="J549" s="4">
        <f>'SUT_EU27 total'!$R$41</f>
        <v>0</v>
      </c>
    </row>
    <row r="550" spans="1:10" x14ac:dyDescent="0.35">
      <c r="A550" t="s">
        <v>18</v>
      </c>
      <c r="B550" t="s">
        <v>31</v>
      </c>
      <c r="C550" t="s">
        <v>88</v>
      </c>
      <c r="D550" t="s">
        <v>81</v>
      </c>
      <c r="E550" t="s">
        <v>122</v>
      </c>
      <c r="F550" t="s">
        <v>73</v>
      </c>
      <c r="G550" t="s">
        <v>74</v>
      </c>
      <c r="H550" t="s">
        <v>112</v>
      </c>
      <c r="I550" t="s">
        <v>84</v>
      </c>
      <c r="J550" s="76">
        <f>'SUT_EU27 total'!$R$47</f>
        <v>0</v>
      </c>
    </row>
    <row r="551" spans="1:10" x14ac:dyDescent="0.35">
      <c r="A551" t="s">
        <v>18</v>
      </c>
      <c r="B551" t="s">
        <v>31</v>
      </c>
      <c r="C551" t="s">
        <v>88</v>
      </c>
      <c r="D551" t="s">
        <v>81</v>
      </c>
      <c r="E551" t="s">
        <v>101</v>
      </c>
      <c r="F551" t="s">
        <v>73</v>
      </c>
      <c r="G551" t="s">
        <v>74</v>
      </c>
      <c r="H551" t="s">
        <v>112</v>
      </c>
      <c r="I551" t="s">
        <v>84</v>
      </c>
      <c r="J551" s="4" cm="1">
        <f t="array" ref="J551:J553">'SUT_EU27 total'!$R$49:$R$51</f>
        <v>0</v>
      </c>
    </row>
    <row r="552" spans="1:10" x14ac:dyDescent="0.35">
      <c r="A552" t="s">
        <v>18</v>
      </c>
      <c r="B552" t="s">
        <v>31</v>
      </c>
      <c r="C552" t="s">
        <v>88</v>
      </c>
      <c r="D552" t="s">
        <v>81</v>
      </c>
      <c r="E552" t="s">
        <v>104</v>
      </c>
      <c r="F552" t="s">
        <v>73</v>
      </c>
      <c r="G552" t="s">
        <v>74</v>
      </c>
      <c r="H552" t="s">
        <v>112</v>
      </c>
      <c r="I552" t="s">
        <v>84</v>
      </c>
      <c r="J552" s="4">
        <v>0</v>
      </c>
    </row>
    <row r="553" spans="1:10" x14ac:dyDescent="0.35">
      <c r="A553" t="s">
        <v>18</v>
      </c>
      <c r="B553" t="s">
        <v>31</v>
      </c>
      <c r="C553" t="s">
        <v>88</v>
      </c>
      <c r="D553" t="s">
        <v>81</v>
      </c>
      <c r="E553" t="s">
        <v>106</v>
      </c>
      <c r="F553" t="s">
        <v>73</v>
      </c>
      <c r="G553" t="s">
        <v>74</v>
      </c>
      <c r="H553" t="s">
        <v>112</v>
      </c>
      <c r="I553" t="s">
        <v>84</v>
      </c>
      <c r="J553" s="4">
        <v>0</v>
      </c>
    </row>
    <row r="554" spans="1:10" x14ac:dyDescent="0.35">
      <c r="A554" t="s">
        <v>18</v>
      </c>
      <c r="B554" t="s">
        <v>31</v>
      </c>
      <c r="C554" t="s">
        <v>90</v>
      </c>
      <c r="D554" t="s">
        <v>81</v>
      </c>
      <c r="E554" t="s">
        <v>131</v>
      </c>
      <c r="F554" t="s">
        <v>73</v>
      </c>
      <c r="G554" t="s">
        <v>74</v>
      </c>
      <c r="H554" t="s">
        <v>112</v>
      </c>
      <c r="I554" t="s">
        <v>84</v>
      </c>
      <c r="J554" s="4">
        <f>'SUT_EU27 total'!$R$58</f>
        <v>0</v>
      </c>
    </row>
    <row r="555" spans="1:10" x14ac:dyDescent="0.35">
      <c r="A555" t="s">
        <v>18</v>
      </c>
      <c r="B555" t="s">
        <v>31</v>
      </c>
      <c r="C555" t="s">
        <v>90</v>
      </c>
      <c r="D555" t="s">
        <v>81</v>
      </c>
      <c r="E555" t="s">
        <v>122</v>
      </c>
      <c r="F555" t="s">
        <v>73</v>
      </c>
      <c r="G555" t="s">
        <v>74</v>
      </c>
      <c r="H555" t="s">
        <v>112</v>
      </c>
      <c r="I555" t="s">
        <v>84</v>
      </c>
      <c r="J555" s="76">
        <f>'SUT_EU27 total'!$R$64</f>
        <v>6.4108466461028498E-4</v>
      </c>
    </row>
    <row r="556" spans="1:10" x14ac:dyDescent="0.35">
      <c r="A556" t="s">
        <v>18</v>
      </c>
      <c r="B556" t="s">
        <v>31</v>
      </c>
      <c r="C556" t="s">
        <v>90</v>
      </c>
      <c r="D556" t="s">
        <v>81</v>
      </c>
      <c r="E556" t="s">
        <v>101</v>
      </c>
      <c r="F556" t="s">
        <v>73</v>
      </c>
      <c r="G556" t="s">
        <v>74</v>
      </c>
      <c r="H556" t="s">
        <v>112</v>
      </c>
      <c r="I556" t="s">
        <v>84</v>
      </c>
      <c r="J556" s="4" cm="1">
        <f t="array" ref="J556:J558">'SUT_EU27 total'!$R$66:$R$68</f>
        <v>0</v>
      </c>
    </row>
    <row r="557" spans="1:10" x14ac:dyDescent="0.35">
      <c r="A557" t="s">
        <v>18</v>
      </c>
      <c r="B557" t="s">
        <v>31</v>
      </c>
      <c r="C557" t="s">
        <v>90</v>
      </c>
      <c r="D557" t="s">
        <v>81</v>
      </c>
      <c r="E557" t="s">
        <v>104</v>
      </c>
      <c r="F557" t="s">
        <v>73</v>
      </c>
      <c r="G557" t="s">
        <v>74</v>
      </c>
      <c r="H557" t="s">
        <v>112</v>
      </c>
      <c r="I557" t="s">
        <v>84</v>
      </c>
      <c r="J557" s="4">
        <v>0</v>
      </c>
    </row>
    <row r="558" spans="1:10" x14ac:dyDescent="0.35">
      <c r="A558" t="s">
        <v>18</v>
      </c>
      <c r="B558" t="s">
        <v>31</v>
      </c>
      <c r="C558" t="s">
        <v>90</v>
      </c>
      <c r="D558" t="s">
        <v>81</v>
      </c>
      <c r="E558" t="s">
        <v>106</v>
      </c>
      <c r="F558" t="s">
        <v>73</v>
      </c>
      <c r="G558" t="s">
        <v>74</v>
      </c>
      <c r="H558" t="s">
        <v>112</v>
      </c>
      <c r="I558" t="s">
        <v>84</v>
      </c>
      <c r="J558" s="4">
        <v>0</v>
      </c>
    </row>
    <row r="559" spans="1:10" x14ac:dyDescent="0.35">
      <c r="A559" t="s">
        <v>18</v>
      </c>
      <c r="B559" t="s">
        <v>31</v>
      </c>
      <c r="C559" t="s">
        <v>91</v>
      </c>
      <c r="D559" t="s">
        <v>81</v>
      </c>
      <c r="E559" t="s">
        <v>131</v>
      </c>
      <c r="F559" t="s">
        <v>73</v>
      </c>
      <c r="G559" t="s">
        <v>74</v>
      </c>
      <c r="H559" t="s">
        <v>112</v>
      </c>
      <c r="I559" t="s">
        <v>84</v>
      </c>
      <c r="J559" s="4">
        <f>'SUT_EU27 total'!$R$75</f>
        <v>0</v>
      </c>
    </row>
    <row r="560" spans="1:10" x14ac:dyDescent="0.35">
      <c r="A560" t="s">
        <v>18</v>
      </c>
      <c r="B560" t="s">
        <v>31</v>
      </c>
      <c r="C560" t="s">
        <v>91</v>
      </c>
      <c r="D560" t="s">
        <v>81</v>
      </c>
      <c r="E560" t="s">
        <v>122</v>
      </c>
      <c r="F560" t="s">
        <v>73</v>
      </c>
      <c r="G560" t="s">
        <v>74</v>
      </c>
      <c r="H560" t="s">
        <v>112</v>
      </c>
      <c r="I560" t="s">
        <v>84</v>
      </c>
      <c r="J560" s="76">
        <f>'SUT_EU27 total'!$R$81</f>
        <v>0</v>
      </c>
    </row>
    <row r="561" spans="1:10" x14ac:dyDescent="0.35">
      <c r="A561" t="s">
        <v>18</v>
      </c>
      <c r="B561" t="s">
        <v>31</v>
      </c>
      <c r="C561" t="s">
        <v>91</v>
      </c>
      <c r="D561" t="s">
        <v>81</v>
      </c>
      <c r="E561" t="s">
        <v>101</v>
      </c>
      <c r="F561" t="s">
        <v>73</v>
      </c>
      <c r="G561" t="s">
        <v>74</v>
      </c>
      <c r="H561" t="s">
        <v>112</v>
      </c>
      <c r="I561" t="s">
        <v>84</v>
      </c>
      <c r="J561" s="4" cm="1">
        <f t="array" ref="J561:J563">'SUT_EU27 total'!$R$83:$R$85</f>
        <v>0</v>
      </c>
    </row>
    <row r="562" spans="1:10" x14ac:dyDescent="0.35">
      <c r="A562" t="s">
        <v>18</v>
      </c>
      <c r="B562" t="s">
        <v>31</v>
      </c>
      <c r="C562" t="s">
        <v>91</v>
      </c>
      <c r="D562" t="s">
        <v>81</v>
      </c>
      <c r="E562" t="s">
        <v>104</v>
      </c>
      <c r="F562" t="s">
        <v>73</v>
      </c>
      <c r="G562" t="s">
        <v>74</v>
      </c>
      <c r="H562" t="s">
        <v>112</v>
      </c>
      <c r="I562" t="s">
        <v>84</v>
      </c>
      <c r="J562" s="4">
        <v>0</v>
      </c>
    </row>
    <row r="563" spans="1:10" x14ac:dyDescent="0.35">
      <c r="A563" t="s">
        <v>18</v>
      </c>
      <c r="B563" t="s">
        <v>31</v>
      </c>
      <c r="C563" t="s">
        <v>91</v>
      </c>
      <c r="D563" t="s">
        <v>81</v>
      </c>
      <c r="E563" t="s">
        <v>106</v>
      </c>
      <c r="F563" t="s">
        <v>73</v>
      </c>
      <c r="G563" t="s">
        <v>74</v>
      </c>
      <c r="H563" t="s">
        <v>112</v>
      </c>
      <c r="I563" t="s">
        <v>84</v>
      </c>
      <c r="J563" s="4">
        <v>0</v>
      </c>
    </row>
    <row r="564" spans="1:10" x14ac:dyDescent="0.35">
      <c r="A564" t="s">
        <v>18</v>
      </c>
      <c r="B564" t="s">
        <v>31</v>
      </c>
      <c r="C564" t="s">
        <v>92</v>
      </c>
      <c r="D564" t="s">
        <v>81</v>
      </c>
      <c r="E564" t="s">
        <v>131</v>
      </c>
      <c r="F564" t="s">
        <v>73</v>
      </c>
      <c r="G564" t="s">
        <v>74</v>
      </c>
      <c r="H564" t="s">
        <v>112</v>
      </c>
      <c r="I564" t="s">
        <v>84</v>
      </c>
      <c r="J564" s="4">
        <f>'SUT_EU27 total'!$R$92</f>
        <v>0</v>
      </c>
    </row>
    <row r="565" spans="1:10" x14ac:dyDescent="0.35">
      <c r="A565" t="s">
        <v>18</v>
      </c>
      <c r="B565" t="s">
        <v>31</v>
      </c>
      <c r="C565" t="s">
        <v>92</v>
      </c>
      <c r="D565" t="s">
        <v>81</v>
      </c>
      <c r="E565" t="s">
        <v>122</v>
      </c>
      <c r="F565" t="s">
        <v>73</v>
      </c>
      <c r="G565" t="s">
        <v>74</v>
      </c>
      <c r="H565" t="s">
        <v>112</v>
      </c>
      <c r="I565" t="s">
        <v>84</v>
      </c>
      <c r="J565" s="76">
        <f>'SUT_EU27 total'!$R$98</f>
        <v>0</v>
      </c>
    </row>
    <row r="566" spans="1:10" x14ac:dyDescent="0.35">
      <c r="A566" t="s">
        <v>18</v>
      </c>
      <c r="B566" t="s">
        <v>31</v>
      </c>
      <c r="C566" t="s">
        <v>92</v>
      </c>
      <c r="D566" t="s">
        <v>81</v>
      </c>
      <c r="E566" t="s">
        <v>101</v>
      </c>
      <c r="F566" t="s">
        <v>73</v>
      </c>
      <c r="G566" t="s">
        <v>74</v>
      </c>
      <c r="H566" t="s">
        <v>112</v>
      </c>
      <c r="I566" t="s">
        <v>84</v>
      </c>
      <c r="J566" s="4" cm="1">
        <f t="array" ref="J566:J568">'SUT_EU27 total'!$R$100:$R$102</f>
        <v>0</v>
      </c>
    </row>
    <row r="567" spans="1:10" x14ac:dyDescent="0.35">
      <c r="A567" t="s">
        <v>18</v>
      </c>
      <c r="B567" t="s">
        <v>31</v>
      </c>
      <c r="C567" t="s">
        <v>92</v>
      </c>
      <c r="D567" t="s">
        <v>81</v>
      </c>
      <c r="E567" t="s">
        <v>104</v>
      </c>
      <c r="F567" t="s">
        <v>73</v>
      </c>
      <c r="G567" t="s">
        <v>74</v>
      </c>
      <c r="H567" t="s">
        <v>112</v>
      </c>
      <c r="I567" t="s">
        <v>84</v>
      </c>
      <c r="J567" s="4">
        <v>0</v>
      </c>
    </row>
    <row r="568" spans="1:10" x14ac:dyDescent="0.35">
      <c r="A568" t="s">
        <v>18</v>
      </c>
      <c r="B568" t="s">
        <v>31</v>
      </c>
      <c r="C568" t="s">
        <v>92</v>
      </c>
      <c r="D568" t="s">
        <v>81</v>
      </c>
      <c r="E568" t="s">
        <v>106</v>
      </c>
      <c r="F568" t="s">
        <v>73</v>
      </c>
      <c r="G568" t="s">
        <v>74</v>
      </c>
      <c r="H568" t="s">
        <v>112</v>
      </c>
      <c r="I568" t="s">
        <v>84</v>
      </c>
      <c r="J568" s="4">
        <v>0</v>
      </c>
    </row>
    <row r="569" spans="1:10" x14ac:dyDescent="0.35">
      <c r="A569" t="s">
        <v>18</v>
      </c>
      <c r="B569" t="s">
        <v>31</v>
      </c>
      <c r="C569" t="s">
        <v>93</v>
      </c>
      <c r="D569" t="s">
        <v>81</v>
      </c>
      <c r="E569" t="s">
        <v>131</v>
      </c>
      <c r="F569" t="s">
        <v>73</v>
      </c>
      <c r="G569" t="s">
        <v>74</v>
      </c>
      <c r="H569" t="s">
        <v>112</v>
      </c>
      <c r="I569" t="s">
        <v>84</v>
      </c>
      <c r="J569" s="4">
        <f>'SUT_EU27 total'!$R$109</f>
        <v>0</v>
      </c>
    </row>
    <row r="570" spans="1:10" x14ac:dyDescent="0.35">
      <c r="A570" t="s">
        <v>18</v>
      </c>
      <c r="B570" t="s">
        <v>31</v>
      </c>
      <c r="C570" t="s">
        <v>93</v>
      </c>
      <c r="D570" t="s">
        <v>81</v>
      </c>
      <c r="E570" t="s">
        <v>122</v>
      </c>
      <c r="F570" t="s">
        <v>73</v>
      </c>
      <c r="G570" t="s">
        <v>74</v>
      </c>
      <c r="H570" t="s">
        <v>112</v>
      </c>
      <c r="I570" t="s">
        <v>84</v>
      </c>
      <c r="J570" s="76">
        <f>'SUT_EU27 total'!$R$115</f>
        <v>2.188358424259166E-3</v>
      </c>
    </row>
    <row r="571" spans="1:10" x14ac:dyDescent="0.35">
      <c r="A571" t="s">
        <v>18</v>
      </c>
      <c r="B571" t="s">
        <v>31</v>
      </c>
      <c r="C571" t="s">
        <v>93</v>
      </c>
      <c r="D571" t="s">
        <v>81</v>
      </c>
      <c r="E571" t="s">
        <v>101</v>
      </c>
      <c r="F571" t="s">
        <v>73</v>
      </c>
      <c r="G571" t="s">
        <v>74</v>
      </c>
      <c r="H571" t="s">
        <v>112</v>
      </c>
      <c r="I571" t="s">
        <v>84</v>
      </c>
      <c r="J571" s="4" cm="1">
        <f t="array" ref="J571:J573">'SUT_EU27 total'!$R$117:$R$119</f>
        <v>0</v>
      </c>
    </row>
    <row r="572" spans="1:10" x14ac:dyDescent="0.35">
      <c r="A572" t="s">
        <v>18</v>
      </c>
      <c r="B572" t="s">
        <v>31</v>
      </c>
      <c r="C572" t="s">
        <v>93</v>
      </c>
      <c r="D572" t="s">
        <v>81</v>
      </c>
      <c r="E572" t="s">
        <v>104</v>
      </c>
      <c r="F572" t="s">
        <v>73</v>
      </c>
      <c r="G572" t="s">
        <v>74</v>
      </c>
      <c r="H572" t="s">
        <v>112</v>
      </c>
      <c r="I572" t="s">
        <v>84</v>
      </c>
      <c r="J572" s="4">
        <v>0</v>
      </c>
    </row>
    <row r="573" spans="1:10" x14ac:dyDescent="0.35">
      <c r="A573" t="s">
        <v>18</v>
      </c>
      <c r="B573" t="s">
        <v>31</v>
      </c>
      <c r="C573" t="s">
        <v>93</v>
      </c>
      <c r="D573" t="s">
        <v>81</v>
      </c>
      <c r="E573" t="s">
        <v>106</v>
      </c>
      <c r="F573" t="s">
        <v>73</v>
      </c>
      <c r="G573" t="s">
        <v>74</v>
      </c>
      <c r="H573" t="s">
        <v>112</v>
      </c>
      <c r="I573" t="s">
        <v>84</v>
      </c>
      <c r="J573" s="4">
        <v>0</v>
      </c>
    </row>
    <row r="574" spans="1:10" x14ac:dyDescent="0.35">
      <c r="A574" t="s">
        <v>18</v>
      </c>
      <c r="B574" t="s">
        <v>31</v>
      </c>
      <c r="C574" t="s">
        <v>73</v>
      </c>
      <c r="D574" t="s">
        <v>81</v>
      </c>
      <c r="E574" t="s">
        <v>131</v>
      </c>
      <c r="F574" t="s">
        <v>73</v>
      </c>
      <c r="G574" t="s">
        <v>74</v>
      </c>
      <c r="H574" t="s">
        <v>113</v>
      </c>
      <c r="I574" t="s">
        <v>84</v>
      </c>
      <c r="J574" s="76">
        <f>'SUT_EU27 total'!$S$24</f>
        <v>5.0294789999999994E-8</v>
      </c>
    </row>
    <row r="575" spans="1:10" x14ac:dyDescent="0.35">
      <c r="A575" t="s">
        <v>18</v>
      </c>
      <c r="B575" t="s">
        <v>31</v>
      </c>
      <c r="C575" t="s">
        <v>73</v>
      </c>
      <c r="D575" t="s">
        <v>81</v>
      </c>
      <c r="E575" t="s">
        <v>101</v>
      </c>
      <c r="F575" t="s">
        <v>73</v>
      </c>
      <c r="G575" t="s">
        <v>74</v>
      </c>
      <c r="H575" t="s">
        <v>113</v>
      </c>
      <c r="I575" t="s">
        <v>84</v>
      </c>
      <c r="J575" s="76" cm="1">
        <f t="array" ref="J575:J577">'SUT_EU27 total'!$S$32:$S$34</f>
        <v>1.7883556705882356E-5</v>
      </c>
    </row>
    <row r="576" spans="1:10" x14ac:dyDescent="0.35">
      <c r="A576" t="s">
        <v>18</v>
      </c>
      <c r="B576" t="s">
        <v>31</v>
      </c>
      <c r="C576" t="s">
        <v>73</v>
      </c>
      <c r="D576" t="s">
        <v>81</v>
      </c>
      <c r="E576" t="s">
        <v>104</v>
      </c>
      <c r="F576" t="s">
        <v>73</v>
      </c>
      <c r="G576" t="s">
        <v>74</v>
      </c>
      <c r="H576" t="s">
        <v>113</v>
      </c>
      <c r="I576" t="s">
        <v>84</v>
      </c>
      <c r="J576" s="4">
        <v>3.3860913882352942E-5</v>
      </c>
    </row>
    <row r="577" spans="1:10" x14ac:dyDescent="0.35">
      <c r="A577" t="s">
        <v>18</v>
      </c>
      <c r="B577" t="s">
        <v>31</v>
      </c>
      <c r="C577" t="s">
        <v>73</v>
      </c>
      <c r="D577" t="s">
        <v>81</v>
      </c>
      <c r="E577" t="s">
        <v>106</v>
      </c>
      <c r="F577" t="s">
        <v>73</v>
      </c>
      <c r="G577" t="s">
        <v>74</v>
      </c>
      <c r="H577" t="s">
        <v>113</v>
      </c>
      <c r="I577" t="s">
        <v>84</v>
      </c>
      <c r="J577" s="4">
        <v>1.1517317647058823E-4</v>
      </c>
    </row>
    <row r="578" spans="1:10" x14ac:dyDescent="0.35">
      <c r="A578" t="s">
        <v>18</v>
      </c>
      <c r="B578" t="s">
        <v>31</v>
      </c>
      <c r="C578" t="s">
        <v>88</v>
      </c>
      <c r="D578" t="s">
        <v>81</v>
      </c>
      <c r="E578" t="s">
        <v>131</v>
      </c>
      <c r="F578" t="s">
        <v>73</v>
      </c>
      <c r="G578" t="s">
        <v>74</v>
      </c>
      <c r="H578" t="s">
        <v>113</v>
      </c>
      <c r="I578" t="s">
        <v>84</v>
      </c>
      <c r="J578" s="4">
        <f>'SUT_EU27 total'!$S$41</f>
        <v>0</v>
      </c>
    </row>
    <row r="579" spans="1:10" x14ac:dyDescent="0.35">
      <c r="A579" t="s">
        <v>18</v>
      </c>
      <c r="B579" t="s">
        <v>31</v>
      </c>
      <c r="C579" t="s">
        <v>88</v>
      </c>
      <c r="D579" t="s">
        <v>81</v>
      </c>
      <c r="E579" t="s">
        <v>101</v>
      </c>
      <c r="F579" t="s">
        <v>73</v>
      </c>
      <c r="G579" t="s">
        <v>74</v>
      </c>
      <c r="H579" t="s">
        <v>113</v>
      </c>
      <c r="I579" t="s">
        <v>84</v>
      </c>
      <c r="J579" s="4" cm="1">
        <f t="array" ref="J579:J581">'SUT_EU27 total'!$S$49:$S$51</f>
        <v>0</v>
      </c>
    </row>
    <row r="580" spans="1:10" x14ac:dyDescent="0.35">
      <c r="A580" t="s">
        <v>18</v>
      </c>
      <c r="B580" t="s">
        <v>31</v>
      </c>
      <c r="C580" t="s">
        <v>88</v>
      </c>
      <c r="D580" t="s">
        <v>81</v>
      </c>
      <c r="E580" t="s">
        <v>104</v>
      </c>
      <c r="F580" t="s">
        <v>73</v>
      </c>
      <c r="G580" t="s">
        <v>74</v>
      </c>
      <c r="H580" t="s">
        <v>113</v>
      </c>
      <c r="I580" t="s">
        <v>84</v>
      </c>
      <c r="J580" s="4">
        <v>0</v>
      </c>
    </row>
    <row r="581" spans="1:10" x14ac:dyDescent="0.35">
      <c r="A581" t="s">
        <v>18</v>
      </c>
      <c r="B581" t="s">
        <v>31</v>
      </c>
      <c r="C581" t="s">
        <v>88</v>
      </c>
      <c r="D581" t="s">
        <v>81</v>
      </c>
      <c r="E581" t="s">
        <v>106</v>
      </c>
      <c r="F581" t="s">
        <v>73</v>
      </c>
      <c r="G581" t="s">
        <v>74</v>
      </c>
      <c r="H581" t="s">
        <v>113</v>
      </c>
      <c r="I581" t="s">
        <v>84</v>
      </c>
      <c r="J581" s="4">
        <v>0</v>
      </c>
    </row>
    <row r="582" spans="1:10" x14ac:dyDescent="0.35">
      <c r="A582" t="s">
        <v>18</v>
      </c>
      <c r="B582" t="s">
        <v>31</v>
      </c>
      <c r="C582" t="s">
        <v>90</v>
      </c>
      <c r="D582" t="s">
        <v>81</v>
      </c>
      <c r="E582" t="s">
        <v>131</v>
      </c>
      <c r="F582" t="s">
        <v>73</v>
      </c>
      <c r="G582" t="s">
        <v>74</v>
      </c>
      <c r="H582" t="s">
        <v>113</v>
      </c>
      <c r="I582" t="s">
        <v>84</v>
      </c>
      <c r="J582" s="4">
        <f>'SUT_EU27 total'!$S$58</f>
        <v>0</v>
      </c>
    </row>
    <row r="583" spans="1:10" x14ac:dyDescent="0.35">
      <c r="A583" t="s">
        <v>18</v>
      </c>
      <c r="B583" t="s">
        <v>31</v>
      </c>
      <c r="C583" t="s">
        <v>90</v>
      </c>
      <c r="D583" t="s">
        <v>81</v>
      </c>
      <c r="E583" t="s">
        <v>101</v>
      </c>
      <c r="F583" t="s">
        <v>73</v>
      </c>
      <c r="G583" t="s">
        <v>74</v>
      </c>
      <c r="H583" t="s">
        <v>113</v>
      </c>
      <c r="I583" t="s">
        <v>84</v>
      </c>
      <c r="J583" s="4" cm="1">
        <f t="array" ref="J583:J585">'SUT_EU27 total'!$S$66:$S$68</f>
        <v>0</v>
      </c>
    </row>
    <row r="584" spans="1:10" x14ac:dyDescent="0.35">
      <c r="A584" t="s">
        <v>18</v>
      </c>
      <c r="B584" t="s">
        <v>31</v>
      </c>
      <c r="C584" t="s">
        <v>90</v>
      </c>
      <c r="D584" t="s">
        <v>81</v>
      </c>
      <c r="E584" t="s">
        <v>104</v>
      </c>
      <c r="F584" t="s">
        <v>73</v>
      </c>
      <c r="G584" t="s">
        <v>74</v>
      </c>
      <c r="H584" t="s">
        <v>113</v>
      </c>
      <c r="I584" t="s">
        <v>84</v>
      </c>
      <c r="J584" s="4">
        <v>0</v>
      </c>
    </row>
    <row r="585" spans="1:10" x14ac:dyDescent="0.35">
      <c r="A585" t="s">
        <v>18</v>
      </c>
      <c r="B585" t="s">
        <v>31</v>
      </c>
      <c r="C585" t="s">
        <v>90</v>
      </c>
      <c r="D585" t="s">
        <v>81</v>
      </c>
      <c r="E585" t="s">
        <v>106</v>
      </c>
      <c r="F585" t="s">
        <v>73</v>
      </c>
      <c r="G585" t="s">
        <v>74</v>
      </c>
      <c r="H585" t="s">
        <v>113</v>
      </c>
      <c r="I585" t="s">
        <v>84</v>
      </c>
      <c r="J585" s="4">
        <v>0</v>
      </c>
    </row>
    <row r="586" spans="1:10" x14ac:dyDescent="0.35">
      <c r="A586" t="s">
        <v>18</v>
      </c>
      <c r="B586" t="s">
        <v>31</v>
      </c>
      <c r="C586" t="s">
        <v>91</v>
      </c>
      <c r="D586" t="s">
        <v>81</v>
      </c>
      <c r="E586" t="s">
        <v>131</v>
      </c>
      <c r="F586" t="s">
        <v>73</v>
      </c>
      <c r="G586" t="s">
        <v>74</v>
      </c>
      <c r="H586" t="s">
        <v>113</v>
      </c>
      <c r="I586" t="s">
        <v>84</v>
      </c>
      <c r="J586" s="4">
        <f>'SUT_EU27 total'!$S$75</f>
        <v>0</v>
      </c>
    </row>
    <row r="587" spans="1:10" x14ac:dyDescent="0.35">
      <c r="A587" t="s">
        <v>18</v>
      </c>
      <c r="B587" t="s">
        <v>31</v>
      </c>
      <c r="C587" t="s">
        <v>91</v>
      </c>
      <c r="D587" t="s">
        <v>81</v>
      </c>
      <c r="E587" t="s">
        <v>101</v>
      </c>
      <c r="F587" t="s">
        <v>73</v>
      </c>
      <c r="G587" t="s">
        <v>74</v>
      </c>
      <c r="H587" t="s">
        <v>113</v>
      </c>
      <c r="I587" t="s">
        <v>84</v>
      </c>
      <c r="J587" s="4" cm="1">
        <f t="array" ref="J587:J589">'SUT_EU27 total'!$S$83:$S$85</f>
        <v>0</v>
      </c>
    </row>
    <row r="588" spans="1:10" x14ac:dyDescent="0.35">
      <c r="A588" t="s">
        <v>18</v>
      </c>
      <c r="B588" t="s">
        <v>31</v>
      </c>
      <c r="C588" t="s">
        <v>91</v>
      </c>
      <c r="D588" t="s">
        <v>81</v>
      </c>
      <c r="E588" t="s">
        <v>104</v>
      </c>
      <c r="F588" t="s">
        <v>73</v>
      </c>
      <c r="G588" t="s">
        <v>74</v>
      </c>
      <c r="H588" t="s">
        <v>113</v>
      </c>
      <c r="I588" t="s">
        <v>84</v>
      </c>
      <c r="J588" s="4">
        <v>0</v>
      </c>
    </row>
    <row r="589" spans="1:10" x14ac:dyDescent="0.35">
      <c r="A589" t="s">
        <v>18</v>
      </c>
      <c r="B589" t="s">
        <v>31</v>
      </c>
      <c r="C589" t="s">
        <v>91</v>
      </c>
      <c r="D589" t="s">
        <v>81</v>
      </c>
      <c r="E589" t="s">
        <v>106</v>
      </c>
      <c r="F589" t="s">
        <v>73</v>
      </c>
      <c r="G589" t="s">
        <v>74</v>
      </c>
      <c r="H589" t="s">
        <v>113</v>
      </c>
      <c r="I589" t="s">
        <v>84</v>
      </c>
      <c r="J589" s="4">
        <v>0</v>
      </c>
    </row>
    <row r="590" spans="1:10" x14ac:dyDescent="0.35">
      <c r="A590" t="s">
        <v>18</v>
      </c>
      <c r="B590" t="s">
        <v>31</v>
      </c>
      <c r="C590" t="s">
        <v>92</v>
      </c>
      <c r="D590" t="s">
        <v>81</v>
      </c>
      <c r="E590" t="s">
        <v>131</v>
      </c>
      <c r="F590" t="s">
        <v>73</v>
      </c>
      <c r="G590" t="s">
        <v>74</v>
      </c>
      <c r="H590" t="s">
        <v>113</v>
      </c>
      <c r="I590" t="s">
        <v>84</v>
      </c>
      <c r="J590" s="4">
        <f>'SUT_EU27 total'!$S$92</f>
        <v>0</v>
      </c>
    </row>
    <row r="591" spans="1:10" x14ac:dyDescent="0.35">
      <c r="A591" t="s">
        <v>18</v>
      </c>
      <c r="B591" t="s">
        <v>31</v>
      </c>
      <c r="C591" t="s">
        <v>92</v>
      </c>
      <c r="D591" t="s">
        <v>81</v>
      </c>
      <c r="E591" t="s">
        <v>101</v>
      </c>
      <c r="F591" t="s">
        <v>73</v>
      </c>
      <c r="G591" t="s">
        <v>74</v>
      </c>
      <c r="H591" t="s">
        <v>113</v>
      </c>
      <c r="I591" t="s">
        <v>84</v>
      </c>
      <c r="J591" s="4" cm="1">
        <f t="array" ref="J591:J593">'SUT_EU27 total'!$S$100:$S$102</f>
        <v>0</v>
      </c>
    </row>
    <row r="592" spans="1:10" x14ac:dyDescent="0.35">
      <c r="A592" t="s">
        <v>18</v>
      </c>
      <c r="B592" t="s">
        <v>31</v>
      </c>
      <c r="C592" t="s">
        <v>92</v>
      </c>
      <c r="D592" t="s">
        <v>81</v>
      </c>
      <c r="E592" t="s">
        <v>104</v>
      </c>
      <c r="F592" t="s">
        <v>73</v>
      </c>
      <c r="G592" t="s">
        <v>74</v>
      </c>
      <c r="H592" t="s">
        <v>113</v>
      </c>
      <c r="I592" t="s">
        <v>84</v>
      </c>
      <c r="J592" s="4">
        <v>0</v>
      </c>
    </row>
    <row r="593" spans="1:10" x14ac:dyDescent="0.35">
      <c r="A593" t="s">
        <v>18</v>
      </c>
      <c r="B593" t="s">
        <v>31</v>
      </c>
      <c r="C593" t="s">
        <v>92</v>
      </c>
      <c r="D593" t="s">
        <v>81</v>
      </c>
      <c r="E593" t="s">
        <v>106</v>
      </c>
      <c r="F593" t="s">
        <v>73</v>
      </c>
      <c r="G593" t="s">
        <v>74</v>
      </c>
      <c r="H593" t="s">
        <v>113</v>
      </c>
      <c r="I593" t="s">
        <v>84</v>
      </c>
      <c r="J593" s="4">
        <v>0</v>
      </c>
    </row>
    <row r="594" spans="1:10" x14ac:dyDescent="0.35">
      <c r="A594" t="s">
        <v>18</v>
      </c>
      <c r="B594" t="s">
        <v>31</v>
      </c>
      <c r="C594" t="s">
        <v>93</v>
      </c>
      <c r="D594" t="s">
        <v>81</v>
      </c>
      <c r="E594" t="s">
        <v>131</v>
      </c>
      <c r="F594" t="s">
        <v>73</v>
      </c>
      <c r="G594" t="s">
        <v>74</v>
      </c>
      <c r="H594" t="s">
        <v>113</v>
      </c>
      <c r="I594" t="s">
        <v>84</v>
      </c>
      <c r="J594" s="4">
        <f>'SUT_EU27 total'!$S$109</f>
        <v>0</v>
      </c>
    </row>
    <row r="595" spans="1:10" x14ac:dyDescent="0.35">
      <c r="A595" t="s">
        <v>18</v>
      </c>
      <c r="B595" t="s">
        <v>31</v>
      </c>
      <c r="C595" t="s">
        <v>93</v>
      </c>
      <c r="D595" t="s">
        <v>81</v>
      </c>
      <c r="E595" t="s">
        <v>101</v>
      </c>
      <c r="F595" t="s">
        <v>73</v>
      </c>
      <c r="G595" t="s">
        <v>74</v>
      </c>
      <c r="H595" t="s">
        <v>113</v>
      </c>
      <c r="I595" t="s">
        <v>84</v>
      </c>
      <c r="J595" s="4" cm="1">
        <f t="array" ref="J595:J597">'SUT_EU27 total'!$S$117:$S$119</f>
        <v>0</v>
      </c>
    </row>
    <row r="596" spans="1:10" x14ac:dyDescent="0.35">
      <c r="A596" t="s">
        <v>18</v>
      </c>
      <c r="B596" t="s">
        <v>31</v>
      </c>
      <c r="C596" t="s">
        <v>93</v>
      </c>
      <c r="D596" t="s">
        <v>81</v>
      </c>
      <c r="E596" t="s">
        <v>104</v>
      </c>
      <c r="F596" t="s">
        <v>73</v>
      </c>
      <c r="G596" t="s">
        <v>74</v>
      </c>
      <c r="H596" t="s">
        <v>113</v>
      </c>
      <c r="I596" t="s">
        <v>84</v>
      </c>
      <c r="J596" s="4">
        <v>0</v>
      </c>
    </row>
    <row r="597" spans="1:10" x14ac:dyDescent="0.35">
      <c r="A597" t="s">
        <v>18</v>
      </c>
      <c r="B597" t="s">
        <v>31</v>
      </c>
      <c r="C597" t="s">
        <v>93</v>
      </c>
      <c r="D597" t="s">
        <v>81</v>
      </c>
      <c r="E597" t="s">
        <v>106</v>
      </c>
      <c r="F597" t="s">
        <v>73</v>
      </c>
      <c r="G597" t="s">
        <v>74</v>
      </c>
      <c r="H597" t="s">
        <v>113</v>
      </c>
      <c r="I597" t="s">
        <v>84</v>
      </c>
      <c r="J597" s="4">
        <v>0</v>
      </c>
    </row>
    <row r="598" spans="1:10" x14ac:dyDescent="0.35">
      <c r="A598" t="s">
        <v>18</v>
      </c>
      <c r="B598" t="s">
        <v>31</v>
      </c>
      <c r="C598" t="s">
        <v>73</v>
      </c>
      <c r="D598" t="s">
        <v>74</v>
      </c>
      <c r="E598" t="s">
        <v>123</v>
      </c>
      <c r="F598" t="s">
        <v>73</v>
      </c>
      <c r="G598" t="s">
        <v>81</v>
      </c>
      <c r="H598" t="s">
        <v>115</v>
      </c>
      <c r="I598" t="s">
        <v>84</v>
      </c>
      <c r="J598" s="4" cm="1">
        <f t="array" ref="J598:J604">TRANSPOSE('2030 pathways'!$C$17:$I$17)</f>
        <v>0.1003</v>
      </c>
    </row>
    <row r="599" spans="1:10" x14ac:dyDescent="0.35">
      <c r="A599" t="s">
        <v>18</v>
      </c>
      <c r="B599" t="s">
        <v>31</v>
      </c>
      <c r="C599" t="s">
        <v>73</v>
      </c>
      <c r="D599" t="s">
        <v>74</v>
      </c>
      <c r="E599" t="s">
        <v>127</v>
      </c>
      <c r="F599" t="s">
        <v>73</v>
      </c>
      <c r="G599" t="s">
        <v>81</v>
      </c>
      <c r="H599" t="s">
        <v>115</v>
      </c>
      <c r="I599" t="s">
        <v>84</v>
      </c>
      <c r="J599" s="4">
        <v>0.17699999999999999</v>
      </c>
    </row>
    <row r="600" spans="1:10" x14ac:dyDescent="0.35">
      <c r="A600" t="s">
        <v>18</v>
      </c>
      <c r="B600" t="s">
        <v>31</v>
      </c>
      <c r="C600" t="s">
        <v>73</v>
      </c>
      <c r="D600" t="s">
        <v>74</v>
      </c>
      <c r="E600" t="s">
        <v>128</v>
      </c>
      <c r="F600" t="s">
        <v>73</v>
      </c>
      <c r="G600" t="s">
        <v>81</v>
      </c>
      <c r="H600" t="s">
        <v>115</v>
      </c>
      <c r="I600" t="s">
        <v>84</v>
      </c>
      <c r="J600" s="4">
        <v>8.8499999999999995E-2</v>
      </c>
    </row>
    <row r="601" spans="1:10" x14ac:dyDescent="0.35">
      <c r="A601" t="s">
        <v>18</v>
      </c>
      <c r="B601" t="s">
        <v>31</v>
      </c>
      <c r="C601" t="s">
        <v>73</v>
      </c>
      <c r="D601" t="s">
        <v>74</v>
      </c>
      <c r="E601" t="s">
        <v>129</v>
      </c>
      <c r="F601" t="s">
        <v>73</v>
      </c>
      <c r="G601" t="s">
        <v>81</v>
      </c>
      <c r="H601" t="s">
        <v>115</v>
      </c>
      <c r="I601" t="s">
        <v>84</v>
      </c>
      <c r="J601" s="4">
        <v>5.8999999999999999E-3</v>
      </c>
    </row>
    <row r="602" spans="1:10" x14ac:dyDescent="0.35">
      <c r="A602" t="s">
        <v>18</v>
      </c>
      <c r="B602" t="s">
        <v>31</v>
      </c>
      <c r="C602" t="s">
        <v>73</v>
      </c>
      <c r="D602" t="s">
        <v>74</v>
      </c>
      <c r="E602" t="s">
        <v>77</v>
      </c>
      <c r="F602" t="s">
        <v>73</v>
      </c>
      <c r="G602" t="s">
        <v>81</v>
      </c>
      <c r="H602" t="s">
        <v>115</v>
      </c>
      <c r="I602" t="s">
        <v>84</v>
      </c>
      <c r="J602" s="4">
        <v>5.8999999999999999E-3</v>
      </c>
    </row>
    <row r="603" spans="1:10" x14ac:dyDescent="0.35">
      <c r="A603" t="s">
        <v>18</v>
      </c>
      <c r="B603" t="s">
        <v>31</v>
      </c>
      <c r="C603" t="s">
        <v>73</v>
      </c>
      <c r="D603" t="s">
        <v>74</v>
      </c>
      <c r="E603" t="s">
        <v>130</v>
      </c>
      <c r="F603" t="s">
        <v>73</v>
      </c>
      <c r="G603" t="s">
        <v>81</v>
      </c>
      <c r="H603" t="s">
        <v>115</v>
      </c>
      <c r="I603" t="s">
        <v>84</v>
      </c>
      <c r="J603" s="4">
        <v>0.21239999999999992</v>
      </c>
    </row>
    <row r="604" spans="1:10" x14ac:dyDescent="0.35">
      <c r="A604" t="s">
        <v>18</v>
      </c>
      <c r="B604" t="s">
        <v>31</v>
      </c>
      <c r="C604" t="s">
        <v>73</v>
      </c>
      <c r="D604" t="s">
        <v>74</v>
      </c>
      <c r="E604" t="s">
        <v>132</v>
      </c>
      <c r="F604" t="s">
        <v>73</v>
      </c>
      <c r="G604" t="s">
        <v>81</v>
      </c>
      <c r="H604" t="s">
        <v>115</v>
      </c>
      <c r="I604" t="s">
        <v>84</v>
      </c>
      <c r="J604" s="4">
        <v>0.41</v>
      </c>
    </row>
    <row r="605" spans="1:10" x14ac:dyDescent="0.35">
      <c r="A605" t="s">
        <v>18</v>
      </c>
      <c r="B605" t="s">
        <v>31</v>
      </c>
      <c r="C605" t="s">
        <v>73</v>
      </c>
      <c r="D605" t="s">
        <v>74</v>
      </c>
      <c r="E605" t="s">
        <v>133</v>
      </c>
      <c r="F605" t="s">
        <v>73</v>
      </c>
      <c r="G605" t="s">
        <v>81</v>
      </c>
      <c r="H605" t="s">
        <v>115</v>
      </c>
      <c r="I605" t="s">
        <v>84</v>
      </c>
      <c r="J605" s="4">
        <v>0</v>
      </c>
    </row>
    <row r="606" spans="1:10" x14ac:dyDescent="0.35">
      <c r="A606" s="468" t="s">
        <v>18</v>
      </c>
      <c r="B606" s="468" t="s">
        <v>35</v>
      </c>
      <c r="C606" s="468" t="s">
        <v>73</v>
      </c>
      <c r="D606" s="468" t="s">
        <v>81</v>
      </c>
      <c r="E606" s="468" t="s">
        <v>115</v>
      </c>
      <c r="F606" s="468" t="s">
        <v>73</v>
      </c>
      <c r="G606" s="468" t="s">
        <v>74</v>
      </c>
      <c r="H606" s="468" t="s">
        <v>102</v>
      </c>
      <c r="I606" s="468" t="s">
        <v>84</v>
      </c>
      <c r="J606" s="479" cm="1">
        <f t="array" ref="J606:J607">'SUT_EU27 total'!$J$19:$J$20</f>
        <v>11.828571428571427</v>
      </c>
    </row>
    <row r="607" spans="1:10" x14ac:dyDescent="0.35">
      <c r="A607" t="s">
        <v>18</v>
      </c>
      <c r="B607" t="s">
        <v>35</v>
      </c>
      <c r="C607" t="s">
        <v>73</v>
      </c>
      <c r="D607" t="s">
        <v>81</v>
      </c>
      <c r="E607" t="s">
        <v>116</v>
      </c>
      <c r="F607" t="s">
        <v>73</v>
      </c>
      <c r="G607" t="s">
        <v>74</v>
      </c>
      <c r="H607" t="s">
        <v>102</v>
      </c>
      <c r="I607" t="s">
        <v>84</v>
      </c>
      <c r="J607" s="4">
        <v>3.3421988920214002E-2</v>
      </c>
    </row>
    <row r="608" spans="1:10" x14ac:dyDescent="0.35">
      <c r="A608" t="s">
        <v>18</v>
      </c>
      <c r="B608" t="s">
        <v>35</v>
      </c>
      <c r="C608" t="s">
        <v>73</v>
      </c>
      <c r="D608" t="s">
        <v>81</v>
      </c>
      <c r="E608" t="s">
        <v>117</v>
      </c>
      <c r="F608" t="s">
        <v>73</v>
      </c>
      <c r="G608" t="s">
        <v>74</v>
      </c>
      <c r="H608" t="s">
        <v>102</v>
      </c>
      <c r="I608" t="s">
        <v>84</v>
      </c>
      <c r="J608" s="76">
        <f>'SUT_EU27 total'!$J$27</f>
        <v>20.996100000000002</v>
      </c>
    </row>
    <row r="609" spans="1:10" x14ac:dyDescent="0.35">
      <c r="A609" t="s">
        <v>18</v>
      </c>
      <c r="B609" t="s">
        <v>35</v>
      </c>
      <c r="C609" t="s">
        <v>73</v>
      </c>
      <c r="D609" t="s">
        <v>81</v>
      </c>
      <c r="E609" t="s">
        <v>101</v>
      </c>
      <c r="F609" t="s">
        <v>73</v>
      </c>
      <c r="G609" t="s">
        <v>74</v>
      </c>
      <c r="H609" t="s">
        <v>102</v>
      </c>
      <c r="I609" t="s">
        <v>84</v>
      </c>
      <c r="J609" s="76" cm="1">
        <f t="array" ref="J609:J611">'SUT_EU27 total'!$J$32:$J$34</f>
        <v>0.13437998483817604</v>
      </c>
    </row>
    <row r="610" spans="1:10" x14ac:dyDescent="0.35">
      <c r="A610" t="s">
        <v>18</v>
      </c>
      <c r="B610" t="s">
        <v>35</v>
      </c>
      <c r="C610" t="s">
        <v>73</v>
      </c>
      <c r="D610" t="s">
        <v>81</v>
      </c>
      <c r="E610" t="s">
        <v>104</v>
      </c>
      <c r="F610" t="s">
        <v>73</v>
      </c>
      <c r="G610" t="s">
        <v>74</v>
      </c>
      <c r="H610" t="s">
        <v>102</v>
      </c>
      <c r="I610" t="s">
        <v>84</v>
      </c>
      <c r="J610" s="4">
        <v>0.25443647306582401</v>
      </c>
    </row>
    <row r="611" spans="1:10" x14ac:dyDescent="0.35">
      <c r="A611" t="s">
        <v>18</v>
      </c>
      <c r="B611" t="s">
        <v>35</v>
      </c>
      <c r="C611" t="s">
        <v>73</v>
      </c>
      <c r="D611" t="s">
        <v>81</v>
      </c>
      <c r="E611" t="s">
        <v>106</v>
      </c>
      <c r="F611" t="s">
        <v>73</v>
      </c>
      <c r="G611" t="s">
        <v>74</v>
      </c>
      <c r="H611" t="s">
        <v>102</v>
      </c>
      <c r="I611" t="s">
        <v>84</v>
      </c>
      <c r="J611" s="4">
        <v>0.86543018049599985</v>
      </c>
    </row>
    <row r="612" spans="1:10" x14ac:dyDescent="0.35">
      <c r="A612" t="s">
        <v>18</v>
      </c>
      <c r="B612" t="s">
        <v>35</v>
      </c>
      <c r="C612" t="s">
        <v>88</v>
      </c>
      <c r="D612" t="s">
        <v>81</v>
      </c>
      <c r="E612" t="s">
        <v>115</v>
      </c>
      <c r="F612" t="s">
        <v>73</v>
      </c>
      <c r="G612" t="s">
        <v>74</v>
      </c>
      <c r="H612" t="s">
        <v>102</v>
      </c>
      <c r="I612" t="s">
        <v>84</v>
      </c>
      <c r="J612" s="76" cm="1">
        <f t="array" ref="J612:J613">'SUT_EU27 total'!$J$36:$J$37</f>
        <v>78.857142857142847</v>
      </c>
    </row>
    <row r="613" spans="1:10" x14ac:dyDescent="0.35">
      <c r="A613" t="s">
        <v>18</v>
      </c>
      <c r="B613" t="s">
        <v>35</v>
      </c>
      <c r="C613" t="s">
        <v>88</v>
      </c>
      <c r="D613" t="s">
        <v>81</v>
      </c>
      <c r="E613" t="s">
        <v>116</v>
      </c>
      <c r="F613" t="s">
        <v>73</v>
      </c>
      <c r="G613" t="s">
        <v>74</v>
      </c>
      <c r="H613" t="s">
        <v>102</v>
      </c>
      <c r="I613" t="s">
        <v>84</v>
      </c>
      <c r="J613" s="4">
        <v>0.7862213561563367</v>
      </c>
    </row>
    <row r="614" spans="1:10" x14ac:dyDescent="0.35">
      <c r="A614" t="s">
        <v>18</v>
      </c>
      <c r="B614" t="s">
        <v>35</v>
      </c>
      <c r="C614" t="s">
        <v>88</v>
      </c>
      <c r="D614" t="s">
        <v>81</v>
      </c>
      <c r="E614" t="s">
        <v>117</v>
      </c>
      <c r="F614" t="s">
        <v>73</v>
      </c>
      <c r="G614" t="s">
        <v>74</v>
      </c>
      <c r="H614" t="s">
        <v>102</v>
      </c>
      <c r="I614" t="s">
        <v>84</v>
      </c>
      <c r="J614" s="76">
        <f>'SUT_EU27 total'!$J$44</f>
        <v>286.26390000000004</v>
      </c>
    </row>
    <row r="615" spans="1:10" x14ac:dyDescent="0.35">
      <c r="A615" t="s">
        <v>18</v>
      </c>
      <c r="B615" t="s">
        <v>35</v>
      </c>
      <c r="C615" t="s">
        <v>88</v>
      </c>
      <c r="D615" t="s">
        <v>81</v>
      </c>
      <c r="E615" t="s">
        <v>101</v>
      </c>
      <c r="F615" t="s">
        <v>73</v>
      </c>
      <c r="G615" t="s">
        <v>74</v>
      </c>
      <c r="H615" t="s">
        <v>102</v>
      </c>
      <c r="I615" t="s">
        <v>84</v>
      </c>
      <c r="J615" s="4" cm="1">
        <f t="array" ref="J615:J617">'SUT_EU27 total'!$J$49:$J$51</f>
        <v>0</v>
      </c>
    </row>
    <row r="616" spans="1:10" x14ac:dyDescent="0.35">
      <c r="A616" t="s">
        <v>18</v>
      </c>
      <c r="B616" t="s">
        <v>35</v>
      </c>
      <c r="C616" t="s">
        <v>88</v>
      </c>
      <c r="D616" t="s">
        <v>81</v>
      </c>
      <c r="E616" t="s">
        <v>104</v>
      </c>
      <c r="F616" t="s">
        <v>73</v>
      </c>
      <c r="G616" t="s">
        <v>74</v>
      </c>
      <c r="H616" t="s">
        <v>102</v>
      </c>
      <c r="I616" t="s">
        <v>84</v>
      </c>
      <c r="J616" s="4">
        <v>0</v>
      </c>
    </row>
    <row r="617" spans="1:10" x14ac:dyDescent="0.35">
      <c r="A617" t="s">
        <v>18</v>
      </c>
      <c r="B617" t="s">
        <v>35</v>
      </c>
      <c r="C617" t="s">
        <v>88</v>
      </c>
      <c r="D617" t="s">
        <v>81</v>
      </c>
      <c r="E617" t="s">
        <v>106</v>
      </c>
      <c r="F617" t="s">
        <v>73</v>
      </c>
      <c r="G617" t="s">
        <v>74</v>
      </c>
      <c r="H617" t="s">
        <v>102</v>
      </c>
      <c r="I617" t="s">
        <v>84</v>
      </c>
      <c r="J617" s="4">
        <v>0</v>
      </c>
    </row>
    <row r="618" spans="1:10" x14ac:dyDescent="0.35">
      <c r="A618" t="s">
        <v>18</v>
      </c>
      <c r="B618" t="s">
        <v>35</v>
      </c>
      <c r="C618" t="s">
        <v>90</v>
      </c>
      <c r="D618" t="s">
        <v>81</v>
      </c>
      <c r="E618" t="s">
        <v>115</v>
      </c>
      <c r="F618" t="s">
        <v>73</v>
      </c>
      <c r="G618" t="s">
        <v>74</v>
      </c>
      <c r="H618" t="s">
        <v>102</v>
      </c>
      <c r="I618" t="s">
        <v>84</v>
      </c>
      <c r="J618" s="76" cm="1">
        <f t="array" ref="J618:J619">'SUT_EU27 total'!$J$53:$J$54</f>
        <v>7.7904761904761894</v>
      </c>
    </row>
    <row r="619" spans="1:10" x14ac:dyDescent="0.35">
      <c r="A619" t="s">
        <v>18</v>
      </c>
      <c r="B619" t="s">
        <v>35</v>
      </c>
      <c r="C619" t="s">
        <v>90</v>
      </c>
      <c r="D619" t="s">
        <v>81</v>
      </c>
      <c r="E619" t="s">
        <v>116</v>
      </c>
      <c r="F619" t="s">
        <v>73</v>
      </c>
      <c r="G619" t="s">
        <v>74</v>
      </c>
      <c r="H619" t="s">
        <v>102</v>
      </c>
      <c r="I619" t="s">
        <v>84</v>
      </c>
      <c r="J619" s="4">
        <v>1.5473889063756709E-2</v>
      </c>
    </row>
    <row r="620" spans="1:10" x14ac:dyDescent="0.35">
      <c r="A620" t="s">
        <v>18</v>
      </c>
      <c r="B620" t="s">
        <v>35</v>
      </c>
      <c r="C620" t="s">
        <v>90</v>
      </c>
      <c r="D620" t="s">
        <v>81</v>
      </c>
      <c r="E620" t="s">
        <v>117</v>
      </c>
      <c r="F620" t="s">
        <v>73</v>
      </c>
      <c r="G620" t="s">
        <v>74</v>
      </c>
      <c r="H620" t="s">
        <v>102</v>
      </c>
      <c r="I620" t="s">
        <v>84</v>
      </c>
      <c r="J620" s="76">
        <f>'SUT_EU27 total'!$J$61</f>
        <v>11.2662</v>
      </c>
    </row>
    <row r="621" spans="1:10" x14ac:dyDescent="0.35">
      <c r="A621" t="s">
        <v>18</v>
      </c>
      <c r="B621" t="s">
        <v>35</v>
      </c>
      <c r="C621" t="s">
        <v>90</v>
      </c>
      <c r="D621" t="s">
        <v>81</v>
      </c>
      <c r="E621" t="s">
        <v>101</v>
      </c>
      <c r="F621" t="s">
        <v>73</v>
      </c>
      <c r="G621" t="s">
        <v>74</v>
      </c>
      <c r="H621" t="s">
        <v>102</v>
      </c>
      <c r="I621" t="s">
        <v>84</v>
      </c>
      <c r="J621" s="4" cm="1">
        <f t="array" ref="J621:J623">'SUT_EU27 total'!$J$66:$J$68</f>
        <v>0</v>
      </c>
    </row>
    <row r="622" spans="1:10" x14ac:dyDescent="0.35">
      <c r="A622" t="s">
        <v>18</v>
      </c>
      <c r="B622" t="s">
        <v>35</v>
      </c>
      <c r="C622" t="s">
        <v>90</v>
      </c>
      <c r="D622" t="s">
        <v>81</v>
      </c>
      <c r="E622" t="s">
        <v>104</v>
      </c>
      <c r="F622" t="s">
        <v>73</v>
      </c>
      <c r="G622" t="s">
        <v>74</v>
      </c>
      <c r="H622" t="s">
        <v>102</v>
      </c>
      <c r="I622" t="s">
        <v>84</v>
      </c>
      <c r="J622" s="4">
        <v>0</v>
      </c>
    </row>
    <row r="623" spans="1:10" x14ac:dyDescent="0.35">
      <c r="A623" t="s">
        <v>18</v>
      </c>
      <c r="B623" t="s">
        <v>35</v>
      </c>
      <c r="C623" t="s">
        <v>90</v>
      </c>
      <c r="D623" t="s">
        <v>81</v>
      </c>
      <c r="E623" t="s">
        <v>106</v>
      </c>
      <c r="F623" t="s">
        <v>73</v>
      </c>
      <c r="G623" t="s">
        <v>74</v>
      </c>
      <c r="H623" t="s">
        <v>102</v>
      </c>
      <c r="I623" t="s">
        <v>84</v>
      </c>
      <c r="J623" s="4">
        <v>0</v>
      </c>
    </row>
    <row r="624" spans="1:10" x14ac:dyDescent="0.35">
      <c r="A624" t="s">
        <v>18</v>
      </c>
      <c r="B624" t="s">
        <v>35</v>
      </c>
      <c r="C624" t="s">
        <v>91</v>
      </c>
      <c r="D624" t="s">
        <v>81</v>
      </c>
      <c r="E624" t="s">
        <v>115</v>
      </c>
      <c r="F624" t="s">
        <v>73</v>
      </c>
      <c r="G624" t="s">
        <v>74</v>
      </c>
      <c r="H624" t="s">
        <v>102</v>
      </c>
      <c r="I624" t="s">
        <v>84</v>
      </c>
      <c r="J624" s="76" cm="1">
        <f t="array" ref="J624:J625">'SUT_EU27 total'!$J$70:$J$71</f>
        <v>15.771428571428569</v>
      </c>
    </row>
    <row r="625" spans="1:10" x14ac:dyDescent="0.35">
      <c r="A625" t="s">
        <v>18</v>
      </c>
      <c r="B625" t="s">
        <v>35</v>
      </c>
      <c r="C625" t="s">
        <v>91</v>
      </c>
      <c r="D625" t="s">
        <v>81</v>
      </c>
      <c r="E625" t="s">
        <v>116</v>
      </c>
      <c r="F625" t="s">
        <v>73</v>
      </c>
      <c r="G625" t="s">
        <v>74</v>
      </c>
      <c r="H625" t="s">
        <v>102</v>
      </c>
      <c r="I625" t="s">
        <v>84</v>
      </c>
      <c r="J625" s="4">
        <v>8.7507175559917313E-2</v>
      </c>
    </row>
    <row r="626" spans="1:10" x14ac:dyDescent="0.35">
      <c r="A626" t="s">
        <v>18</v>
      </c>
      <c r="B626" t="s">
        <v>35</v>
      </c>
      <c r="C626" t="s">
        <v>91</v>
      </c>
      <c r="D626" t="s">
        <v>81</v>
      </c>
      <c r="E626" t="s">
        <v>117</v>
      </c>
      <c r="F626" t="s">
        <v>73</v>
      </c>
      <c r="G626" t="s">
        <v>74</v>
      </c>
      <c r="H626" t="s">
        <v>102</v>
      </c>
      <c r="I626" t="s">
        <v>84</v>
      </c>
      <c r="J626" s="76">
        <f>'SUT_EU27 total'!$J$78</f>
        <v>41.4801</v>
      </c>
    </row>
    <row r="627" spans="1:10" x14ac:dyDescent="0.35">
      <c r="A627" t="s">
        <v>18</v>
      </c>
      <c r="B627" t="s">
        <v>35</v>
      </c>
      <c r="C627" t="s">
        <v>91</v>
      </c>
      <c r="D627" t="s">
        <v>81</v>
      </c>
      <c r="E627" t="s">
        <v>101</v>
      </c>
      <c r="F627" t="s">
        <v>73</v>
      </c>
      <c r="G627" t="s">
        <v>74</v>
      </c>
      <c r="H627" t="s">
        <v>102</v>
      </c>
      <c r="I627" t="s">
        <v>84</v>
      </c>
      <c r="J627" s="4" cm="1">
        <f t="array" ref="J627:J629">'SUT_EU27 total'!$J$83:$J$85</f>
        <v>0</v>
      </c>
    </row>
    <row r="628" spans="1:10" x14ac:dyDescent="0.35">
      <c r="A628" t="s">
        <v>18</v>
      </c>
      <c r="B628" t="s">
        <v>35</v>
      </c>
      <c r="C628" t="s">
        <v>91</v>
      </c>
      <c r="D628" t="s">
        <v>81</v>
      </c>
      <c r="E628" t="s">
        <v>104</v>
      </c>
      <c r="F628" t="s">
        <v>73</v>
      </c>
      <c r="G628" t="s">
        <v>74</v>
      </c>
      <c r="H628" t="s">
        <v>102</v>
      </c>
      <c r="I628" t="s">
        <v>84</v>
      </c>
      <c r="J628" s="4">
        <v>0</v>
      </c>
    </row>
    <row r="629" spans="1:10" x14ac:dyDescent="0.35">
      <c r="A629" t="s">
        <v>18</v>
      </c>
      <c r="B629" t="s">
        <v>35</v>
      </c>
      <c r="C629" t="s">
        <v>91</v>
      </c>
      <c r="D629" t="s">
        <v>81</v>
      </c>
      <c r="E629" t="s">
        <v>106</v>
      </c>
      <c r="F629" t="s">
        <v>73</v>
      </c>
      <c r="G629" t="s">
        <v>74</v>
      </c>
      <c r="H629" t="s">
        <v>102</v>
      </c>
      <c r="I629" t="s">
        <v>84</v>
      </c>
      <c r="J629" s="4">
        <v>0</v>
      </c>
    </row>
    <row r="630" spans="1:10" x14ac:dyDescent="0.35">
      <c r="A630" t="s">
        <v>18</v>
      </c>
      <c r="B630" t="s">
        <v>35</v>
      </c>
      <c r="C630" t="s">
        <v>92</v>
      </c>
      <c r="D630" t="s">
        <v>81</v>
      </c>
      <c r="E630" t="s">
        <v>115</v>
      </c>
      <c r="F630" t="s">
        <v>73</v>
      </c>
      <c r="G630" t="s">
        <v>74</v>
      </c>
      <c r="H630" t="s">
        <v>102</v>
      </c>
      <c r="I630" t="s">
        <v>84</v>
      </c>
      <c r="J630" s="76" cm="1">
        <f t="array" ref="J630:J631">'SUT_EU27 total'!$J$87:$J$88</f>
        <v>6.6239999999999997</v>
      </c>
    </row>
    <row r="631" spans="1:10" x14ac:dyDescent="0.35">
      <c r="A631" t="s">
        <v>18</v>
      </c>
      <c r="B631" t="s">
        <v>35</v>
      </c>
      <c r="C631" t="s">
        <v>92</v>
      </c>
      <c r="D631" t="s">
        <v>81</v>
      </c>
      <c r="E631" t="s">
        <v>116</v>
      </c>
      <c r="F631" t="s">
        <v>73</v>
      </c>
      <c r="G631" t="s">
        <v>74</v>
      </c>
      <c r="H631" t="s">
        <v>102</v>
      </c>
      <c r="I631" t="s">
        <v>84</v>
      </c>
      <c r="J631" s="4">
        <v>6.0040746268656714E-2</v>
      </c>
    </row>
    <row r="632" spans="1:10" x14ac:dyDescent="0.35">
      <c r="A632" t="s">
        <v>18</v>
      </c>
      <c r="B632" t="s">
        <v>35</v>
      </c>
      <c r="C632" t="s">
        <v>92</v>
      </c>
      <c r="D632" t="s">
        <v>81</v>
      </c>
      <c r="E632" t="s">
        <v>117</v>
      </c>
      <c r="F632" t="s">
        <v>73</v>
      </c>
      <c r="G632" t="s">
        <v>74</v>
      </c>
      <c r="H632" t="s">
        <v>102</v>
      </c>
      <c r="I632" t="s">
        <v>84</v>
      </c>
      <c r="J632" s="76">
        <f>'SUT_EU27 total'!$J$95</f>
        <v>13.3146</v>
      </c>
    </row>
    <row r="633" spans="1:10" x14ac:dyDescent="0.35">
      <c r="A633" t="s">
        <v>18</v>
      </c>
      <c r="B633" t="s">
        <v>35</v>
      </c>
      <c r="C633" t="s">
        <v>92</v>
      </c>
      <c r="D633" t="s">
        <v>81</v>
      </c>
      <c r="E633" t="s">
        <v>101</v>
      </c>
      <c r="F633" t="s">
        <v>73</v>
      </c>
      <c r="G633" t="s">
        <v>74</v>
      </c>
      <c r="H633" t="s">
        <v>102</v>
      </c>
      <c r="I633" t="s">
        <v>84</v>
      </c>
      <c r="J633" s="4" cm="1">
        <f t="array" ref="J633:J635">'SUT_EU27 total'!$J$100:$J$102</f>
        <v>0</v>
      </c>
    </row>
    <row r="634" spans="1:10" x14ac:dyDescent="0.35">
      <c r="A634" t="s">
        <v>18</v>
      </c>
      <c r="B634" t="s">
        <v>35</v>
      </c>
      <c r="C634" t="s">
        <v>92</v>
      </c>
      <c r="D634" t="s">
        <v>81</v>
      </c>
      <c r="E634" t="s">
        <v>104</v>
      </c>
      <c r="F634" t="s">
        <v>73</v>
      </c>
      <c r="G634" t="s">
        <v>74</v>
      </c>
      <c r="H634" t="s">
        <v>102</v>
      </c>
      <c r="I634" t="s">
        <v>84</v>
      </c>
      <c r="J634" s="4">
        <v>0</v>
      </c>
    </row>
    <row r="635" spans="1:10" x14ac:dyDescent="0.35">
      <c r="A635" t="s">
        <v>18</v>
      </c>
      <c r="B635" t="s">
        <v>35</v>
      </c>
      <c r="C635" t="s">
        <v>92</v>
      </c>
      <c r="D635" t="s">
        <v>81</v>
      </c>
      <c r="E635" t="s">
        <v>106</v>
      </c>
      <c r="F635" t="s">
        <v>73</v>
      </c>
      <c r="G635" t="s">
        <v>74</v>
      </c>
      <c r="H635" t="s">
        <v>102</v>
      </c>
      <c r="I635" t="s">
        <v>84</v>
      </c>
      <c r="J635" s="4">
        <v>0</v>
      </c>
    </row>
    <row r="636" spans="1:10" x14ac:dyDescent="0.35">
      <c r="A636" t="s">
        <v>18</v>
      </c>
      <c r="B636" t="s">
        <v>35</v>
      </c>
      <c r="C636" t="s">
        <v>93</v>
      </c>
      <c r="D636" t="s">
        <v>81</v>
      </c>
      <c r="E636" t="s">
        <v>115</v>
      </c>
      <c r="F636" t="s">
        <v>73</v>
      </c>
      <c r="G636" t="s">
        <v>74</v>
      </c>
      <c r="H636" t="s">
        <v>102</v>
      </c>
      <c r="I636" t="s">
        <v>84</v>
      </c>
      <c r="J636" s="76" cm="1">
        <f t="array" ref="J636:J637">'SUT_EU27 total'!$J$104:$J$105</f>
        <v>44.633142857142865</v>
      </c>
    </row>
    <row r="637" spans="1:10" x14ac:dyDescent="0.35">
      <c r="A637" t="s">
        <v>18</v>
      </c>
      <c r="B637" t="s">
        <v>35</v>
      </c>
      <c r="C637" t="s">
        <v>93</v>
      </c>
      <c r="D637" t="s">
        <v>81</v>
      </c>
      <c r="E637" t="s">
        <v>116</v>
      </c>
      <c r="F637" t="s">
        <v>73</v>
      </c>
      <c r="G637" t="s">
        <v>74</v>
      </c>
      <c r="H637" t="s">
        <v>102</v>
      </c>
      <c r="I637" t="s">
        <v>84</v>
      </c>
      <c r="J637" s="4">
        <v>0.3673348440311186</v>
      </c>
    </row>
    <row r="638" spans="1:10" x14ac:dyDescent="0.35">
      <c r="A638" t="s">
        <v>18</v>
      </c>
      <c r="B638" t="s">
        <v>35</v>
      </c>
      <c r="C638" t="s">
        <v>93</v>
      </c>
      <c r="D638" t="s">
        <v>81</v>
      </c>
      <c r="E638" t="s">
        <v>117</v>
      </c>
      <c r="F638" t="s">
        <v>73</v>
      </c>
      <c r="G638" t="s">
        <v>74</v>
      </c>
      <c r="H638" t="s">
        <v>102</v>
      </c>
      <c r="I638" t="s">
        <v>84</v>
      </c>
      <c r="J638" s="76">
        <f>'SUT_EU27 total'!$J$112</f>
        <v>138.77909999999997</v>
      </c>
    </row>
    <row r="639" spans="1:10" x14ac:dyDescent="0.35">
      <c r="A639" t="s">
        <v>18</v>
      </c>
      <c r="B639" t="s">
        <v>35</v>
      </c>
      <c r="C639" t="s">
        <v>93</v>
      </c>
      <c r="D639" t="s">
        <v>81</v>
      </c>
      <c r="E639" t="s">
        <v>101</v>
      </c>
      <c r="F639" t="s">
        <v>73</v>
      </c>
      <c r="G639" t="s">
        <v>74</v>
      </c>
      <c r="H639" t="s">
        <v>102</v>
      </c>
      <c r="I639" t="s">
        <v>84</v>
      </c>
      <c r="J639" s="4" cm="1">
        <f t="array" ref="J639:J641">'SUT_EU27 total'!$J$117:$J$119</f>
        <v>0</v>
      </c>
    </row>
    <row r="640" spans="1:10" x14ac:dyDescent="0.35">
      <c r="A640" t="s">
        <v>18</v>
      </c>
      <c r="B640" t="s">
        <v>35</v>
      </c>
      <c r="C640" t="s">
        <v>93</v>
      </c>
      <c r="D640" t="s">
        <v>81</v>
      </c>
      <c r="E640" t="s">
        <v>104</v>
      </c>
      <c r="F640" t="s">
        <v>73</v>
      </c>
      <c r="G640" t="s">
        <v>74</v>
      </c>
      <c r="H640" t="s">
        <v>102</v>
      </c>
      <c r="I640" t="s">
        <v>84</v>
      </c>
      <c r="J640" s="4">
        <v>0</v>
      </c>
    </row>
    <row r="641" spans="1:10" x14ac:dyDescent="0.35">
      <c r="A641" t="s">
        <v>18</v>
      </c>
      <c r="B641" t="s">
        <v>35</v>
      </c>
      <c r="C641" t="s">
        <v>93</v>
      </c>
      <c r="D641" t="s">
        <v>81</v>
      </c>
      <c r="E641" t="s">
        <v>106</v>
      </c>
      <c r="F641" t="s">
        <v>73</v>
      </c>
      <c r="G641" t="s">
        <v>74</v>
      </c>
      <c r="H641" t="s">
        <v>102</v>
      </c>
      <c r="I641" t="s">
        <v>84</v>
      </c>
      <c r="J641" s="4">
        <v>0</v>
      </c>
    </row>
    <row r="642" spans="1:10" x14ac:dyDescent="0.35">
      <c r="A642" t="s">
        <v>18</v>
      </c>
      <c r="B642" t="s">
        <v>35</v>
      </c>
      <c r="C642" t="s">
        <v>73</v>
      </c>
      <c r="D642" t="s">
        <v>81</v>
      </c>
      <c r="E642" t="s">
        <v>118</v>
      </c>
      <c r="F642" t="s">
        <v>73</v>
      </c>
      <c r="G642" t="s">
        <v>74</v>
      </c>
      <c r="H642" t="s">
        <v>108</v>
      </c>
      <c r="I642" t="s">
        <v>84</v>
      </c>
      <c r="J642" s="76" cm="1">
        <f t="array" ref="J642:J644">'SUT_EU27 total'!$K$21:$K$23</f>
        <v>1.4582562144772118E-3</v>
      </c>
    </row>
    <row r="643" spans="1:10" x14ac:dyDescent="0.35">
      <c r="A643" t="s">
        <v>18</v>
      </c>
      <c r="B643" t="s">
        <v>35</v>
      </c>
      <c r="C643" t="s">
        <v>73</v>
      </c>
      <c r="D643" t="s">
        <v>81</v>
      </c>
      <c r="E643" t="s">
        <v>119</v>
      </c>
      <c r="F643" t="s">
        <v>73</v>
      </c>
      <c r="G643" t="s">
        <v>74</v>
      </c>
      <c r="H643" t="s">
        <v>108</v>
      </c>
      <c r="I643" t="s">
        <v>84</v>
      </c>
      <c r="J643" s="4">
        <v>8.4634636521458274E-4</v>
      </c>
    </row>
    <row r="644" spans="1:10" x14ac:dyDescent="0.35">
      <c r="A644" t="s">
        <v>18</v>
      </c>
      <c r="B644" t="s">
        <v>35</v>
      </c>
      <c r="C644" t="s">
        <v>73</v>
      </c>
      <c r="D644" t="s">
        <v>81</v>
      </c>
      <c r="E644" t="s">
        <v>120</v>
      </c>
      <c r="F644" t="s">
        <v>73</v>
      </c>
      <c r="G644" t="s">
        <v>74</v>
      </c>
      <c r="H644" t="s">
        <v>108</v>
      </c>
      <c r="I644" t="s">
        <v>84</v>
      </c>
      <c r="J644" s="4">
        <v>1.2517329093179335E-4</v>
      </c>
    </row>
    <row r="645" spans="1:10" x14ac:dyDescent="0.35">
      <c r="A645" t="s">
        <v>18</v>
      </c>
      <c r="B645" t="s">
        <v>35</v>
      </c>
      <c r="C645" t="s">
        <v>73</v>
      </c>
      <c r="D645" t="s">
        <v>81</v>
      </c>
      <c r="E645" s="77" t="s">
        <v>121</v>
      </c>
      <c r="F645" t="s">
        <v>73</v>
      </c>
      <c r="G645" t="s">
        <v>74</v>
      </c>
      <c r="H645" t="s">
        <v>108</v>
      </c>
      <c r="I645" t="s">
        <v>84</v>
      </c>
      <c r="J645" s="76">
        <f>'SUT_EU27 total'!$K$25</f>
        <v>6.9749679999999994E-2</v>
      </c>
    </row>
    <row r="646" spans="1:10" x14ac:dyDescent="0.35">
      <c r="A646" t="s">
        <v>18</v>
      </c>
      <c r="B646" t="s">
        <v>35</v>
      </c>
      <c r="C646" t="s">
        <v>73</v>
      </c>
      <c r="D646" t="s">
        <v>81</v>
      </c>
      <c r="E646" t="s">
        <v>117</v>
      </c>
      <c r="F646" t="s">
        <v>73</v>
      </c>
      <c r="G646" t="s">
        <v>74</v>
      </c>
      <c r="H646" t="s">
        <v>108</v>
      </c>
      <c r="I646" t="s">
        <v>84</v>
      </c>
      <c r="J646" s="76">
        <f>'SUT_EU27 total'!$K$27</f>
        <v>1.1932942595726979E-3</v>
      </c>
    </row>
    <row r="647" spans="1:10" x14ac:dyDescent="0.35">
      <c r="A647" t="s">
        <v>18</v>
      </c>
      <c r="B647" t="s">
        <v>35</v>
      </c>
      <c r="C647" t="s">
        <v>73</v>
      </c>
      <c r="D647" t="s">
        <v>81</v>
      </c>
      <c r="E647" t="s">
        <v>122</v>
      </c>
      <c r="F647" t="s">
        <v>73</v>
      </c>
      <c r="G647" t="s">
        <v>74</v>
      </c>
      <c r="H647" t="s">
        <v>108</v>
      </c>
      <c r="I647" t="s">
        <v>84</v>
      </c>
      <c r="J647" s="76">
        <f>'SUT_EU27 total'!$K$30</f>
        <v>1.5965533412604042E-3</v>
      </c>
    </row>
    <row r="648" spans="1:10" x14ac:dyDescent="0.35">
      <c r="A648" t="s">
        <v>18</v>
      </c>
      <c r="B648" t="s">
        <v>35</v>
      </c>
      <c r="C648" t="s">
        <v>73</v>
      </c>
      <c r="D648" t="s">
        <v>81</v>
      </c>
      <c r="E648" t="s">
        <v>101</v>
      </c>
      <c r="F648" t="s">
        <v>73</v>
      </c>
      <c r="G648" t="s">
        <v>74</v>
      </c>
      <c r="H648" t="s">
        <v>108</v>
      </c>
      <c r="I648" t="s">
        <v>84</v>
      </c>
      <c r="J648" s="76" cm="1">
        <f t="array" ref="J648:J650">'SUT_EU27 total'!$K$32:$K$34</f>
        <v>2.4335351040000001E-4</v>
      </c>
    </row>
    <row r="649" spans="1:10" x14ac:dyDescent="0.35">
      <c r="A649" t="s">
        <v>18</v>
      </c>
      <c r="B649" t="s">
        <v>35</v>
      </c>
      <c r="C649" t="s">
        <v>73</v>
      </c>
      <c r="D649" t="s">
        <v>81</v>
      </c>
      <c r="E649" t="s">
        <v>104</v>
      </c>
      <c r="F649" t="s">
        <v>73</v>
      </c>
      <c r="G649" t="s">
        <v>74</v>
      </c>
      <c r="H649" t="s">
        <v>108</v>
      </c>
      <c r="I649" t="s">
        <v>84</v>
      </c>
      <c r="J649" s="4">
        <v>4.6076808959999996E-4</v>
      </c>
    </row>
    <row r="650" spans="1:10" x14ac:dyDescent="0.35">
      <c r="A650" t="s">
        <v>18</v>
      </c>
      <c r="B650" t="s">
        <v>35</v>
      </c>
      <c r="C650" t="s">
        <v>73</v>
      </c>
      <c r="D650" t="s">
        <v>81</v>
      </c>
      <c r="E650" t="s">
        <v>106</v>
      </c>
      <c r="F650" t="s">
        <v>73</v>
      </c>
      <c r="G650" t="s">
        <v>74</v>
      </c>
      <c r="H650" t="s">
        <v>108</v>
      </c>
      <c r="I650" t="s">
        <v>84</v>
      </c>
      <c r="J650" s="4">
        <v>1.5672383999999996E-3</v>
      </c>
    </row>
    <row r="651" spans="1:10" x14ac:dyDescent="0.35">
      <c r="A651" t="s">
        <v>18</v>
      </c>
      <c r="B651" t="s">
        <v>35</v>
      </c>
      <c r="C651" t="s">
        <v>88</v>
      </c>
      <c r="D651" t="s">
        <v>81</v>
      </c>
      <c r="E651" t="s">
        <v>118</v>
      </c>
      <c r="F651" t="s">
        <v>73</v>
      </c>
      <c r="G651" t="s">
        <v>74</v>
      </c>
      <c r="H651" t="s">
        <v>108</v>
      </c>
      <c r="I651" t="s">
        <v>84</v>
      </c>
      <c r="J651" s="76" cm="1">
        <f t="array" ref="J651:J653">'SUT_EU27 total'!$K$38:$K$40</f>
        <v>3.3029309855227888E-2</v>
      </c>
    </row>
    <row r="652" spans="1:10" x14ac:dyDescent="0.35">
      <c r="A652" t="s">
        <v>18</v>
      </c>
      <c r="B652" t="s">
        <v>35</v>
      </c>
      <c r="C652" t="s">
        <v>88</v>
      </c>
      <c r="D652" t="s">
        <v>81</v>
      </c>
      <c r="E652" t="s">
        <v>119</v>
      </c>
      <c r="F652" t="s">
        <v>73</v>
      </c>
      <c r="G652" t="s">
        <v>74</v>
      </c>
      <c r="H652" t="s">
        <v>108</v>
      </c>
      <c r="I652" t="s">
        <v>84</v>
      </c>
      <c r="J652" s="4">
        <v>6.9915569300335089E-3</v>
      </c>
    </row>
    <row r="653" spans="1:10" x14ac:dyDescent="0.35">
      <c r="A653" t="s">
        <v>18</v>
      </c>
      <c r="B653" t="s">
        <v>35</v>
      </c>
      <c r="C653" t="s">
        <v>88</v>
      </c>
      <c r="D653" t="s">
        <v>81</v>
      </c>
      <c r="E653" t="s">
        <v>120</v>
      </c>
      <c r="F653" t="s">
        <v>73</v>
      </c>
      <c r="G653" t="s">
        <v>74</v>
      </c>
      <c r="H653" t="s">
        <v>108</v>
      </c>
      <c r="I653" t="s">
        <v>84</v>
      </c>
      <c r="J653" s="4">
        <v>1.5283979779928203E-3</v>
      </c>
    </row>
    <row r="654" spans="1:10" x14ac:dyDescent="0.35">
      <c r="A654" t="s">
        <v>18</v>
      </c>
      <c r="B654" t="s">
        <v>35</v>
      </c>
      <c r="C654" t="s">
        <v>88</v>
      </c>
      <c r="D654" t="s">
        <v>81</v>
      </c>
      <c r="E654" s="77" t="s">
        <v>121</v>
      </c>
      <c r="F654" t="s">
        <v>73</v>
      </c>
      <c r="G654" t="s">
        <v>74</v>
      </c>
      <c r="H654" t="s">
        <v>108</v>
      </c>
      <c r="I654" t="s">
        <v>84</v>
      </c>
      <c r="J654" s="4">
        <f>'SUT_EU27 total'!$K$42</f>
        <v>0</v>
      </c>
    </row>
    <row r="655" spans="1:10" x14ac:dyDescent="0.35">
      <c r="A655" t="s">
        <v>18</v>
      </c>
      <c r="B655" t="s">
        <v>35</v>
      </c>
      <c r="C655" t="s">
        <v>88</v>
      </c>
      <c r="D655" t="s">
        <v>81</v>
      </c>
      <c r="E655" t="s">
        <v>117</v>
      </c>
      <c r="F655" t="s">
        <v>73</v>
      </c>
      <c r="G655" t="s">
        <v>74</v>
      </c>
      <c r="H655" t="s">
        <v>108</v>
      </c>
      <c r="I655" t="s">
        <v>84</v>
      </c>
      <c r="J655" s="76">
        <f>'SUT_EU27 total'!$K$44</f>
        <v>9.9090099874062521E-4</v>
      </c>
    </row>
    <row r="656" spans="1:10" x14ac:dyDescent="0.35">
      <c r="A656" t="s">
        <v>18</v>
      </c>
      <c r="B656" t="s">
        <v>35</v>
      </c>
      <c r="C656" t="s">
        <v>88</v>
      </c>
      <c r="D656" t="s">
        <v>81</v>
      </c>
      <c r="E656" t="s">
        <v>122</v>
      </c>
      <c r="F656" t="s">
        <v>73</v>
      </c>
      <c r="G656" t="s">
        <v>74</v>
      </c>
      <c r="H656" t="s">
        <v>108</v>
      </c>
      <c r="I656" t="s">
        <v>84</v>
      </c>
      <c r="J656" s="76">
        <f>'SUT_EU27 total'!$K$47</f>
        <v>0</v>
      </c>
    </row>
    <row r="657" spans="1:10" x14ac:dyDescent="0.35">
      <c r="A657" t="s">
        <v>18</v>
      </c>
      <c r="B657" t="s">
        <v>35</v>
      </c>
      <c r="C657" t="s">
        <v>88</v>
      </c>
      <c r="D657" t="s">
        <v>81</v>
      </c>
      <c r="E657" t="s">
        <v>101</v>
      </c>
      <c r="F657" t="s">
        <v>73</v>
      </c>
      <c r="G657" t="s">
        <v>74</v>
      </c>
      <c r="H657" t="s">
        <v>108</v>
      </c>
      <c r="I657" t="s">
        <v>84</v>
      </c>
      <c r="J657" s="4" cm="1">
        <f t="array" ref="J657:J659">'SUT_EU27 total'!$K$49:$K$51</f>
        <v>0</v>
      </c>
    </row>
    <row r="658" spans="1:10" x14ac:dyDescent="0.35">
      <c r="A658" t="s">
        <v>18</v>
      </c>
      <c r="B658" t="s">
        <v>35</v>
      </c>
      <c r="C658" t="s">
        <v>88</v>
      </c>
      <c r="D658" t="s">
        <v>81</v>
      </c>
      <c r="E658" t="s">
        <v>104</v>
      </c>
      <c r="F658" t="s">
        <v>73</v>
      </c>
      <c r="G658" t="s">
        <v>74</v>
      </c>
      <c r="H658" t="s">
        <v>108</v>
      </c>
      <c r="I658" t="s">
        <v>84</v>
      </c>
      <c r="J658" s="4">
        <v>0</v>
      </c>
    </row>
    <row r="659" spans="1:10" x14ac:dyDescent="0.35">
      <c r="A659" t="s">
        <v>18</v>
      </c>
      <c r="B659" t="s">
        <v>35</v>
      </c>
      <c r="C659" t="s">
        <v>88</v>
      </c>
      <c r="D659" t="s">
        <v>81</v>
      </c>
      <c r="E659" t="s">
        <v>106</v>
      </c>
      <c r="F659" t="s">
        <v>73</v>
      </c>
      <c r="G659" t="s">
        <v>74</v>
      </c>
      <c r="H659" t="s">
        <v>108</v>
      </c>
      <c r="I659" t="s">
        <v>84</v>
      </c>
      <c r="J659" s="4">
        <v>0</v>
      </c>
    </row>
    <row r="660" spans="1:10" x14ac:dyDescent="0.35">
      <c r="A660" t="s">
        <v>18</v>
      </c>
      <c r="B660" t="s">
        <v>35</v>
      </c>
      <c r="C660" t="s">
        <v>90</v>
      </c>
      <c r="D660" t="s">
        <v>81</v>
      </c>
      <c r="E660" t="s">
        <v>118</v>
      </c>
      <c r="F660" t="s">
        <v>73</v>
      </c>
      <c r="G660" t="s">
        <v>74</v>
      </c>
      <c r="H660" t="s">
        <v>108</v>
      </c>
      <c r="I660" t="s">
        <v>84</v>
      </c>
      <c r="J660" s="76" cm="1">
        <f t="array" ref="J660:J662">'SUT_EU27 total'!$K$55:$K$57</f>
        <v>4.323194595174263E-3</v>
      </c>
    </row>
    <row r="661" spans="1:10" x14ac:dyDescent="0.35">
      <c r="A661" t="s">
        <v>18</v>
      </c>
      <c r="B661" t="s">
        <v>35</v>
      </c>
      <c r="C661" t="s">
        <v>90</v>
      </c>
      <c r="D661" t="s">
        <v>81</v>
      </c>
      <c r="E661" t="s">
        <v>119</v>
      </c>
      <c r="F661" t="s">
        <v>73</v>
      </c>
      <c r="G661" t="s">
        <v>74</v>
      </c>
      <c r="H661" t="s">
        <v>108</v>
      </c>
      <c r="I661" t="s">
        <v>84</v>
      </c>
      <c r="J661" s="4">
        <v>1.2800331672655335E-3</v>
      </c>
    </row>
    <row r="662" spans="1:10" x14ac:dyDescent="0.35">
      <c r="A662" t="s">
        <v>18</v>
      </c>
      <c r="B662" t="s">
        <v>35</v>
      </c>
      <c r="C662" t="s">
        <v>90</v>
      </c>
      <c r="D662" t="s">
        <v>81</v>
      </c>
      <c r="E662" t="s">
        <v>120</v>
      </c>
      <c r="F662" t="s">
        <v>73</v>
      </c>
      <c r="G662" t="s">
        <v>74</v>
      </c>
      <c r="H662" t="s">
        <v>108</v>
      </c>
      <c r="I662" t="s">
        <v>84</v>
      </c>
      <c r="J662" s="4">
        <v>5.6700291220540041E-3</v>
      </c>
    </row>
    <row r="663" spans="1:10" x14ac:dyDescent="0.35">
      <c r="A663" t="s">
        <v>18</v>
      </c>
      <c r="B663" t="s">
        <v>35</v>
      </c>
      <c r="C663" t="s">
        <v>90</v>
      </c>
      <c r="D663" t="s">
        <v>81</v>
      </c>
      <c r="E663" s="77" t="s">
        <v>121</v>
      </c>
      <c r="F663" t="s">
        <v>73</v>
      </c>
      <c r="G663" t="s">
        <v>74</v>
      </c>
      <c r="H663" t="s">
        <v>108</v>
      </c>
      <c r="I663" t="s">
        <v>84</v>
      </c>
      <c r="J663" s="4">
        <f>'SUT_EU27 total'!$K$59</f>
        <v>0</v>
      </c>
    </row>
    <row r="664" spans="1:10" x14ac:dyDescent="0.35">
      <c r="A664" t="s">
        <v>18</v>
      </c>
      <c r="B664" t="s">
        <v>35</v>
      </c>
      <c r="C664" t="s">
        <v>90</v>
      </c>
      <c r="D664" t="s">
        <v>81</v>
      </c>
      <c r="E664" t="s">
        <v>117</v>
      </c>
      <c r="F664" t="s">
        <v>73</v>
      </c>
      <c r="G664" t="s">
        <v>74</v>
      </c>
      <c r="H664" t="s">
        <v>108</v>
      </c>
      <c r="I664" t="s">
        <v>84</v>
      </c>
      <c r="J664" s="76">
        <f>'SUT_EU27 total'!$K$61</f>
        <v>1.1930979242119881E-3</v>
      </c>
    </row>
    <row r="665" spans="1:10" x14ac:dyDescent="0.35">
      <c r="A665" t="s">
        <v>18</v>
      </c>
      <c r="B665" t="s">
        <v>35</v>
      </c>
      <c r="C665" t="s">
        <v>90</v>
      </c>
      <c r="D665" t="s">
        <v>81</v>
      </c>
      <c r="E665" t="s">
        <v>122</v>
      </c>
      <c r="F665" t="s">
        <v>73</v>
      </c>
      <c r="G665" t="s">
        <v>74</v>
      </c>
      <c r="H665" t="s">
        <v>108</v>
      </c>
      <c r="I665" t="s">
        <v>84</v>
      </c>
      <c r="J665" s="76">
        <f>'SUT_EU27 total'!$K$64</f>
        <v>2.5776238002378116E-3</v>
      </c>
    </row>
    <row r="666" spans="1:10" x14ac:dyDescent="0.35">
      <c r="A666" t="s">
        <v>18</v>
      </c>
      <c r="B666" t="s">
        <v>35</v>
      </c>
      <c r="C666" t="s">
        <v>90</v>
      </c>
      <c r="D666" t="s">
        <v>81</v>
      </c>
      <c r="E666" t="s">
        <v>101</v>
      </c>
      <c r="F666" t="s">
        <v>73</v>
      </c>
      <c r="G666" t="s">
        <v>74</v>
      </c>
      <c r="H666" t="s">
        <v>108</v>
      </c>
      <c r="I666" t="s">
        <v>84</v>
      </c>
      <c r="J666" s="4" cm="1">
        <f t="array" ref="J666:J668">'SUT_EU27 total'!$K$66:$K$68</f>
        <v>0</v>
      </c>
    </row>
    <row r="667" spans="1:10" x14ac:dyDescent="0.35">
      <c r="A667" t="s">
        <v>18</v>
      </c>
      <c r="B667" t="s">
        <v>35</v>
      </c>
      <c r="C667" t="s">
        <v>90</v>
      </c>
      <c r="D667" t="s">
        <v>81</v>
      </c>
      <c r="E667" t="s">
        <v>104</v>
      </c>
      <c r="F667" t="s">
        <v>73</v>
      </c>
      <c r="G667" t="s">
        <v>74</v>
      </c>
      <c r="H667" t="s">
        <v>108</v>
      </c>
      <c r="I667" t="s">
        <v>84</v>
      </c>
      <c r="J667" s="4">
        <v>0</v>
      </c>
    </row>
    <row r="668" spans="1:10" x14ac:dyDescent="0.35">
      <c r="A668" t="s">
        <v>18</v>
      </c>
      <c r="B668" t="s">
        <v>35</v>
      </c>
      <c r="C668" t="s">
        <v>90</v>
      </c>
      <c r="D668" t="s">
        <v>81</v>
      </c>
      <c r="E668" t="s">
        <v>106</v>
      </c>
      <c r="F668" t="s">
        <v>73</v>
      </c>
      <c r="G668" t="s">
        <v>74</v>
      </c>
      <c r="H668" t="s">
        <v>108</v>
      </c>
      <c r="I668" t="s">
        <v>84</v>
      </c>
      <c r="J668" s="4">
        <v>0</v>
      </c>
    </row>
    <row r="669" spans="1:10" x14ac:dyDescent="0.35">
      <c r="A669" t="s">
        <v>18</v>
      </c>
      <c r="B669" t="s">
        <v>35</v>
      </c>
      <c r="C669" t="s">
        <v>91</v>
      </c>
      <c r="D669" t="s">
        <v>81</v>
      </c>
      <c r="E669" t="s">
        <v>118</v>
      </c>
      <c r="F669" t="s">
        <v>73</v>
      </c>
      <c r="G669" t="s">
        <v>74</v>
      </c>
      <c r="H669" t="s">
        <v>108</v>
      </c>
      <c r="I669" t="s">
        <v>84</v>
      </c>
      <c r="J669" s="76" cm="1">
        <f t="array" ref="J669:J671">'SUT_EU27 total'!$K$72:$K$74</f>
        <v>5.3791732332439677E-3</v>
      </c>
    </row>
    <row r="670" spans="1:10" x14ac:dyDescent="0.35">
      <c r="A670" t="s">
        <v>18</v>
      </c>
      <c r="B670" t="s">
        <v>35</v>
      </c>
      <c r="C670" t="s">
        <v>91</v>
      </c>
      <c r="D670" t="s">
        <v>81</v>
      </c>
      <c r="E670" t="s">
        <v>119</v>
      </c>
      <c r="F670" t="s">
        <v>73</v>
      </c>
      <c r="G670" t="s">
        <v>74</v>
      </c>
      <c r="H670" t="s">
        <v>108</v>
      </c>
      <c r="I670" t="s">
        <v>84</v>
      </c>
      <c r="J670" s="4">
        <v>6.5526133182607291E-3</v>
      </c>
    </row>
    <row r="671" spans="1:10" x14ac:dyDescent="0.35">
      <c r="A671" t="s">
        <v>18</v>
      </c>
      <c r="B671" t="s">
        <v>35</v>
      </c>
      <c r="C671" t="s">
        <v>91</v>
      </c>
      <c r="D671" t="s">
        <v>81</v>
      </c>
      <c r="E671" t="s">
        <v>120</v>
      </c>
      <c r="F671" t="s">
        <v>73</v>
      </c>
      <c r="G671" t="s">
        <v>74</v>
      </c>
      <c r="H671" t="s">
        <v>108</v>
      </c>
      <c r="I671" t="s">
        <v>84</v>
      </c>
      <c r="J671" s="4">
        <v>2.464950959887623E-4</v>
      </c>
    </row>
    <row r="672" spans="1:10" x14ac:dyDescent="0.35">
      <c r="A672" t="s">
        <v>18</v>
      </c>
      <c r="B672" t="s">
        <v>35</v>
      </c>
      <c r="C672" t="s">
        <v>91</v>
      </c>
      <c r="D672" t="s">
        <v>81</v>
      </c>
      <c r="E672" s="77" t="s">
        <v>121</v>
      </c>
      <c r="F672" t="s">
        <v>73</v>
      </c>
      <c r="G672" t="s">
        <v>74</v>
      </c>
      <c r="H672" t="s">
        <v>108</v>
      </c>
      <c r="I672" t="s">
        <v>84</v>
      </c>
      <c r="J672" s="4">
        <f>'SUT_EU27 total'!$K$76</f>
        <v>0</v>
      </c>
    </row>
    <row r="673" spans="1:10" x14ac:dyDescent="0.35">
      <c r="A673" t="s">
        <v>18</v>
      </c>
      <c r="B673" t="s">
        <v>35</v>
      </c>
      <c r="C673" t="s">
        <v>91</v>
      </c>
      <c r="D673" t="s">
        <v>81</v>
      </c>
      <c r="E673" t="s">
        <v>117</v>
      </c>
      <c r="F673" t="s">
        <v>73</v>
      </c>
      <c r="G673" t="s">
        <v>74</v>
      </c>
      <c r="H673" t="s">
        <v>108</v>
      </c>
      <c r="I673" t="s">
        <v>84</v>
      </c>
      <c r="J673" s="76">
        <f>'SUT_EU27 total'!$K$78</f>
        <v>1.1485683451306521E-3</v>
      </c>
    </row>
    <row r="674" spans="1:10" x14ac:dyDescent="0.35">
      <c r="A674" t="s">
        <v>18</v>
      </c>
      <c r="B674" t="s">
        <v>35</v>
      </c>
      <c r="C674" t="s">
        <v>91</v>
      </c>
      <c r="D674" t="s">
        <v>81</v>
      </c>
      <c r="E674" t="s">
        <v>122</v>
      </c>
      <c r="F674" t="s">
        <v>73</v>
      </c>
      <c r="G674" t="s">
        <v>74</v>
      </c>
      <c r="H674" t="s">
        <v>108</v>
      </c>
      <c r="I674" t="s">
        <v>84</v>
      </c>
      <c r="J674" s="76">
        <f>'SUT_EU27 total'!$K$81</f>
        <v>0</v>
      </c>
    </row>
    <row r="675" spans="1:10" x14ac:dyDescent="0.35">
      <c r="A675" t="s">
        <v>18</v>
      </c>
      <c r="B675" t="s">
        <v>35</v>
      </c>
      <c r="C675" t="s">
        <v>91</v>
      </c>
      <c r="D675" t="s">
        <v>81</v>
      </c>
      <c r="E675" t="s">
        <v>101</v>
      </c>
      <c r="F675" t="s">
        <v>73</v>
      </c>
      <c r="G675" t="s">
        <v>74</v>
      </c>
      <c r="H675" t="s">
        <v>108</v>
      </c>
      <c r="I675" t="s">
        <v>84</v>
      </c>
      <c r="J675" s="4" cm="1">
        <f t="array" ref="J675:J677">'SUT_EU27 total'!$K$83:$K$85</f>
        <v>0</v>
      </c>
    </row>
    <row r="676" spans="1:10" x14ac:dyDescent="0.35">
      <c r="A676" t="s">
        <v>18</v>
      </c>
      <c r="B676" t="s">
        <v>35</v>
      </c>
      <c r="C676" t="s">
        <v>91</v>
      </c>
      <c r="D676" t="s">
        <v>81</v>
      </c>
      <c r="E676" t="s">
        <v>104</v>
      </c>
      <c r="F676" t="s">
        <v>73</v>
      </c>
      <c r="G676" t="s">
        <v>74</v>
      </c>
      <c r="H676" t="s">
        <v>108</v>
      </c>
      <c r="I676" t="s">
        <v>84</v>
      </c>
      <c r="J676" s="4">
        <v>0</v>
      </c>
    </row>
    <row r="677" spans="1:10" x14ac:dyDescent="0.35">
      <c r="A677" t="s">
        <v>18</v>
      </c>
      <c r="B677" t="s">
        <v>35</v>
      </c>
      <c r="C677" t="s">
        <v>91</v>
      </c>
      <c r="D677" t="s">
        <v>81</v>
      </c>
      <c r="E677" t="s">
        <v>106</v>
      </c>
      <c r="F677" t="s">
        <v>73</v>
      </c>
      <c r="G677" t="s">
        <v>74</v>
      </c>
      <c r="H677" t="s">
        <v>108</v>
      </c>
      <c r="I677" t="s">
        <v>84</v>
      </c>
      <c r="J677" s="4">
        <v>0</v>
      </c>
    </row>
    <row r="678" spans="1:10" x14ac:dyDescent="0.35">
      <c r="A678" t="s">
        <v>18</v>
      </c>
      <c r="B678" t="s">
        <v>35</v>
      </c>
      <c r="C678" t="s">
        <v>92</v>
      </c>
      <c r="D678" t="s">
        <v>81</v>
      </c>
      <c r="E678" t="s">
        <v>118</v>
      </c>
      <c r="F678" t="s">
        <v>73</v>
      </c>
      <c r="G678" t="s">
        <v>74</v>
      </c>
      <c r="H678" t="s">
        <v>108</v>
      </c>
      <c r="I678" t="s">
        <v>84</v>
      </c>
      <c r="J678" s="76" cm="1">
        <f t="array" ref="J678:J680">'SUT_EU27 total'!$K$89:$K$91</f>
        <v>3.3497344343163542E-3</v>
      </c>
    </row>
    <row r="679" spans="1:10" x14ac:dyDescent="0.35">
      <c r="A679" t="s">
        <v>18</v>
      </c>
      <c r="B679" t="s">
        <v>35</v>
      </c>
      <c r="C679" t="s">
        <v>92</v>
      </c>
      <c r="D679" t="s">
        <v>81</v>
      </c>
      <c r="E679" t="s">
        <v>119</v>
      </c>
      <c r="F679" t="s">
        <v>73</v>
      </c>
      <c r="G679" t="s">
        <v>74</v>
      </c>
      <c r="H679" t="s">
        <v>108</v>
      </c>
      <c r="I679" t="s">
        <v>84</v>
      </c>
      <c r="J679" s="4">
        <v>6.0269323460777589E-3</v>
      </c>
    </row>
    <row r="680" spans="1:10" x14ac:dyDescent="0.35">
      <c r="A680" t="s">
        <v>18</v>
      </c>
      <c r="B680" t="s">
        <v>35</v>
      </c>
      <c r="C680" t="s">
        <v>92</v>
      </c>
      <c r="D680" t="s">
        <v>81</v>
      </c>
      <c r="E680" t="s">
        <v>120</v>
      </c>
      <c r="F680" t="s">
        <v>73</v>
      </c>
      <c r="G680" t="s">
        <v>74</v>
      </c>
      <c r="H680" t="s">
        <v>108</v>
      </c>
      <c r="I680" t="s">
        <v>84</v>
      </c>
      <c r="J680" s="4">
        <v>4.0947713992508196E-3</v>
      </c>
    </row>
    <row r="681" spans="1:10" x14ac:dyDescent="0.35">
      <c r="A681" t="s">
        <v>18</v>
      </c>
      <c r="B681" t="s">
        <v>35</v>
      </c>
      <c r="C681" t="s">
        <v>92</v>
      </c>
      <c r="D681" t="s">
        <v>81</v>
      </c>
      <c r="E681" s="77" t="s">
        <v>121</v>
      </c>
      <c r="F681" t="s">
        <v>73</v>
      </c>
      <c r="G681" t="s">
        <v>74</v>
      </c>
      <c r="H681" t="s">
        <v>108</v>
      </c>
      <c r="I681" t="s">
        <v>84</v>
      </c>
      <c r="J681" s="4">
        <f>'SUT_EU27 total'!$K$93</f>
        <v>0</v>
      </c>
    </row>
    <row r="682" spans="1:10" x14ac:dyDescent="0.35">
      <c r="A682" t="s">
        <v>18</v>
      </c>
      <c r="B682" t="s">
        <v>35</v>
      </c>
      <c r="C682" t="s">
        <v>92</v>
      </c>
      <c r="D682" t="s">
        <v>81</v>
      </c>
      <c r="E682" t="s">
        <v>117</v>
      </c>
      <c r="F682" t="s">
        <v>73</v>
      </c>
      <c r="G682" t="s">
        <v>74</v>
      </c>
      <c r="H682" t="s">
        <v>108</v>
      </c>
      <c r="I682" t="s">
        <v>84</v>
      </c>
      <c r="J682" s="4">
        <f>'SUT_EU27 total'!$K$95</f>
        <v>0</v>
      </c>
    </row>
    <row r="683" spans="1:10" x14ac:dyDescent="0.35">
      <c r="A683" t="s">
        <v>18</v>
      </c>
      <c r="B683" t="s">
        <v>35</v>
      </c>
      <c r="C683" t="s">
        <v>92</v>
      </c>
      <c r="D683" t="s">
        <v>81</v>
      </c>
      <c r="E683" t="s">
        <v>122</v>
      </c>
      <c r="F683" t="s">
        <v>73</v>
      </c>
      <c r="G683" t="s">
        <v>74</v>
      </c>
      <c r="H683" t="s">
        <v>108</v>
      </c>
      <c r="I683" t="s">
        <v>84</v>
      </c>
      <c r="J683" s="76">
        <f>'SUT_EU27 total'!$K$98</f>
        <v>0</v>
      </c>
    </row>
    <row r="684" spans="1:10" x14ac:dyDescent="0.35">
      <c r="A684" t="s">
        <v>18</v>
      </c>
      <c r="B684" t="s">
        <v>35</v>
      </c>
      <c r="C684" t="s">
        <v>92</v>
      </c>
      <c r="D684" t="s">
        <v>81</v>
      </c>
      <c r="E684" t="s">
        <v>101</v>
      </c>
      <c r="F684" t="s">
        <v>73</v>
      </c>
      <c r="G684" t="s">
        <v>74</v>
      </c>
      <c r="H684" t="s">
        <v>108</v>
      </c>
      <c r="I684" t="s">
        <v>84</v>
      </c>
      <c r="J684" s="4" cm="1">
        <f t="array" ref="J684:J686">'SUT_EU27 total'!$K$100:$K$102</f>
        <v>0</v>
      </c>
    </row>
    <row r="685" spans="1:10" x14ac:dyDescent="0.35">
      <c r="A685" t="s">
        <v>18</v>
      </c>
      <c r="B685" t="s">
        <v>35</v>
      </c>
      <c r="C685" t="s">
        <v>92</v>
      </c>
      <c r="D685" t="s">
        <v>81</v>
      </c>
      <c r="E685" t="s">
        <v>104</v>
      </c>
      <c r="F685" t="s">
        <v>73</v>
      </c>
      <c r="G685" t="s">
        <v>74</v>
      </c>
      <c r="H685" t="s">
        <v>108</v>
      </c>
      <c r="I685" t="s">
        <v>84</v>
      </c>
      <c r="J685" s="4">
        <v>0</v>
      </c>
    </row>
    <row r="686" spans="1:10" x14ac:dyDescent="0.35">
      <c r="A686" t="s">
        <v>18</v>
      </c>
      <c r="B686" t="s">
        <v>35</v>
      </c>
      <c r="C686" t="s">
        <v>92</v>
      </c>
      <c r="D686" t="s">
        <v>81</v>
      </c>
      <c r="E686" t="s">
        <v>106</v>
      </c>
      <c r="F686" t="s">
        <v>73</v>
      </c>
      <c r="G686" t="s">
        <v>74</v>
      </c>
      <c r="H686" t="s">
        <v>108</v>
      </c>
      <c r="I686" t="s">
        <v>84</v>
      </c>
      <c r="J686" s="4">
        <v>0</v>
      </c>
    </row>
    <row r="687" spans="1:10" x14ac:dyDescent="0.35">
      <c r="A687" t="s">
        <v>18</v>
      </c>
      <c r="B687" t="s">
        <v>35</v>
      </c>
      <c r="C687" t="s">
        <v>93</v>
      </c>
      <c r="D687" t="s">
        <v>81</v>
      </c>
      <c r="E687" t="s">
        <v>118</v>
      </c>
      <c r="F687" t="s">
        <v>73</v>
      </c>
      <c r="G687" t="s">
        <v>74</v>
      </c>
      <c r="H687" t="s">
        <v>108</v>
      </c>
      <c r="I687" t="s">
        <v>84</v>
      </c>
      <c r="J687" s="76" cm="1">
        <f t="array" ref="J687:J689">'SUT_EU27 total'!$K$106:$K$108</f>
        <v>1.4980971667560324E-2</v>
      </c>
    </row>
    <row r="688" spans="1:10" x14ac:dyDescent="0.35">
      <c r="A688" t="s">
        <v>18</v>
      </c>
      <c r="B688" t="s">
        <v>35</v>
      </c>
      <c r="C688" t="s">
        <v>93</v>
      </c>
      <c r="D688" t="s">
        <v>81</v>
      </c>
      <c r="E688" t="s">
        <v>119</v>
      </c>
      <c r="F688" t="s">
        <v>73</v>
      </c>
      <c r="G688" t="s">
        <v>74</v>
      </c>
      <c r="H688" t="s">
        <v>108</v>
      </c>
      <c r="I688" t="s">
        <v>84</v>
      </c>
      <c r="J688" s="4">
        <v>4.3405477873147885E-2</v>
      </c>
    </row>
    <row r="689" spans="1:10" x14ac:dyDescent="0.35">
      <c r="A689" t="s">
        <v>18</v>
      </c>
      <c r="B689" t="s">
        <v>35</v>
      </c>
      <c r="C689" t="s">
        <v>93</v>
      </c>
      <c r="D689" t="s">
        <v>81</v>
      </c>
      <c r="E689" t="s">
        <v>120</v>
      </c>
      <c r="F689" t="s">
        <v>73</v>
      </c>
      <c r="G689" t="s">
        <v>74</v>
      </c>
      <c r="H689" t="s">
        <v>108</v>
      </c>
      <c r="I689" t="s">
        <v>84</v>
      </c>
      <c r="J689" s="4">
        <v>2.1237093113781802E-2</v>
      </c>
    </row>
    <row r="690" spans="1:10" x14ac:dyDescent="0.35">
      <c r="A690" t="s">
        <v>18</v>
      </c>
      <c r="B690" t="s">
        <v>35</v>
      </c>
      <c r="C690" t="s">
        <v>93</v>
      </c>
      <c r="D690" t="s">
        <v>81</v>
      </c>
      <c r="E690" s="77" t="s">
        <v>121</v>
      </c>
      <c r="F690" t="s">
        <v>73</v>
      </c>
      <c r="G690" t="s">
        <v>74</v>
      </c>
      <c r="H690" t="s">
        <v>108</v>
      </c>
      <c r="I690" t="s">
        <v>84</v>
      </c>
      <c r="J690" s="4">
        <f>'SUT_EU27 total'!$K$110</f>
        <v>0</v>
      </c>
    </row>
    <row r="691" spans="1:10" x14ac:dyDescent="0.35">
      <c r="A691" t="s">
        <v>18</v>
      </c>
      <c r="B691" t="s">
        <v>35</v>
      </c>
      <c r="C691" t="s">
        <v>93</v>
      </c>
      <c r="D691" t="s">
        <v>81</v>
      </c>
      <c r="E691" t="s">
        <v>117</v>
      </c>
      <c r="F691" t="s">
        <v>73</v>
      </c>
      <c r="G691" t="s">
        <v>74</v>
      </c>
      <c r="H691" t="s">
        <v>108</v>
      </c>
      <c r="I691" t="s">
        <v>84</v>
      </c>
      <c r="J691" s="76">
        <f>'SUT_EU27 total'!$K$112</f>
        <v>1.1930984723440377E-3</v>
      </c>
    </row>
    <row r="692" spans="1:10" x14ac:dyDescent="0.35">
      <c r="A692" t="s">
        <v>18</v>
      </c>
      <c r="B692" t="s">
        <v>35</v>
      </c>
      <c r="C692" t="s">
        <v>93</v>
      </c>
      <c r="D692" t="s">
        <v>81</v>
      </c>
      <c r="E692" t="s">
        <v>122</v>
      </c>
      <c r="F692" t="s">
        <v>73</v>
      </c>
      <c r="G692" t="s">
        <v>74</v>
      </c>
      <c r="H692" t="s">
        <v>108</v>
      </c>
      <c r="I692" t="s">
        <v>84</v>
      </c>
      <c r="J692" s="76">
        <f>'SUT_EU27 total'!$K$115</f>
        <v>8.7987828585017833E-3</v>
      </c>
    </row>
    <row r="693" spans="1:10" x14ac:dyDescent="0.35">
      <c r="A693" t="s">
        <v>18</v>
      </c>
      <c r="B693" t="s">
        <v>35</v>
      </c>
      <c r="C693" t="s">
        <v>93</v>
      </c>
      <c r="D693" t="s">
        <v>81</v>
      </c>
      <c r="E693" t="s">
        <v>101</v>
      </c>
      <c r="F693" t="s">
        <v>73</v>
      </c>
      <c r="G693" t="s">
        <v>74</v>
      </c>
      <c r="H693" t="s">
        <v>108</v>
      </c>
      <c r="I693" t="s">
        <v>84</v>
      </c>
      <c r="J693" s="4" cm="1">
        <f t="array" ref="J693:J695">'SUT_EU27 total'!$K$117:$K$119</f>
        <v>0</v>
      </c>
    </row>
    <row r="694" spans="1:10" x14ac:dyDescent="0.35">
      <c r="A694" t="s">
        <v>18</v>
      </c>
      <c r="B694" t="s">
        <v>35</v>
      </c>
      <c r="C694" t="s">
        <v>93</v>
      </c>
      <c r="D694" t="s">
        <v>81</v>
      </c>
      <c r="E694" t="s">
        <v>104</v>
      </c>
      <c r="F694" t="s">
        <v>73</v>
      </c>
      <c r="G694" t="s">
        <v>74</v>
      </c>
      <c r="H694" t="s">
        <v>108</v>
      </c>
      <c r="I694" t="s">
        <v>84</v>
      </c>
      <c r="J694" s="4">
        <v>0</v>
      </c>
    </row>
    <row r="695" spans="1:10" x14ac:dyDescent="0.35">
      <c r="A695" t="s">
        <v>18</v>
      </c>
      <c r="B695" t="s">
        <v>35</v>
      </c>
      <c r="C695" t="s">
        <v>93</v>
      </c>
      <c r="D695" t="s">
        <v>81</v>
      </c>
      <c r="E695" t="s">
        <v>106</v>
      </c>
      <c r="F695" t="s">
        <v>73</v>
      </c>
      <c r="G695" t="s">
        <v>74</v>
      </c>
      <c r="H695" t="s">
        <v>108</v>
      </c>
      <c r="I695" t="s">
        <v>84</v>
      </c>
      <c r="J695" s="4">
        <v>0</v>
      </c>
    </row>
    <row r="696" spans="1:10" x14ac:dyDescent="0.35">
      <c r="A696" t="s">
        <v>18</v>
      </c>
      <c r="B696" t="s">
        <v>35</v>
      </c>
      <c r="C696" t="s">
        <v>73</v>
      </c>
      <c r="D696" t="s">
        <v>81</v>
      </c>
      <c r="E696" t="s">
        <v>119</v>
      </c>
      <c r="F696" t="s">
        <v>73</v>
      </c>
      <c r="G696" t="s">
        <v>74</v>
      </c>
      <c r="H696" t="s">
        <v>123</v>
      </c>
      <c r="I696" t="s">
        <v>84</v>
      </c>
      <c r="J696" s="76">
        <f>'SUT_EU27 total'!$L$22</f>
        <v>1.9500181678711294E-2</v>
      </c>
    </row>
    <row r="697" spans="1:10" x14ac:dyDescent="0.35">
      <c r="A697" t="s">
        <v>18</v>
      </c>
      <c r="B697" t="s">
        <v>35</v>
      </c>
      <c r="C697" t="s">
        <v>73</v>
      </c>
      <c r="D697" t="s">
        <v>81</v>
      </c>
      <c r="E697" t="s">
        <v>124</v>
      </c>
      <c r="F697" t="s">
        <v>73</v>
      </c>
      <c r="G697" t="s">
        <v>74</v>
      </c>
      <c r="H697" t="s">
        <v>123</v>
      </c>
      <c r="I697" t="s">
        <v>84</v>
      </c>
      <c r="J697" s="76" cm="1">
        <f t="array" ref="J697:J705">'SUT_EU27 total'!$L$26:$L$34</f>
        <v>1.9404661061278542E-3</v>
      </c>
    </row>
    <row r="698" spans="1:10" x14ac:dyDescent="0.35">
      <c r="A698" t="s">
        <v>18</v>
      </c>
      <c r="B698" t="s">
        <v>35</v>
      </c>
      <c r="C698" t="s">
        <v>73</v>
      </c>
      <c r="D698" t="s">
        <v>81</v>
      </c>
      <c r="E698" t="s">
        <v>117</v>
      </c>
      <c r="F698" t="s">
        <v>73</v>
      </c>
      <c r="G698" t="s">
        <v>74</v>
      </c>
      <c r="H698" t="s">
        <v>123</v>
      </c>
      <c r="I698" t="s">
        <v>84</v>
      </c>
      <c r="J698" s="4">
        <v>5.8423628191201782E-3</v>
      </c>
    </row>
    <row r="699" spans="1:10" x14ac:dyDescent="0.35">
      <c r="A699" t="s">
        <v>18</v>
      </c>
      <c r="B699" t="s">
        <v>35</v>
      </c>
      <c r="C699" t="s">
        <v>73</v>
      </c>
      <c r="D699" t="s">
        <v>81</v>
      </c>
      <c r="E699" t="s">
        <v>82</v>
      </c>
      <c r="F699" t="s">
        <v>73</v>
      </c>
      <c r="G699" t="s">
        <v>74</v>
      </c>
      <c r="H699" t="s">
        <v>123</v>
      </c>
      <c r="I699" t="s">
        <v>84</v>
      </c>
      <c r="J699" s="4">
        <v>4.8981233243967828E-4</v>
      </c>
    </row>
    <row r="700" spans="1:10" x14ac:dyDescent="0.35">
      <c r="A700" t="s">
        <v>18</v>
      </c>
      <c r="B700" t="s">
        <v>35</v>
      </c>
      <c r="C700" t="s">
        <v>73</v>
      </c>
      <c r="D700" t="s">
        <v>81</v>
      </c>
      <c r="E700" t="s">
        <v>125</v>
      </c>
      <c r="F700" t="s">
        <v>73</v>
      </c>
      <c r="G700" t="s">
        <v>74</v>
      </c>
      <c r="H700" t="s">
        <v>123</v>
      </c>
      <c r="I700" t="s">
        <v>84</v>
      </c>
      <c r="J700" s="4">
        <v>2.4658201215687387E-3</v>
      </c>
    </row>
    <row r="701" spans="1:10" x14ac:dyDescent="0.35">
      <c r="A701" t="s">
        <v>18</v>
      </c>
      <c r="B701" t="s">
        <v>35</v>
      </c>
      <c r="C701" t="s">
        <v>73</v>
      </c>
      <c r="D701" t="s">
        <v>81</v>
      </c>
      <c r="E701" t="s">
        <v>122</v>
      </c>
      <c r="F701" t="s">
        <v>73</v>
      </c>
      <c r="G701" t="s">
        <v>74</v>
      </c>
      <c r="H701" t="s">
        <v>123</v>
      </c>
      <c r="I701" t="s">
        <v>84</v>
      </c>
      <c r="J701" s="4">
        <v>4.922711058263972E-4</v>
      </c>
    </row>
    <row r="702" spans="1:10" x14ac:dyDescent="0.35">
      <c r="A702" t="s">
        <v>18</v>
      </c>
      <c r="B702" t="s">
        <v>35</v>
      </c>
      <c r="C702" t="s">
        <v>73</v>
      </c>
      <c r="D702" t="s">
        <v>81</v>
      </c>
      <c r="E702" t="s">
        <v>126</v>
      </c>
      <c r="F702" t="s">
        <v>73</v>
      </c>
      <c r="G702" t="s">
        <v>74</v>
      </c>
      <c r="H702" t="s">
        <v>123</v>
      </c>
      <c r="I702" t="s">
        <v>84</v>
      </c>
      <c r="J702" s="4">
        <v>0</v>
      </c>
    </row>
    <row r="703" spans="1:10" x14ac:dyDescent="0.35">
      <c r="A703" t="s">
        <v>18</v>
      </c>
      <c r="B703" t="s">
        <v>35</v>
      </c>
      <c r="C703" t="s">
        <v>73</v>
      </c>
      <c r="D703" t="s">
        <v>81</v>
      </c>
      <c r="E703" t="s">
        <v>101</v>
      </c>
      <c r="F703" t="s">
        <v>73</v>
      </c>
      <c r="G703" t="s">
        <v>74</v>
      </c>
      <c r="H703" t="s">
        <v>123</v>
      </c>
      <c r="I703" t="s">
        <v>84</v>
      </c>
      <c r="J703" s="76">
        <v>3.7860913795851507E-4</v>
      </c>
    </row>
    <row r="704" spans="1:10" x14ac:dyDescent="0.35">
      <c r="A704" t="s">
        <v>18</v>
      </c>
      <c r="B704" t="s">
        <v>35</v>
      </c>
      <c r="C704" t="s">
        <v>73</v>
      </c>
      <c r="D704" t="s">
        <v>81</v>
      </c>
      <c r="E704" t="s">
        <v>104</v>
      </c>
      <c r="F704" t="s">
        <v>73</v>
      </c>
      <c r="G704" t="s">
        <v>74</v>
      </c>
      <c r="H704" t="s">
        <v>123</v>
      </c>
      <c r="I704" t="s">
        <v>84</v>
      </c>
      <c r="J704" s="4">
        <v>7.1686251377883477E-4</v>
      </c>
    </row>
    <row r="705" spans="1:10" x14ac:dyDescent="0.35">
      <c r="A705" t="s">
        <v>18</v>
      </c>
      <c r="B705" t="s">
        <v>35</v>
      </c>
      <c r="C705" t="s">
        <v>73</v>
      </c>
      <c r="D705" t="s">
        <v>81</v>
      </c>
      <c r="E705" t="s">
        <v>106</v>
      </c>
      <c r="F705" t="s">
        <v>73</v>
      </c>
      <c r="G705" t="s">
        <v>74</v>
      </c>
      <c r="H705" t="s">
        <v>123</v>
      </c>
      <c r="I705" t="s">
        <v>84</v>
      </c>
      <c r="J705" s="4">
        <v>2.438307869996036E-3</v>
      </c>
    </row>
    <row r="706" spans="1:10" x14ac:dyDescent="0.35">
      <c r="A706" t="s">
        <v>18</v>
      </c>
      <c r="B706" t="s">
        <v>35</v>
      </c>
      <c r="C706" t="s">
        <v>88</v>
      </c>
      <c r="D706" t="s">
        <v>81</v>
      </c>
      <c r="E706" t="s">
        <v>119</v>
      </c>
      <c r="F706" t="s">
        <v>73</v>
      </c>
      <c r="G706" t="s">
        <v>74</v>
      </c>
      <c r="H706" t="s">
        <v>123</v>
      </c>
      <c r="I706" t="s">
        <v>84</v>
      </c>
      <c r="J706" s="76">
        <f>'SUT_EU27 total'!$L$39</f>
        <v>0.16108845734587587</v>
      </c>
    </row>
    <row r="707" spans="1:10" x14ac:dyDescent="0.35">
      <c r="A707" t="s">
        <v>18</v>
      </c>
      <c r="B707" t="s">
        <v>35</v>
      </c>
      <c r="C707" t="s">
        <v>88</v>
      </c>
      <c r="D707" t="s">
        <v>81</v>
      </c>
      <c r="E707" t="s">
        <v>124</v>
      </c>
      <c r="F707" t="s">
        <v>73</v>
      </c>
      <c r="G707" t="s">
        <v>74</v>
      </c>
      <c r="H707" t="s">
        <v>123</v>
      </c>
      <c r="I707" t="s">
        <v>84</v>
      </c>
      <c r="J707" s="76" cm="1">
        <f t="array" ref="J707:J715">'SUT_EU27 total'!$M$43:$M$51</f>
        <v>5.0558836222750793E-4</v>
      </c>
    </row>
    <row r="708" spans="1:10" x14ac:dyDescent="0.35">
      <c r="A708" t="s">
        <v>18</v>
      </c>
      <c r="B708" t="s">
        <v>35</v>
      </c>
      <c r="C708" t="s">
        <v>88</v>
      </c>
      <c r="D708" t="s">
        <v>81</v>
      </c>
      <c r="E708" t="s">
        <v>117</v>
      </c>
      <c r="F708" t="s">
        <v>73</v>
      </c>
      <c r="G708" t="s">
        <v>74</v>
      </c>
      <c r="H708" t="s">
        <v>123</v>
      </c>
      <c r="I708" t="s">
        <v>84</v>
      </c>
      <c r="J708" s="4">
        <v>4.8514464106651379E-3</v>
      </c>
    </row>
    <row r="709" spans="1:10" x14ac:dyDescent="0.35">
      <c r="A709" t="s">
        <v>18</v>
      </c>
      <c r="B709" t="s">
        <v>35</v>
      </c>
      <c r="C709" t="s">
        <v>88</v>
      </c>
      <c r="D709" t="s">
        <v>81</v>
      </c>
      <c r="E709" t="s">
        <v>82</v>
      </c>
      <c r="F709" t="s">
        <v>73</v>
      </c>
      <c r="G709" t="s">
        <v>74</v>
      </c>
      <c r="H709" t="s">
        <v>123</v>
      </c>
      <c r="I709" t="s">
        <v>84</v>
      </c>
      <c r="J709" s="4">
        <v>1.109418436791091E-2</v>
      </c>
    </row>
    <row r="710" spans="1:10" x14ac:dyDescent="0.35">
      <c r="A710" t="s">
        <v>18</v>
      </c>
      <c r="B710" t="s">
        <v>35</v>
      </c>
      <c r="C710" t="s">
        <v>88</v>
      </c>
      <c r="D710" t="s">
        <v>81</v>
      </c>
      <c r="E710" t="s">
        <v>125</v>
      </c>
      <c r="F710" t="s">
        <v>73</v>
      </c>
      <c r="G710" t="s">
        <v>74</v>
      </c>
      <c r="H710" t="s">
        <v>123</v>
      </c>
      <c r="I710" t="s">
        <v>84</v>
      </c>
      <c r="J710" s="4">
        <v>2.890870278990243E-5</v>
      </c>
    </row>
    <row r="711" spans="1:10" x14ac:dyDescent="0.35">
      <c r="A711" t="s">
        <v>18</v>
      </c>
      <c r="B711" t="s">
        <v>35</v>
      </c>
      <c r="C711" t="s">
        <v>88</v>
      </c>
      <c r="D711" t="s">
        <v>81</v>
      </c>
      <c r="E711" t="s">
        <v>122</v>
      </c>
      <c r="F711" t="s">
        <v>73</v>
      </c>
      <c r="G711" t="s">
        <v>74</v>
      </c>
      <c r="H711" t="s">
        <v>123</v>
      </c>
      <c r="I711" t="s">
        <v>84</v>
      </c>
      <c r="J711" s="4">
        <v>0</v>
      </c>
    </row>
    <row r="712" spans="1:10" x14ac:dyDescent="0.35">
      <c r="A712" t="s">
        <v>18</v>
      </c>
      <c r="B712" t="s">
        <v>35</v>
      </c>
      <c r="C712" t="s">
        <v>88</v>
      </c>
      <c r="D712" t="s">
        <v>81</v>
      </c>
      <c r="E712" t="s">
        <v>126</v>
      </c>
      <c r="F712" t="s">
        <v>73</v>
      </c>
      <c r="G712" t="s">
        <v>74</v>
      </c>
      <c r="H712" t="s">
        <v>123</v>
      </c>
      <c r="I712" t="s">
        <v>84</v>
      </c>
      <c r="J712" s="4">
        <v>2.8514320987501449E-3</v>
      </c>
    </row>
    <row r="713" spans="1:10" x14ac:dyDescent="0.35">
      <c r="A713" t="s">
        <v>18</v>
      </c>
      <c r="B713" t="s">
        <v>35</v>
      </c>
      <c r="C713" t="s">
        <v>88</v>
      </c>
      <c r="D713" t="s">
        <v>81</v>
      </c>
      <c r="E713" t="s">
        <v>101</v>
      </c>
      <c r="F713" t="s">
        <v>73</v>
      </c>
      <c r="G713" t="s">
        <v>74</v>
      </c>
      <c r="H713" t="s">
        <v>123</v>
      </c>
      <c r="I713" t="s">
        <v>84</v>
      </c>
      <c r="J713" s="4">
        <v>0</v>
      </c>
    </row>
    <row r="714" spans="1:10" x14ac:dyDescent="0.35">
      <c r="A714" t="s">
        <v>18</v>
      </c>
      <c r="B714" t="s">
        <v>35</v>
      </c>
      <c r="C714" t="s">
        <v>88</v>
      </c>
      <c r="D714" t="s">
        <v>81</v>
      </c>
      <c r="E714" t="s">
        <v>104</v>
      </c>
      <c r="F714" t="s">
        <v>73</v>
      </c>
      <c r="G714" t="s">
        <v>74</v>
      </c>
      <c r="H714" t="s">
        <v>123</v>
      </c>
      <c r="I714" t="s">
        <v>84</v>
      </c>
      <c r="J714" s="4">
        <v>0</v>
      </c>
    </row>
    <row r="715" spans="1:10" x14ac:dyDescent="0.35">
      <c r="A715" t="s">
        <v>18</v>
      </c>
      <c r="B715" t="s">
        <v>35</v>
      </c>
      <c r="C715" t="s">
        <v>88</v>
      </c>
      <c r="D715" t="s">
        <v>81</v>
      </c>
      <c r="E715" t="s">
        <v>106</v>
      </c>
      <c r="F715" t="s">
        <v>73</v>
      </c>
      <c r="G715" t="s">
        <v>74</v>
      </c>
      <c r="H715" t="s">
        <v>123</v>
      </c>
      <c r="I715" t="s">
        <v>84</v>
      </c>
      <c r="J715" s="4">
        <v>0</v>
      </c>
    </row>
    <row r="716" spans="1:10" x14ac:dyDescent="0.35">
      <c r="A716" t="s">
        <v>18</v>
      </c>
      <c r="B716" t="s">
        <v>35</v>
      </c>
      <c r="C716" t="s">
        <v>90</v>
      </c>
      <c r="D716" t="s">
        <v>81</v>
      </c>
      <c r="E716" t="s">
        <v>119</v>
      </c>
      <c r="F716" t="s">
        <v>73</v>
      </c>
      <c r="G716" t="s">
        <v>74</v>
      </c>
      <c r="H716" t="s">
        <v>123</v>
      </c>
      <c r="I716" t="s">
        <v>84</v>
      </c>
      <c r="J716" s="76">
        <f>'SUT_EU27 total'!$M$56</f>
        <v>2.949251079979006E-2</v>
      </c>
    </row>
    <row r="717" spans="1:10" x14ac:dyDescent="0.35">
      <c r="A717" t="s">
        <v>18</v>
      </c>
      <c r="B717" t="s">
        <v>35</v>
      </c>
      <c r="C717" t="s">
        <v>90</v>
      </c>
      <c r="D717" t="s">
        <v>81</v>
      </c>
      <c r="E717" t="s">
        <v>124</v>
      </c>
      <c r="F717" t="s">
        <v>73</v>
      </c>
      <c r="G717" t="s">
        <v>74</v>
      </c>
      <c r="H717" t="s">
        <v>123</v>
      </c>
      <c r="I717" t="s">
        <v>84</v>
      </c>
      <c r="J717" s="76" cm="1">
        <f t="array" ref="J717:J725">'SUT_EU27 total'!$L$60:$L$68</f>
        <v>2.1047443073980527E-5</v>
      </c>
    </row>
    <row r="718" spans="1:10" x14ac:dyDescent="0.35">
      <c r="A718" t="s">
        <v>18</v>
      </c>
      <c r="B718" t="s">
        <v>35</v>
      </c>
      <c r="C718" t="s">
        <v>90</v>
      </c>
      <c r="D718" t="s">
        <v>81</v>
      </c>
      <c r="E718" t="s">
        <v>117</v>
      </c>
      <c r="F718" t="s">
        <v>73</v>
      </c>
      <c r="G718" t="s">
        <v>74</v>
      </c>
      <c r="H718" t="s">
        <v>123</v>
      </c>
      <c r="I718" t="s">
        <v>84</v>
      </c>
      <c r="J718" s="4">
        <v>5.8414015621608938E-3</v>
      </c>
    </row>
    <row r="719" spans="1:10" x14ac:dyDescent="0.35">
      <c r="A719" t="s">
        <v>18</v>
      </c>
      <c r="B719" t="s">
        <v>35</v>
      </c>
      <c r="C719" t="s">
        <v>90</v>
      </c>
      <c r="D719" t="s">
        <v>81</v>
      </c>
      <c r="E719" t="s">
        <v>82</v>
      </c>
      <c r="F719" t="s">
        <v>73</v>
      </c>
      <c r="G719" t="s">
        <v>74</v>
      </c>
      <c r="H719" t="s">
        <v>123</v>
      </c>
      <c r="I719" t="s">
        <v>84</v>
      </c>
      <c r="J719" s="4">
        <v>1.4521138379047227E-3</v>
      </c>
    </row>
    <row r="720" spans="1:10" x14ac:dyDescent="0.35">
      <c r="A720" t="s">
        <v>18</v>
      </c>
      <c r="B720" t="s">
        <v>35</v>
      </c>
      <c r="C720" t="s">
        <v>90</v>
      </c>
      <c r="D720" t="s">
        <v>81</v>
      </c>
      <c r="E720" t="s">
        <v>125</v>
      </c>
      <c r="F720" t="s">
        <v>73</v>
      </c>
      <c r="G720" t="s">
        <v>74</v>
      </c>
      <c r="H720" t="s">
        <v>123</v>
      </c>
      <c r="I720" t="s">
        <v>84</v>
      </c>
      <c r="J720" s="4">
        <v>6.5130870114372285E-5</v>
      </c>
    </row>
    <row r="721" spans="1:10" x14ac:dyDescent="0.35">
      <c r="A721" t="s">
        <v>18</v>
      </c>
      <c r="B721" t="s">
        <v>35</v>
      </c>
      <c r="C721" t="s">
        <v>90</v>
      </c>
      <c r="D721" t="s">
        <v>81</v>
      </c>
      <c r="E721" t="s">
        <v>122</v>
      </c>
      <c r="F721" t="s">
        <v>73</v>
      </c>
      <c r="G721" t="s">
        <v>74</v>
      </c>
      <c r="H721" t="s">
        <v>123</v>
      </c>
      <c r="I721" t="s">
        <v>84</v>
      </c>
      <c r="J721" s="4">
        <v>7.9476813317479189E-4</v>
      </c>
    </row>
    <row r="722" spans="1:10" x14ac:dyDescent="0.35">
      <c r="A722" t="s">
        <v>18</v>
      </c>
      <c r="B722" t="s">
        <v>35</v>
      </c>
      <c r="C722" t="s">
        <v>90</v>
      </c>
      <c r="D722" t="s">
        <v>81</v>
      </c>
      <c r="E722" t="s">
        <v>126</v>
      </c>
      <c r="F722" t="s">
        <v>73</v>
      </c>
      <c r="G722" t="s">
        <v>74</v>
      </c>
      <c r="H722" t="s">
        <v>123</v>
      </c>
      <c r="I722" t="s">
        <v>84</v>
      </c>
      <c r="J722" s="4">
        <v>8.4821183458843076E-3</v>
      </c>
    </row>
    <row r="723" spans="1:10" x14ac:dyDescent="0.35">
      <c r="A723" t="s">
        <v>18</v>
      </c>
      <c r="B723" t="s">
        <v>35</v>
      </c>
      <c r="C723" t="s">
        <v>90</v>
      </c>
      <c r="D723" t="s">
        <v>81</v>
      </c>
      <c r="E723" t="s">
        <v>101</v>
      </c>
      <c r="F723" t="s">
        <v>73</v>
      </c>
      <c r="G723" t="s">
        <v>74</v>
      </c>
      <c r="H723" t="s">
        <v>123</v>
      </c>
      <c r="I723" t="s">
        <v>84</v>
      </c>
      <c r="J723" s="4">
        <v>0</v>
      </c>
    </row>
    <row r="724" spans="1:10" x14ac:dyDescent="0.35">
      <c r="A724" t="s">
        <v>18</v>
      </c>
      <c r="B724" t="s">
        <v>35</v>
      </c>
      <c r="C724" t="s">
        <v>90</v>
      </c>
      <c r="D724" t="s">
        <v>81</v>
      </c>
      <c r="E724" t="s">
        <v>104</v>
      </c>
      <c r="F724" t="s">
        <v>73</v>
      </c>
      <c r="G724" t="s">
        <v>74</v>
      </c>
      <c r="H724" t="s">
        <v>123</v>
      </c>
      <c r="I724" t="s">
        <v>84</v>
      </c>
      <c r="J724" s="4">
        <v>0</v>
      </c>
    </row>
    <row r="725" spans="1:10" x14ac:dyDescent="0.35">
      <c r="A725" t="s">
        <v>18</v>
      </c>
      <c r="B725" t="s">
        <v>35</v>
      </c>
      <c r="C725" t="s">
        <v>90</v>
      </c>
      <c r="D725" t="s">
        <v>81</v>
      </c>
      <c r="E725" t="s">
        <v>106</v>
      </c>
      <c r="F725" t="s">
        <v>73</v>
      </c>
      <c r="G725" t="s">
        <v>74</v>
      </c>
      <c r="H725" t="s">
        <v>123</v>
      </c>
      <c r="I725" t="s">
        <v>84</v>
      </c>
      <c r="J725" s="4">
        <v>0</v>
      </c>
    </row>
    <row r="726" spans="1:10" x14ac:dyDescent="0.35">
      <c r="A726" t="s">
        <v>18</v>
      </c>
      <c r="B726" t="s">
        <v>35</v>
      </c>
      <c r="C726" t="s">
        <v>91</v>
      </c>
      <c r="D726" t="s">
        <v>81</v>
      </c>
      <c r="E726" t="s">
        <v>119</v>
      </c>
      <c r="F726" t="s">
        <v>73</v>
      </c>
      <c r="G726" t="s">
        <v>74</v>
      </c>
      <c r="H726" t="s">
        <v>123</v>
      </c>
      <c r="I726" t="s">
        <v>84</v>
      </c>
      <c r="J726" s="76">
        <f>'SUT_EU27 total'!$L$73</f>
        <v>0.15097500908393557</v>
      </c>
    </row>
    <row r="727" spans="1:10" x14ac:dyDescent="0.35">
      <c r="A727" t="s">
        <v>18</v>
      </c>
      <c r="B727" t="s">
        <v>35</v>
      </c>
      <c r="C727" t="s">
        <v>91</v>
      </c>
      <c r="D727" t="s">
        <v>81</v>
      </c>
      <c r="E727" t="s">
        <v>124</v>
      </c>
      <c r="F727" t="s">
        <v>73</v>
      </c>
      <c r="G727" t="s">
        <v>74</v>
      </c>
      <c r="H727" t="s">
        <v>123</v>
      </c>
      <c r="I727" t="s">
        <v>84</v>
      </c>
      <c r="J727" s="76" cm="1">
        <f t="array" ref="J727:J735">'SUT_EU27 total'!$L$77:$L$85</f>
        <v>6.7728942399646885E-5</v>
      </c>
    </row>
    <row r="728" spans="1:10" x14ac:dyDescent="0.35">
      <c r="A728" t="s">
        <v>18</v>
      </c>
      <c r="B728" t="s">
        <v>35</v>
      </c>
      <c r="C728" t="s">
        <v>91</v>
      </c>
      <c r="D728" t="s">
        <v>81</v>
      </c>
      <c r="E728" t="s">
        <v>117</v>
      </c>
      <c r="F728" t="s">
        <v>73</v>
      </c>
      <c r="G728" t="s">
        <v>74</v>
      </c>
      <c r="H728" t="s">
        <v>123</v>
      </c>
      <c r="I728" t="s">
        <v>84</v>
      </c>
      <c r="J728" s="4">
        <v>5.6233849622410815E-3</v>
      </c>
    </row>
    <row r="729" spans="1:10" x14ac:dyDescent="0.35">
      <c r="A729" t="s">
        <v>18</v>
      </c>
      <c r="B729" t="s">
        <v>35</v>
      </c>
      <c r="C729" t="s">
        <v>91</v>
      </c>
      <c r="D729" t="s">
        <v>81</v>
      </c>
      <c r="E729" t="s">
        <v>82</v>
      </c>
      <c r="F729" t="s">
        <v>73</v>
      </c>
      <c r="G729" t="s">
        <v>74</v>
      </c>
      <c r="H729" t="s">
        <v>123</v>
      </c>
      <c r="I729" t="s">
        <v>84</v>
      </c>
      <c r="J729" s="4">
        <v>1.8068055269127655E-3</v>
      </c>
    </row>
    <row r="730" spans="1:10" x14ac:dyDescent="0.35">
      <c r="A730" t="s">
        <v>18</v>
      </c>
      <c r="B730" t="s">
        <v>35</v>
      </c>
      <c r="C730" t="s">
        <v>91</v>
      </c>
      <c r="D730" t="s">
        <v>81</v>
      </c>
      <c r="E730" t="s">
        <v>125</v>
      </c>
      <c r="F730" t="s">
        <v>73</v>
      </c>
      <c r="G730" t="s">
        <v>74</v>
      </c>
      <c r="H730" t="s">
        <v>123</v>
      </c>
      <c r="I730" t="s">
        <v>84</v>
      </c>
      <c r="J730" s="4">
        <v>5.6492118062760293E-6</v>
      </c>
    </row>
    <row r="731" spans="1:10" x14ac:dyDescent="0.35">
      <c r="A731" t="s">
        <v>18</v>
      </c>
      <c r="B731" t="s">
        <v>35</v>
      </c>
      <c r="C731" t="s">
        <v>91</v>
      </c>
      <c r="D731" t="s">
        <v>81</v>
      </c>
      <c r="E731" t="s">
        <v>122</v>
      </c>
      <c r="F731" t="s">
        <v>73</v>
      </c>
      <c r="G731" t="s">
        <v>74</v>
      </c>
      <c r="H731" t="s">
        <v>123</v>
      </c>
      <c r="I731" t="s">
        <v>84</v>
      </c>
      <c r="J731" s="4">
        <v>0</v>
      </c>
    </row>
    <row r="732" spans="1:10" x14ac:dyDescent="0.35">
      <c r="A732" t="s">
        <v>18</v>
      </c>
      <c r="B732" t="s">
        <v>35</v>
      </c>
      <c r="C732" t="s">
        <v>91</v>
      </c>
      <c r="D732" t="s">
        <v>81</v>
      </c>
      <c r="E732" t="s">
        <v>126</v>
      </c>
      <c r="F732" t="s">
        <v>73</v>
      </c>
      <c r="G732" t="s">
        <v>74</v>
      </c>
      <c r="H732" t="s">
        <v>123</v>
      </c>
      <c r="I732" t="s">
        <v>84</v>
      </c>
      <c r="J732" s="4">
        <v>8.1093795177776388E-4</v>
      </c>
    </row>
    <row r="733" spans="1:10" x14ac:dyDescent="0.35">
      <c r="A733" t="s">
        <v>18</v>
      </c>
      <c r="B733" t="s">
        <v>35</v>
      </c>
      <c r="C733" t="s">
        <v>91</v>
      </c>
      <c r="D733" t="s">
        <v>81</v>
      </c>
      <c r="E733" t="s">
        <v>101</v>
      </c>
      <c r="F733" t="s">
        <v>73</v>
      </c>
      <c r="G733" t="s">
        <v>74</v>
      </c>
      <c r="H733" t="s">
        <v>123</v>
      </c>
      <c r="I733" t="s">
        <v>84</v>
      </c>
      <c r="J733" s="4">
        <v>0</v>
      </c>
    </row>
    <row r="734" spans="1:10" x14ac:dyDescent="0.35">
      <c r="A734" t="s">
        <v>18</v>
      </c>
      <c r="B734" t="s">
        <v>35</v>
      </c>
      <c r="C734" t="s">
        <v>91</v>
      </c>
      <c r="D734" t="s">
        <v>81</v>
      </c>
      <c r="E734" t="s">
        <v>104</v>
      </c>
      <c r="F734" t="s">
        <v>73</v>
      </c>
      <c r="G734" t="s">
        <v>74</v>
      </c>
      <c r="H734" t="s">
        <v>123</v>
      </c>
      <c r="I734" t="s">
        <v>84</v>
      </c>
      <c r="J734" s="4">
        <v>0</v>
      </c>
    </row>
    <row r="735" spans="1:10" x14ac:dyDescent="0.35">
      <c r="A735" t="s">
        <v>18</v>
      </c>
      <c r="B735" t="s">
        <v>35</v>
      </c>
      <c r="C735" t="s">
        <v>91</v>
      </c>
      <c r="D735" t="s">
        <v>81</v>
      </c>
      <c r="E735" t="s">
        <v>106</v>
      </c>
      <c r="F735" t="s">
        <v>73</v>
      </c>
      <c r="G735" t="s">
        <v>74</v>
      </c>
      <c r="H735" t="s">
        <v>123</v>
      </c>
      <c r="I735" t="s">
        <v>84</v>
      </c>
      <c r="J735" s="4">
        <v>0</v>
      </c>
    </row>
    <row r="736" spans="1:10" x14ac:dyDescent="0.35">
      <c r="A736" t="s">
        <v>18</v>
      </c>
      <c r="B736" t="s">
        <v>35</v>
      </c>
      <c r="C736" t="s">
        <v>92</v>
      </c>
      <c r="D736" t="s">
        <v>81</v>
      </c>
      <c r="E736" t="s">
        <v>119</v>
      </c>
      <c r="F736" t="s">
        <v>73</v>
      </c>
      <c r="G736" t="s">
        <v>74</v>
      </c>
      <c r="H736" t="s">
        <v>123</v>
      </c>
      <c r="I736" t="s">
        <v>84</v>
      </c>
      <c r="J736" s="76">
        <f>'SUT_EU27 total'!$L$90</f>
        <v>0.13886309499777949</v>
      </c>
    </row>
    <row r="737" spans="1:10" x14ac:dyDescent="0.35">
      <c r="A737" t="s">
        <v>18</v>
      </c>
      <c r="B737" t="s">
        <v>35</v>
      </c>
      <c r="C737" t="s">
        <v>92</v>
      </c>
      <c r="D737" t="s">
        <v>81</v>
      </c>
      <c r="E737" t="s">
        <v>124</v>
      </c>
      <c r="F737" t="s">
        <v>73</v>
      </c>
      <c r="G737" t="s">
        <v>74</v>
      </c>
      <c r="H737" t="s">
        <v>123</v>
      </c>
      <c r="I737" t="s">
        <v>84</v>
      </c>
      <c r="J737" s="76" cm="1">
        <f t="array" ref="J737:J745">'SUT_EU27 total'!$L$94:$L$102</f>
        <v>9.2968907089085616E-5</v>
      </c>
    </row>
    <row r="738" spans="1:10" x14ac:dyDescent="0.35">
      <c r="A738" t="s">
        <v>18</v>
      </c>
      <c r="B738" t="s">
        <v>35</v>
      </c>
      <c r="C738" t="s">
        <v>92</v>
      </c>
      <c r="D738" t="s">
        <v>81</v>
      </c>
      <c r="E738" t="s">
        <v>117</v>
      </c>
      <c r="F738" t="s">
        <v>73</v>
      </c>
      <c r="G738" t="s">
        <v>74</v>
      </c>
      <c r="H738" t="s">
        <v>123</v>
      </c>
      <c r="I738" t="s">
        <v>84</v>
      </c>
      <c r="J738" s="4">
        <v>0</v>
      </c>
    </row>
    <row r="739" spans="1:10" x14ac:dyDescent="0.35">
      <c r="A739" t="s">
        <v>18</v>
      </c>
      <c r="B739" t="s">
        <v>35</v>
      </c>
      <c r="C739" t="s">
        <v>92</v>
      </c>
      <c r="D739" t="s">
        <v>81</v>
      </c>
      <c r="E739" t="s">
        <v>82</v>
      </c>
      <c r="F739" t="s">
        <v>73</v>
      </c>
      <c r="G739" t="s">
        <v>74</v>
      </c>
      <c r="H739" t="s">
        <v>123</v>
      </c>
      <c r="I739" t="s">
        <v>84</v>
      </c>
      <c r="J739" s="4">
        <v>1.1251392039595793E-3</v>
      </c>
    </row>
    <row r="740" spans="1:10" x14ac:dyDescent="0.35">
      <c r="A740" t="s">
        <v>18</v>
      </c>
      <c r="B740" t="s">
        <v>35</v>
      </c>
      <c r="C740" t="s">
        <v>92</v>
      </c>
      <c r="D740" t="s">
        <v>81</v>
      </c>
      <c r="E740" t="s">
        <v>125</v>
      </c>
      <c r="F740" t="s">
        <v>73</v>
      </c>
      <c r="G740" t="s">
        <v>74</v>
      </c>
      <c r="H740" t="s">
        <v>123</v>
      </c>
      <c r="I740" t="s">
        <v>84</v>
      </c>
      <c r="J740" s="4">
        <v>5.0048817841215026E-7</v>
      </c>
    </row>
    <row r="741" spans="1:10" x14ac:dyDescent="0.35">
      <c r="A741" t="s">
        <v>18</v>
      </c>
      <c r="B741" t="s">
        <v>35</v>
      </c>
      <c r="C741" t="s">
        <v>92</v>
      </c>
      <c r="D741" t="s">
        <v>81</v>
      </c>
      <c r="E741" t="s">
        <v>122</v>
      </c>
      <c r="F741" t="s">
        <v>73</v>
      </c>
      <c r="G741" t="s">
        <v>74</v>
      </c>
      <c r="H741" t="s">
        <v>123</v>
      </c>
      <c r="I741" t="s">
        <v>84</v>
      </c>
      <c r="J741" s="4">
        <v>0</v>
      </c>
    </row>
    <row r="742" spans="1:10" x14ac:dyDescent="0.35">
      <c r="A742" t="s">
        <v>18</v>
      </c>
      <c r="B742" t="s">
        <v>35</v>
      </c>
      <c r="C742" t="s">
        <v>92</v>
      </c>
      <c r="D742" t="s">
        <v>81</v>
      </c>
      <c r="E742" t="s">
        <v>126</v>
      </c>
      <c r="F742" t="s">
        <v>73</v>
      </c>
      <c r="G742" t="s">
        <v>74</v>
      </c>
      <c r="H742" t="s">
        <v>123</v>
      </c>
      <c r="I742" t="s">
        <v>84</v>
      </c>
      <c r="J742" s="4">
        <v>0</v>
      </c>
    </row>
    <row r="743" spans="1:10" x14ac:dyDescent="0.35">
      <c r="A743" t="s">
        <v>18</v>
      </c>
      <c r="B743" t="s">
        <v>35</v>
      </c>
      <c r="C743" t="s">
        <v>92</v>
      </c>
      <c r="D743" t="s">
        <v>81</v>
      </c>
      <c r="E743" t="s">
        <v>101</v>
      </c>
      <c r="F743" t="s">
        <v>73</v>
      </c>
      <c r="G743" t="s">
        <v>74</v>
      </c>
      <c r="H743" t="s">
        <v>123</v>
      </c>
      <c r="I743" t="s">
        <v>84</v>
      </c>
      <c r="J743" s="4">
        <v>0</v>
      </c>
    </row>
    <row r="744" spans="1:10" x14ac:dyDescent="0.35">
      <c r="A744" t="s">
        <v>18</v>
      </c>
      <c r="B744" t="s">
        <v>35</v>
      </c>
      <c r="C744" t="s">
        <v>92</v>
      </c>
      <c r="D744" t="s">
        <v>81</v>
      </c>
      <c r="E744" t="s">
        <v>104</v>
      </c>
      <c r="F744" t="s">
        <v>73</v>
      </c>
      <c r="G744" t="s">
        <v>74</v>
      </c>
      <c r="H744" t="s">
        <v>123</v>
      </c>
      <c r="I744" t="s">
        <v>84</v>
      </c>
      <c r="J744" s="4">
        <v>0</v>
      </c>
    </row>
    <row r="745" spans="1:10" x14ac:dyDescent="0.35">
      <c r="A745" t="s">
        <v>18</v>
      </c>
      <c r="B745" t="s">
        <v>35</v>
      </c>
      <c r="C745" t="s">
        <v>92</v>
      </c>
      <c r="D745" t="s">
        <v>81</v>
      </c>
      <c r="E745" t="s">
        <v>106</v>
      </c>
      <c r="F745" t="s">
        <v>73</v>
      </c>
      <c r="G745" t="s">
        <v>74</v>
      </c>
      <c r="H745" t="s">
        <v>123</v>
      </c>
      <c r="I745" t="s">
        <v>84</v>
      </c>
      <c r="J745" s="4">
        <v>0</v>
      </c>
    </row>
    <row r="746" spans="1:10" x14ac:dyDescent="0.35">
      <c r="A746" t="s">
        <v>18</v>
      </c>
      <c r="B746" t="s">
        <v>35</v>
      </c>
      <c r="C746" t="s">
        <v>93</v>
      </c>
      <c r="D746" t="s">
        <v>81</v>
      </c>
      <c r="E746" t="s">
        <v>119</v>
      </c>
      <c r="F746" t="s">
        <v>73</v>
      </c>
      <c r="G746" t="s">
        <v>74</v>
      </c>
      <c r="H746" t="s">
        <v>123</v>
      </c>
      <c r="I746" t="s">
        <v>84</v>
      </c>
      <c r="J746" s="76">
        <f>'SUT_EU27 total'!$L$107</f>
        <v>1.0000807460939076</v>
      </c>
    </row>
    <row r="747" spans="1:10" x14ac:dyDescent="0.35">
      <c r="A747" t="s">
        <v>18</v>
      </c>
      <c r="B747" t="s">
        <v>35</v>
      </c>
      <c r="C747" t="s">
        <v>93</v>
      </c>
      <c r="D747" t="s">
        <v>81</v>
      </c>
      <c r="E747" t="s">
        <v>124</v>
      </c>
      <c r="F747" t="s">
        <v>73</v>
      </c>
      <c r="G747" t="s">
        <v>74</v>
      </c>
      <c r="H747" t="s">
        <v>123</v>
      </c>
      <c r="I747" t="s">
        <v>84</v>
      </c>
      <c r="J747" s="76" cm="1">
        <f t="array" ref="J747:J755">'SUT_EU27 total'!$L$111:$L$119</f>
        <v>3.7052409430862396E-4</v>
      </c>
    </row>
    <row r="748" spans="1:10" x14ac:dyDescent="0.35">
      <c r="A748" t="s">
        <v>18</v>
      </c>
      <c r="B748" t="s">
        <v>35</v>
      </c>
      <c r="C748" t="s">
        <v>93</v>
      </c>
      <c r="D748" t="s">
        <v>81</v>
      </c>
      <c r="E748" t="s">
        <v>117</v>
      </c>
      <c r="F748" t="s">
        <v>73</v>
      </c>
      <c r="G748" t="s">
        <v>74</v>
      </c>
      <c r="H748" t="s">
        <v>123</v>
      </c>
      <c r="I748" t="s">
        <v>84</v>
      </c>
      <c r="J748" s="4">
        <v>5.8414042458127093E-3</v>
      </c>
    </row>
    <row r="749" spans="1:10" x14ac:dyDescent="0.35">
      <c r="A749" t="s">
        <v>18</v>
      </c>
      <c r="B749" t="s">
        <v>35</v>
      </c>
      <c r="C749" t="s">
        <v>93</v>
      </c>
      <c r="D749" t="s">
        <v>81</v>
      </c>
      <c r="E749" t="s">
        <v>82</v>
      </c>
      <c r="F749" t="s">
        <v>73</v>
      </c>
      <c r="G749" t="s">
        <v>74</v>
      </c>
      <c r="H749" t="s">
        <v>123</v>
      </c>
      <c r="I749" t="s">
        <v>84</v>
      </c>
      <c r="J749" s="4">
        <v>5.0319447308723453E-3</v>
      </c>
    </row>
    <row r="750" spans="1:10" x14ac:dyDescent="0.35">
      <c r="A750" t="s">
        <v>18</v>
      </c>
      <c r="B750" t="s">
        <v>35</v>
      </c>
      <c r="C750" t="s">
        <v>93</v>
      </c>
      <c r="D750" t="s">
        <v>81</v>
      </c>
      <c r="E750" t="s">
        <v>125</v>
      </c>
      <c r="F750" t="s">
        <v>73</v>
      </c>
      <c r="G750" t="s">
        <v>74</v>
      </c>
      <c r="H750" t="s">
        <v>123</v>
      </c>
      <c r="I750" t="s">
        <v>84</v>
      </c>
      <c r="J750" s="4">
        <v>4.336096678710085E-4</v>
      </c>
    </row>
    <row r="751" spans="1:10" x14ac:dyDescent="0.35">
      <c r="A751" t="s">
        <v>18</v>
      </c>
      <c r="B751" t="s">
        <v>35</v>
      </c>
      <c r="C751" t="s">
        <v>93</v>
      </c>
      <c r="D751" t="s">
        <v>81</v>
      </c>
      <c r="E751" t="s">
        <v>122</v>
      </c>
      <c r="F751" t="s">
        <v>73</v>
      </c>
      <c r="G751" t="s">
        <v>74</v>
      </c>
      <c r="H751" t="s">
        <v>123</v>
      </c>
      <c r="I751" t="s">
        <v>84</v>
      </c>
      <c r="J751" s="4">
        <v>2.7129607609988112E-3</v>
      </c>
    </row>
    <row r="752" spans="1:10" x14ac:dyDescent="0.35">
      <c r="A752" t="s">
        <v>18</v>
      </c>
      <c r="B752" t="s">
        <v>35</v>
      </c>
      <c r="C752" t="s">
        <v>93</v>
      </c>
      <c r="D752" t="s">
        <v>81</v>
      </c>
      <c r="E752" t="s">
        <v>126</v>
      </c>
      <c r="F752" t="s">
        <v>73</v>
      </c>
      <c r="G752" t="s">
        <v>74</v>
      </c>
      <c r="H752" t="s">
        <v>123</v>
      </c>
      <c r="I752" t="s">
        <v>84</v>
      </c>
      <c r="J752" s="4">
        <v>4.3855511603587784E-2</v>
      </c>
    </row>
    <row r="753" spans="1:10" x14ac:dyDescent="0.35">
      <c r="A753" t="s">
        <v>18</v>
      </c>
      <c r="B753" t="s">
        <v>35</v>
      </c>
      <c r="C753" t="s">
        <v>93</v>
      </c>
      <c r="D753" t="s">
        <v>81</v>
      </c>
      <c r="E753" t="s">
        <v>101</v>
      </c>
      <c r="F753" t="s">
        <v>73</v>
      </c>
      <c r="G753" t="s">
        <v>74</v>
      </c>
      <c r="H753" t="s">
        <v>123</v>
      </c>
      <c r="I753" t="s">
        <v>84</v>
      </c>
      <c r="J753" s="4">
        <v>0</v>
      </c>
    </row>
    <row r="754" spans="1:10" x14ac:dyDescent="0.35">
      <c r="A754" t="s">
        <v>18</v>
      </c>
      <c r="B754" t="s">
        <v>35</v>
      </c>
      <c r="C754" t="s">
        <v>93</v>
      </c>
      <c r="D754" t="s">
        <v>81</v>
      </c>
      <c r="E754" t="s">
        <v>104</v>
      </c>
      <c r="F754" t="s">
        <v>73</v>
      </c>
      <c r="G754" t="s">
        <v>74</v>
      </c>
      <c r="H754" t="s">
        <v>123</v>
      </c>
      <c r="I754" t="s">
        <v>84</v>
      </c>
      <c r="J754" s="4">
        <v>0</v>
      </c>
    </row>
    <row r="755" spans="1:10" x14ac:dyDescent="0.35">
      <c r="A755" t="s">
        <v>18</v>
      </c>
      <c r="B755" t="s">
        <v>35</v>
      </c>
      <c r="C755" t="s">
        <v>93</v>
      </c>
      <c r="D755" t="s">
        <v>81</v>
      </c>
      <c r="E755" t="s">
        <v>106</v>
      </c>
      <c r="F755" t="s">
        <v>73</v>
      </c>
      <c r="G755" t="s">
        <v>74</v>
      </c>
      <c r="H755" t="s">
        <v>123</v>
      </c>
      <c r="I755" t="s">
        <v>84</v>
      </c>
      <c r="J755" s="4">
        <v>0</v>
      </c>
    </row>
    <row r="756" spans="1:10" x14ac:dyDescent="0.35">
      <c r="A756" t="s">
        <v>18</v>
      </c>
      <c r="B756" t="s">
        <v>35</v>
      </c>
      <c r="C756" t="s">
        <v>73</v>
      </c>
      <c r="D756" t="s">
        <v>81</v>
      </c>
      <c r="E756" t="s">
        <v>119</v>
      </c>
      <c r="F756" t="s">
        <v>73</v>
      </c>
      <c r="G756" t="s">
        <v>74</v>
      </c>
      <c r="H756" t="s">
        <v>127</v>
      </c>
      <c r="I756" t="s">
        <v>84</v>
      </c>
      <c r="J756" s="76">
        <f>'SUT_EU27 total'!$M$22</f>
        <v>1.9500181678711294E-2</v>
      </c>
    </row>
    <row r="757" spans="1:10" x14ac:dyDescent="0.35">
      <c r="A757" t="s">
        <v>18</v>
      </c>
      <c r="B757" t="s">
        <v>35</v>
      </c>
      <c r="C757" t="s">
        <v>73</v>
      </c>
      <c r="D757" t="s">
        <v>81</v>
      </c>
      <c r="E757" t="s">
        <v>124</v>
      </c>
      <c r="F757" t="s">
        <v>73</v>
      </c>
      <c r="G757" t="s">
        <v>74</v>
      </c>
      <c r="H757" t="s">
        <v>127</v>
      </c>
      <c r="I757" t="s">
        <v>84</v>
      </c>
      <c r="J757" s="76" cm="1">
        <f t="array" ref="J757:J765">'SUT_EU27 total'!$M$26:$M$34</f>
        <v>1.9404661061278542E-3</v>
      </c>
    </row>
    <row r="758" spans="1:10" x14ac:dyDescent="0.35">
      <c r="A758" t="s">
        <v>18</v>
      </c>
      <c r="B758" t="s">
        <v>35</v>
      </c>
      <c r="C758" t="s">
        <v>73</v>
      </c>
      <c r="D758" t="s">
        <v>81</v>
      </c>
      <c r="E758" t="s">
        <v>117</v>
      </c>
      <c r="F758" t="s">
        <v>73</v>
      </c>
      <c r="G758" t="s">
        <v>74</v>
      </c>
      <c r="H758" t="s">
        <v>127</v>
      </c>
      <c r="I758" t="s">
        <v>84</v>
      </c>
      <c r="J758" s="4">
        <v>5.8423628191201782E-3</v>
      </c>
    </row>
    <row r="759" spans="1:10" x14ac:dyDescent="0.35">
      <c r="A759" t="s">
        <v>18</v>
      </c>
      <c r="B759" t="s">
        <v>35</v>
      </c>
      <c r="C759" t="s">
        <v>73</v>
      </c>
      <c r="D759" t="s">
        <v>81</v>
      </c>
      <c r="E759" t="s">
        <v>82</v>
      </c>
      <c r="F759" t="s">
        <v>73</v>
      </c>
      <c r="G759" t="s">
        <v>74</v>
      </c>
      <c r="H759" t="s">
        <v>127</v>
      </c>
      <c r="I759" t="s">
        <v>84</v>
      </c>
      <c r="J759" s="4">
        <v>4.8981233243967828E-4</v>
      </c>
    </row>
    <row r="760" spans="1:10" x14ac:dyDescent="0.35">
      <c r="A760" t="s">
        <v>18</v>
      </c>
      <c r="B760" t="s">
        <v>35</v>
      </c>
      <c r="C760" t="s">
        <v>73</v>
      </c>
      <c r="D760" t="s">
        <v>81</v>
      </c>
      <c r="E760" t="s">
        <v>125</v>
      </c>
      <c r="F760" t="s">
        <v>73</v>
      </c>
      <c r="G760" t="s">
        <v>74</v>
      </c>
      <c r="H760" t="s">
        <v>127</v>
      </c>
      <c r="I760" t="s">
        <v>84</v>
      </c>
      <c r="J760" s="4">
        <v>2.4658201215687387E-3</v>
      </c>
    </row>
    <row r="761" spans="1:10" x14ac:dyDescent="0.35">
      <c r="A761" t="s">
        <v>18</v>
      </c>
      <c r="B761" t="s">
        <v>35</v>
      </c>
      <c r="C761" t="s">
        <v>73</v>
      </c>
      <c r="D761" t="s">
        <v>81</v>
      </c>
      <c r="E761" t="s">
        <v>122</v>
      </c>
      <c r="F761" t="s">
        <v>73</v>
      </c>
      <c r="G761" t="s">
        <v>74</v>
      </c>
      <c r="H761" t="s">
        <v>127</v>
      </c>
      <c r="I761" t="s">
        <v>84</v>
      </c>
      <c r="J761" s="4">
        <v>4.922711058263972E-4</v>
      </c>
    </row>
    <row r="762" spans="1:10" x14ac:dyDescent="0.35">
      <c r="A762" t="s">
        <v>18</v>
      </c>
      <c r="B762" t="s">
        <v>35</v>
      </c>
      <c r="C762" t="s">
        <v>73</v>
      </c>
      <c r="D762" t="s">
        <v>81</v>
      </c>
      <c r="E762" t="s">
        <v>126</v>
      </c>
      <c r="F762" t="s">
        <v>73</v>
      </c>
      <c r="G762" t="s">
        <v>74</v>
      </c>
      <c r="H762" t="s">
        <v>127</v>
      </c>
      <c r="I762" t="s">
        <v>84</v>
      </c>
      <c r="J762" s="4">
        <v>0</v>
      </c>
    </row>
    <row r="763" spans="1:10" x14ac:dyDescent="0.35">
      <c r="A763" t="s">
        <v>18</v>
      </c>
      <c r="B763" t="s">
        <v>35</v>
      </c>
      <c r="C763" t="s">
        <v>73</v>
      </c>
      <c r="D763" t="s">
        <v>81</v>
      </c>
      <c r="E763" t="s">
        <v>101</v>
      </c>
      <c r="F763" t="s">
        <v>73</v>
      </c>
      <c r="G763" t="s">
        <v>74</v>
      </c>
      <c r="H763" t="s">
        <v>127</v>
      </c>
      <c r="I763" t="s">
        <v>84</v>
      </c>
      <c r="J763" s="4">
        <v>3.6586167200000007E-4</v>
      </c>
    </row>
    <row r="764" spans="1:10" x14ac:dyDescent="0.35">
      <c r="A764" t="s">
        <v>18</v>
      </c>
      <c r="B764" t="s">
        <v>35</v>
      </c>
      <c r="C764" t="s">
        <v>73</v>
      </c>
      <c r="D764" t="s">
        <v>81</v>
      </c>
      <c r="E764" t="s">
        <v>104</v>
      </c>
      <c r="F764" t="s">
        <v>73</v>
      </c>
      <c r="G764" t="s">
        <v>74</v>
      </c>
      <c r="H764" t="s">
        <v>127</v>
      </c>
      <c r="I764" t="s">
        <v>84</v>
      </c>
      <c r="J764" s="4">
        <v>6.9272632800000005E-4</v>
      </c>
    </row>
    <row r="765" spans="1:10" x14ac:dyDescent="0.35">
      <c r="A765" t="s">
        <v>18</v>
      </c>
      <c r="B765" t="s">
        <v>35</v>
      </c>
      <c r="C765" t="s">
        <v>73</v>
      </c>
      <c r="D765" t="s">
        <v>81</v>
      </c>
      <c r="E765" t="s">
        <v>106</v>
      </c>
      <c r="F765" t="s">
        <v>73</v>
      </c>
      <c r="G765" t="s">
        <v>74</v>
      </c>
      <c r="H765" t="s">
        <v>127</v>
      </c>
      <c r="I765" t="s">
        <v>84</v>
      </c>
      <c r="J765" s="4">
        <v>2.3562119999999999E-3</v>
      </c>
    </row>
    <row r="766" spans="1:10" x14ac:dyDescent="0.35">
      <c r="A766" t="s">
        <v>18</v>
      </c>
      <c r="B766" t="s">
        <v>35</v>
      </c>
      <c r="C766" t="s">
        <v>88</v>
      </c>
      <c r="D766" t="s">
        <v>81</v>
      </c>
      <c r="E766" t="s">
        <v>119</v>
      </c>
      <c r="F766" t="s">
        <v>73</v>
      </c>
      <c r="G766" t="s">
        <v>74</v>
      </c>
      <c r="H766" t="s">
        <v>127</v>
      </c>
      <c r="I766" t="s">
        <v>84</v>
      </c>
      <c r="J766" s="76">
        <f>'SUT_EU27 total'!$M$39</f>
        <v>0.16108845734587587</v>
      </c>
    </row>
    <row r="767" spans="1:10" x14ac:dyDescent="0.35">
      <c r="A767" t="s">
        <v>18</v>
      </c>
      <c r="B767" t="s">
        <v>35</v>
      </c>
      <c r="C767" t="s">
        <v>88</v>
      </c>
      <c r="D767" t="s">
        <v>81</v>
      </c>
      <c r="E767" t="s">
        <v>124</v>
      </c>
      <c r="F767" t="s">
        <v>73</v>
      </c>
      <c r="G767" t="s">
        <v>74</v>
      </c>
      <c r="H767" t="s">
        <v>127</v>
      </c>
      <c r="I767" t="s">
        <v>84</v>
      </c>
      <c r="J767" s="76" cm="1">
        <f t="array" ref="J767:J775">'SUT_EU27 total'!$L$43:$L$51</f>
        <v>5.0558836222750793E-4</v>
      </c>
    </row>
    <row r="768" spans="1:10" x14ac:dyDescent="0.35">
      <c r="A768" t="s">
        <v>18</v>
      </c>
      <c r="B768" t="s">
        <v>35</v>
      </c>
      <c r="C768" t="s">
        <v>88</v>
      </c>
      <c r="D768" t="s">
        <v>81</v>
      </c>
      <c r="E768" t="s">
        <v>117</v>
      </c>
      <c r="F768" t="s">
        <v>73</v>
      </c>
      <c r="G768" t="s">
        <v>74</v>
      </c>
      <c r="H768" t="s">
        <v>127</v>
      </c>
      <c r="I768" t="s">
        <v>84</v>
      </c>
      <c r="J768" s="4">
        <v>4.8514464106651379E-3</v>
      </c>
    </row>
    <row r="769" spans="1:10" x14ac:dyDescent="0.35">
      <c r="A769" t="s">
        <v>18</v>
      </c>
      <c r="B769" t="s">
        <v>35</v>
      </c>
      <c r="C769" t="s">
        <v>88</v>
      </c>
      <c r="D769" t="s">
        <v>81</v>
      </c>
      <c r="E769" t="s">
        <v>82</v>
      </c>
      <c r="F769" t="s">
        <v>73</v>
      </c>
      <c r="G769" t="s">
        <v>74</v>
      </c>
      <c r="H769" t="s">
        <v>127</v>
      </c>
      <c r="I769" t="s">
        <v>84</v>
      </c>
      <c r="J769" s="4">
        <v>1.109418436791091E-2</v>
      </c>
    </row>
    <row r="770" spans="1:10" x14ac:dyDescent="0.35">
      <c r="A770" t="s">
        <v>18</v>
      </c>
      <c r="B770" t="s">
        <v>35</v>
      </c>
      <c r="C770" t="s">
        <v>88</v>
      </c>
      <c r="D770" t="s">
        <v>81</v>
      </c>
      <c r="E770" t="s">
        <v>125</v>
      </c>
      <c r="F770" t="s">
        <v>73</v>
      </c>
      <c r="G770" t="s">
        <v>74</v>
      </c>
      <c r="H770" t="s">
        <v>127</v>
      </c>
      <c r="I770" t="s">
        <v>84</v>
      </c>
      <c r="J770" s="4">
        <v>2.890870278990243E-5</v>
      </c>
    </row>
    <row r="771" spans="1:10" x14ac:dyDescent="0.35">
      <c r="A771" t="s">
        <v>18</v>
      </c>
      <c r="B771" t="s">
        <v>35</v>
      </c>
      <c r="C771" t="s">
        <v>88</v>
      </c>
      <c r="D771" t="s">
        <v>81</v>
      </c>
      <c r="E771" t="s">
        <v>122</v>
      </c>
      <c r="F771" t="s">
        <v>73</v>
      </c>
      <c r="G771" t="s">
        <v>74</v>
      </c>
      <c r="H771" t="s">
        <v>127</v>
      </c>
      <c r="I771" t="s">
        <v>84</v>
      </c>
      <c r="J771" s="4">
        <v>0</v>
      </c>
    </row>
    <row r="772" spans="1:10" x14ac:dyDescent="0.35">
      <c r="A772" t="s">
        <v>18</v>
      </c>
      <c r="B772" t="s">
        <v>35</v>
      </c>
      <c r="C772" t="s">
        <v>88</v>
      </c>
      <c r="D772" t="s">
        <v>81</v>
      </c>
      <c r="E772" t="s">
        <v>126</v>
      </c>
      <c r="F772" t="s">
        <v>73</v>
      </c>
      <c r="G772" t="s">
        <v>74</v>
      </c>
      <c r="H772" t="s">
        <v>127</v>
      </c>
      <c r="I772" t="s">
        <v>84</v>
      </c>
      <c r="J772" s="4">
        <v>2.8514320987501449E-3</v>
      </c>
    </row>
    <row r="773" spans="1:10" x14ac:dyDescent="0.35">
      <c r="A773" t="s">
        <v>18</v>
      </c>
      <c r="B773" t="s">
        <v>35</v>
      </c>
      <c r="C773" t="s">
        <v>88</v>
      </c>
      <c r="D773" t="s">
        <v>81</v>
      </c>
      <c r="E773" t="s">
        <v>101</v>
      </c>
      <c r="F773" t="s">
        <v>73</v>
      </c>
      <c r="G773" t="s">
        <v>74</v>
      </c>
      <c r="H773" t="s">
        <v>127</v>
      </c>
      <c r="I773" t="s">
        <v>84</v>
      </c>
      <c r="J773" s="4">
        <v>0</v>
      </c>
    </row>
    <row r="774" spans="1:10" x14ac:dyDescent="0.35">
      <c r="A774" t="s">
        <v>18</v>
      </c>
      <c r="B774" t="s">
        <v>35</v>
      </c>
      <c r="C774" t="s">
        <v>88</v>
      </c>
      <c r="D774" t="s">
        <v>81</v>
      </c>
      <c r="E774" t="s">
        <v>104</v>
      </c>
      <c r="F774" t="s">
        <v>73</v>
      </c>
      <c r="G774" t="s">
        <v>74</v>
      </c>
      <c r="H774" t="s">
        <v>127</v>
      </c>
      <c r="I774" t="s">
        <v>84</v>
      </c>
      <c r="J774" s="4">
        <v>0</v>
      </c>
    </row>
    <row r="775" spans="1:10" x14ac:dyDescent="0.35">
      <c r="A775" t="s">
        <v>18</v>
      </c>
      <c r="B775" t="s">
        <v>35</v>
      </c>
      <c r="C775" t="s">
        <v>88</v>
      </c>
      <c r="D775" t="s">
        <v>81</v>
      </c>
      <c r="E775" t="s">
        <v>106</v>
      </c>
      <c r="F775" t="s">
        <v>73</v>
      </c>
      <c r="G775" t="s">
        <v>74</v>
      </c>
      <c r="H775" t="s">
        <v>127</v>
      </c>
      <c r="I775" t="s">
        <v>84</v>
      </c>
      <c r="J775" s="4">
        <v>0</v>
      </c>
    </row>
    <row r="776" spans="1:10" x14ac:dyDescent="0.35">
      <c r="A776" t="s">
        <v>18</v>
      </c>
      <c r="B776" t="s">
        <v>35</v>
      </c>
      <c r="C776" t="s">
        <v>90</v>
      </c>
      <c r="D776" t="s">
        <v>81</v>
      </c>
      <c r="E776" t="s">
        <v>119</v>
      </c>
      <c r="F776" t="s">
        <v>73</v>
      </c>
      <c r="G776" t="s">
        <v>74</v>
      </c>
      <c r="H776" t="s">
        <v>127</v>
      </c>
      <c r="I776" t="s">
        <v>84</v>
      </c>
      <c r="J776" s="76">
        <f>'SUT_EU27 total'!$M$56</f>
        <v>2.949251079979006E-2</v>
      </c>
    </row>
    <row r="777" spans="1:10" x14ac:dyDescent="0.35">
      <c r="A777" t="s">
        <v>18</v>
      </c>
      <c r="B777" t="s">
        <v>35</v>
      </c>
      <c r="C777" t="s">
        <v>90</v>
      </c>
      <c r="D777" t="s">
        <v>81</v>
      </c>
      <c r="E777" t="s">
        <v>124</v>
      </c>
      <c r="F777" t="s">
        <v>73</v>
      </c>
      <c r="G777" t="s">
        <v>74</v>
      </c>
      <c r="H777" t="s">
        <v>127</v>
      </c>
      <c r="I777" t="s">
        <v>84</v>
      </c>
      <c r="J777" s="76" cm="1">
        <f t="array" ref="J777:J785">'SUT_EU27 total'!$M$60:$M$68</f>
        <v>2.1047443073980527E-5</v>
      </c>
    </row>
    <row r="778" spans="1:10" x14ac:dyDescent="0.35">
      <c r="A778" t="s">
        <v>18</v>
      </c>
      <c r="B778" t="s">
        <v>35</v>
      </c>
      <c r="C778" t="s">
        <v>90</v>
      </c>
      <c r="D778" t="s">
        <v>81</v>
      </c>
      <c r="E778" t="s">
        <v>117</v>
      </c>
      <c r="F778" t="s">
        <v>73</v>
      </c>
      <c r="G778" t="s">
        <v>74</v>
      </c>
      <c r="H778" t="s">
        <v>127</v>
      </c>
      <c r="I778" t="s">
        <v>84</v>
      </c>
      <c r="J778" s="4">
        <v>5.8414015621608938E-3</v>
      </c>
    </row>
    <row r="779" spans="1:10" x14ac:dyDescent="0.35">
      <c r="A779" t="s">
        <v>18</v>
      </c>
      <c r="B779" t="s">
        <v>35</v>
      </c>
      <c r="C779" t="s">
        <v>90</v>
      </c>
      <c r="D779" t="s">
        <v>81</v>
      </c>
      <c r="E779" t="s">
        <v>82</v>
      </c>
      <c r="F779" t="s">
        <v>73</v>
      </c>
      <c r="G779" t="s">
        <v>74</v>
      </c>
      <c r="H779" t="s">
        <v>127</v>
      </c>
      <c r="I779" t="s">
        <v>84</v>
      </c>
      <c r="J779" s="4">
        <v>1.4521138379047227E-3</v>
      </c>
    </row>
    <row r="780" spans="1:10" x14ac:dyDescent="0.35">
      <c r="A780" t="s">
        <v>18</v>
      </c>
      <c r="B780" t="s">
        <v>35</v>
      </c>
      <c r="C780" t="s">
        <v>90</v>
      </c>
      <c r="D780" t="s">
        <v>81</v>
      </c>
      <c r="E780" t="s">
        <v>125</v>
      </c>
      <c r="F780" t="s">
        <v>73</v>
      </c>
      <c r="G780" t="s">
        <v>74</v>
      </c>
      <c r="H780" t="s">
        <v>127</v>
      </c>
      <c r="I780" t="s">
        <v>84</v>
      </c>
      <c r="J780" s="4">
        <v>6.5130870114372285E-5</v>
      </c>
    </row>
    <row r="781" spans="1:10" x14ac:dyDescent="0.35">
      <c r="A781" t="s">
        <v>18</v>
      </c>
      <c r="B781" t="s">
        <v>35</v>
      </c>
      <c r="C781" t="s">
        <v>90</v>
      </c>
      <c r="D781" t="s">
        <v>81</v>
      </c>
      <c r="E781" t="s">
        <v>122</v>
      </c>
      <c r="F781" t="s">
        <v>73</v>
      </c>
      <c r="G781" t="s">
        <v>74</v>
      </c>
      <c r="H781" t="s">
        <v>127</v>
      </c>
      <c r="I781" t="s">
        <v>84</v>
      </c>
      <c r="J781" s="4">
        <v>7.9476813317479189E-4</v>
      </c>
    </row>
    <row r="782" spans="1:10" x14ac:dyDescent="0.35">
      <c r="A782" t="s">
        <v>18</v>
      </c>
      <c r="B782" t="s">
        <v>35</v>
      </c>
      <c r="C782" t="s">
        <v>90</v>
      </c>
      <c r="D782" t="s">
        <v>81</v>
      </c>
      <c r="E782" t="s">
        <v>126</v>
      </c>
      <c r="F782" t="s">
        <v>73</v>
      </c>
      <c r="G782" t="s">
        <v>74</v>
      </c>
      <c r="H782" t="s">
        <v>127</v>
      </c>
      <c r="I782" t="s">
        <v>84</v>
      </c>
      <c r="J782" s="4">
        <v>8.4821183458843076E-3</v>
      </c>
    </row>
    <row r="783" spans="1:10" x14ac:dyDescent="0.35">
      <c r="A783" t="s">
        <v>18</v>
      </c>
      <c r="B783" t="s">
        <v>35</v>
      </c>
      <c r="C783" t="s">
        <v>90</v>
      </c>
      <c r="D783" t="s">
        <v>81</v>
      </c>
      <c r="E783" t="s">
        <v>101</v>
      </c>
      <c r="F783" t="s">
        <v>73</v>
      </c>
      <c r="G783" t="s">
        <v>74</v>
      </c>
      <c r="H783" t="s">
        <v>127</v>
      </c>
      <c r="I783" t="s">
        <v>84</v>
      </c>
      <c r="J783" s="4">
        <v>0</v>
      </c>
    </row>
    <row r="784" spans="1:10" x14ac:dyDescent="0.35">
      <c r="A784" t="s">
        <v>18</v>
      </c>
      <c r="B784" t="s">
        <v>35</v>
      </c>
      <c r="C784" t="s">
        <v>90</v>
      </c>
      <c r="D784" t="s">
        <v>81</v>
      </c>
      <c r="E784" t="s">
        <v>104</v>
      </c>
      <c r="F784" t="s">
        <v>73</v>
      </c>
      <c r="G784" t="s">
        <v>74</v>
      </c>
      <c r="H784" t="s">
        <v>127</v>
      </c>
      <c r="I784" t="s">
        <v>84</v>
      </c>
      <c r="J784" s="4">
        <v>0</v>
      </c>
    </row>
    <row r="785" spans="1:10" x14ac:dyDescent="0.35">
      <c r="A785" t="s">
        <v>18</v>
      </c>
      <c r="B785" t="s">
        <v>35</v>
      </c>
      <c r="C785" t="s">
        <v>90</v>
      </c>
      <c r="D785" t="s">
        <v>81</v>
      </c>
      <c r="E785" t="s">
        <v>106</v>
      </c>
      <c r="F785" t="s">
        <v>73</v>
      </c>
      <c r="G785" t="s">
        <v>74</v>
      </c>
      <c r="H785" t="s">
        <v>127</v>
      </c>
      <c r="I785" t="s">
        <v>84</v>
      </c>
      <c r="J785" s="4">
        <v>0</v>
      </c>
    </row>
    <row r="786" spans="1:10" x14ac:dyDescent="0.35">
      <c r="A786" t="s">
        <v>18</v>
      </c>
      <c r="B786" t="s">
        <v>35</v>
      </c>
      <c r="C786" t="s">
        <v>91</v>
      </c>
      <c r="D786" t="s">
        <v>81</v>
      </c>
      <c r="E786" t="s">
        <v>119</v>
      </c>
      <c r="F786" t="s">
        <v>73</v>
      </c>
      <c r="G786" t="s">
        <v>74</v>
      </c>
      <c r="H786" t="s">
        <v>127</v>
      </c>
      <c r="I786" t="s">
        <v>84</v>
      </c>
      <c r="J786" s="76">
        <f>'SUT_EU27 total'!$M$73</f>
        <v>0.15097500908393557</v>
      </c>
    </row>
    <row r="787" spans="1:10" x14ac:dyDescent="0.35">
      <c r="A787" t="s">
        <v>18</v>
      </c>
      <c r="B787" t="s">
        <v>35</v>
      </c>
      <c r="C787" t="s">
        <v>91</v>
      </c>
      <c r="D787" t="s">
        <v>81</v>
      </c>
      <c r="E787" t="s">
        <v>124</v>
      </c>
      <c r="F787" t="s">
        <v>73</v>
      </c>
      <c r="G787" t="s">
        <v>74</v>
      </c>
      <c r="H787" t="s">
        <v>127</v>
      </c>
      <c r="I787" t="s">
        <v>84</v>
      </c>
      <c r="J787" s="76" cm="1">
        <f t="array" ref="J787:J795">'SUT_EU27 total'!$M$77:$M$85</f>
        <v>6.7728942399646885E-5</v>
      </c>
    </row>
    <row r="788" spans="1:10" x14ac:dyDescent="0.35">
      <c r="A788" t="s">
        <v>18</v>
      </c>
      <c r="B788" t="s">
        <v>35</v>
      </c>
      <c r="C788" t="s">
        <v>91</v>
      </c>
      <c r="D788" t="s">
        <v>81</v>
      </c>
      <c r="E788" t="s">
        <v>117</v>
      </c>
      <c r="F788" t="s">
        <v>73</v>
      </c>
      <c r="G788" t="s">
        <v>74</v>
      </c>
      <c r="H788" t="s">
        <v>127</v>
      </c>
      <c r="I788" t="s">
        <v>84</v>
      </c>
      <c r="J788" s="4">
        <v>5.6233849622410815E-3</v>
      </c>
    </row>
    <row r="789" spans="1:10" x14ac:dyDescent="0.35">
      <c r="A789" t="s">
        <v>18</v>
      </c>
      <c r="B789" t="s">
        <v>35</v>
      </c>
      <c r="C789" t="s">
        <v>91</v>
      </c>
      <c r="D789" t="s">
        <v>81</v>
      </c>
      <c r="E789" t="s">
        <v>82</v>
      </c>
      <c r="F789" t="s">
        <v>73</v>
      </c>
      <c r="G789" t="s">
        <v>74</v>
      </c>
      <c r="H789" t="s">
        <v>127</v>
      </c>
      <c r="I789" t="s">
        <v>84</v>
      </c>
      <c r="J789" s="4">
        <v>1.8068055269127655E-3</v>
      </c>
    </row>
    <row r="790" spans="1:10" x14ac:dyDescent="0.35">
      <c r="A790" t="s">
        <v>18</v>
      </c>
      <c r="B790" t="s">
        <v>35</v>
      </c>
      <c r="C790" t="s">
        <v>91</v>
      </c>
      <c r="D790" t="s">
        <v>81</v>
      </c>
      <c r="E790" t="s">
        <v>125</v>
      </c>
      <c r="F790" t="s">
        <v>73</v>
      </c>
      <c r="G790" t="s">
        <v>74</v>
      </c>
      <c r="H790" t="s">
        <v>127</v>
      </c>
      <c r="I790" t="s">
        <v>84</v>
      </c>
      <c r="J790" s="4">
        <v>5.6492118062760293E-6</v>
      </c>
    </row>
    <row r="791" spans="1:10" x14ac:dyDescent="0.35">
      <c r="A791" t="s">
        <v>18</v>
      </c>
      <c r="B791" t="s">
        <v>35</v>
      </c>
      <c r="C791" t="s">
        <v>91</v>
      </c>
      <c r="D791" t="s">
        <v>81</v>
      </c>
      <c r="E791" t="s">
        <v>122</v>
      </c>
      <c r="F791" t="s">
        <v>73</v>
      </c>
      <c r="G791" t="s">
        <v>74</v>
      </c>
      <c r="H791" t="s">
        <v>127</v>
      </c>
      <c r="I791" t="s">
        <v>84</v>
      </c>
      <c r="J791" s="4">
        <v>0</v>
      </c>
    </row>
    <row r="792" spans="1:10" x14ac:dyDescent="0.35">
      <c r="A792" t="s">
        <v>18</v>
      </c>
      <c r="B792" t="s">
        <v>35</v>
      </c>
      <c r="C792" t="s">
        <v>91</v>
      </c>
      <c r="D792" t="s">
        <v>81</v>
      </c>
      <c r="E792" t="s">
        <v>126</v>
      </c>
      <c r="F792" t="s">
        <v>73</v>
      </c>
      <c r="G792" t="s">
        <v>74</v>
      </c>
      <c r="H792" t="s">
        <v>127</v>
      </c>
      <c r="I792" t="s">
        <v>84</v>
      </c>
      <c r="J792" s="4">
        <v>8.1093795177776388E-4</v>
      </c>
    </row>
    <row r="793" spans="1:10" x14ac:dyDescent="0.35">
      <c r="A793" t="s">
        <v>18</v>
      </c>
      <c r="B793" t="s">
        <v>35</v>
      </c>
      <c r="C793" t="s">
        <v>91</v>
      </c>
      <c r="D793" t="s">
        <v>81</v>
      </c>
      <c r="E793" t="s">
        <v>101</v>
      </c>
      <c r="F793" t="s">
        <v>73</v>
      </c>
      <c r="G793" t="s">
        <v>74</v>
      </c>
      <c r="H793" t="s">
        <v>127</v>
      </c>
      <c r="I793" t="s">
        <v>84</v>
      </c>
      <c r="J793" s="4">
        <v>0</v>
      </c>
    </row>
    <row r="794" spans="1:10" x14ac:dyDescent="0.35">
      <c r="A794" t="s">
        <v>18</v>
      </c>
      <c r="B794" t="s">
        <v>35</v>
      </c>
      <c r="C794" t="s">
        <v>91</v>
      </c>
      <c r="D794" t="s">
        <v>81</v>
      </c>
      <c r="E794" t="s">
        <v>104</v>
      </c>
      <c r="F794" t="s">
        <v>73</v>
      </c>
      <c r="G794" t="s">
        <v>74</v>
      </c>
      <c r="H794" t="s">
        <v>127</v>
      </c>
      <c r="I794" t="s">
        <v>84</v>
      </c>
      <c r="J794" s="4">
        <v>0</v>
      </c>
    </row>
    <row r="795" spans="1:10" x14ac:dyDescent="0.35">
      <c r="A795" t="s">
        <v>18</v>
      </c>
      <c r="B795" t="s">
        <v>35</v>
      </c>
      <c r="C795" t="s">
        <v>91</v>
      </c>
      <c r="D795" t="s">
        <v>81</v>
      </c>
      <c r="E795" t="s">
        <v>106</v>
      </c>
      <c r="F795" t="s">
        <v>73</v>
      </c>
      <c r="G795" t="s">
        <v>74</v>
      </c>
      <c r="H795" t="s">
        <v>127</v>
      </c>
      <c r="I795" t="s">
        <v>84</v>
      </c>
      <c r="J795" s="4">
        <v>0</v>
      </c>
    </row>
    <row r="796" spans="1:10" x14ac:dyDescent="0.35">
      <c r="A796" t="s">
        <v>18</v>
      </c>
      <c r="B796" t="s">
        <v>35</v>
      </c>
      <c r="C796" t="s">
        <v>92</v>
      </c>
      <c r="D796" t="s">
        <v>81</v>
      </c>
      <c r="E796" t="s">
        <v>119</v>
      </c>
      <c r="F796" t="s">
        <v>73</v>
      </c>
      <c r="G796" t="s">
        <v>74</v>
      </c>
      <c r="H796" t="s">
        <v>127</v>
      </c>
      <c r="I796" t="s">
        <v>84</v>
      </c>
      <c r="J796" s="76">
        <f>'SUT_EU27 total'!$M$90</f>
        <v>0.13886309499777949</v>
      </c>
    </row>
    <row r="797" spans="1:10" x14ac:dyDescent="0.35">
      <c r="A797" t="s">
        <v>18</v>
      </c>
      <c r="B797" t="s">
        <v>35</v>
      </c>
      <c r="C797" t="s">
        <v>92</v>
      </c>
      <c r="D797" t="s">
        <v>81</v>
      </c>
      <c r="E797" t="s">
        <v>124</v>
      </c>
      <c r="F797" t="s">
        <v>73</v>
      </c>
      <c r="G797" t="s">
        <v>74</v>
      </c>
      <c r="H797" t="s">
        <v>127</v>
      </c>
      <c r="I797" t="s">
        <v>84</v>
      </c>
      <c r="J797" s="76" cm="1">
        <f t="array" ref="J797:J805">'SUT_EU27 total'!$M$94:$M$102</f>
        <v>9.2968907089085616E-5</v>
      </c>
    </row>
    <row r="798" spans="1:10" x14ac:dyDescent="0.35">
      <c r="A798" t="s">
        <v>18</v>
      </c>
      <c r="B798" t="s">
        <v>35</v>
      </c>
      <c r="C798" t="s">
        <v>92</v>
      </c>
      <c r="D798" t="s">
        <v>81</v>
      </c>
      <c r="E798" t="s">
        <v>117</v>
      </c>
      <c r="F798" t="s">
        <v>73</v>
      </c>
      <c r="G798" t="s">
        <v>74</v>
      </c>
      <c r="H798" t="s">
        <v>127</v>
      </c>
      <c r="I798" t="s">
        <v>84</v>
      </c>
      <c r="J798" s="4">
        <v>0</v>
      </c>
    </row>
    <row r="799" spans="1:10" x14ac:dyDescent="0.35">
      <c r="A799" t="s">
        <v>18</v>
      </c>
      <c r="B799" t="s">
        <v>35</v>
      </c>
      <c r="C799" t="s">
        <v>92</v>
      </c>
      <c r="D799" t="s">
        <v>81</v>
      </c>
      <c r="E799" t="s">
        <v>82</v>
      </c>
      <c r="F799" t="s">
        <v>73</v>
      </c>
      <c r="G799" t="s">
        <v>74</v>
      </c>
      <c r="H799" t="s">
        <v>127</v>
      </c>
      <c r="I799" t="s">
        <v>84</v>
      </c>
      <c r="J799" s="4">
        <v>1.1251392039595793E-3</v>
      </c>
    </row>
    <row r="800" spans="1:10" x14ac:dyDescent="0.35">
      <c r="A800" t="s">
        <v>18</v>
      </c>
      <c r="B800" t="s">
        <v>35</v>
      </c>
      <c r="C800" t="s">
        <v>92</v>
      </c>
      <c r="D800" t="s">
        <v>81</v>
      </c>
      <c r="E800" t="s">
        <v>125</v>
      </c>
      <c r="F800" t="s">
        <v>73</v>
      </c>
      <c r="G800" t="s">
        <v>74</v>
      </c>
      <c r="H800" t="s">
        <v>127</v>
      </c>
      <c r="I800" t="s">
        <v>84</v>
      </c>
      <c r="J800" s="4">
        <v>5.0048817841215026E-7</v>
      </c>
    </row>
    <row r="801" spans="1:10" x14ac:dyDescent="0.35">
      <c r="A801" t="s">
        <v>18</v>
      </c>
      <c r="B801" t="s">
        <v>35</v>
      </c>
      <c r="C801" t="s">
        <v>92</v>
      </c>
      <c r="D801" t="s">
        <v>81</v>
      </c>
      <c r="E801" t="s">
        <v>122</v>
      </c>
      <c r="F801" t="s">
        <v>73</v>
      </c>
      <c r="G801" t="s">
        <v>74</v>
      </c>
      <c r="H801" t="s">
        <v>127</v>
      </c>
      <c r="I801" t="s">
        <v>84</v>
      </c>
      <c r="J801" s="4">
        <v>0</v>
      </c>
    </row>
    <row r="802" spans="1:10" x14ac:dyDescent="0.35">
      <c r="A802" t="s">
        <v>18</v>
      </c>
      <c r="B802" t="s">
        <v>35</v>
      </c>
      <c r="C802" t="s">
        <v>92</v>
      </c>
      <c r="D802" t="s">
        <v>81</v>
      </c>
      <c r="E802" t="s">
        <v>126</v>
      </c>
      <c r="F802" t="s">
        <v>73</v>
      </c>
      <c r="G802" t="s">
        <v>74</v>
      </c>
      <c r="H802" t="s">
        <v>127</v>
      </c>
      <c r="I802" t="s">
        <v>84</v>
      </c>
      <c r="J802" s="4">
        <v>0</v>
      </c>
    </row>
    <row r="803" spans="1:10" x14ac:dyDescent="0.35">
      <c r="A803" t="s">
        <v>18</v>
      </c>
      <c r="B803" t="s">
        <v>35</v>
      </c>
      <c r="C803" t="s">
        <v>92</v>
      </c>
      <c r="D803" t="s">
        <v>81</v>
      </c>
      <c r="E803" t="s">
        <v>101</v>
      </c>
      <c r="F803" t="s">
        <v>73</v>
      </c>
      <c r="G803" t="s">
        <v>74</v>
      </c>
      <c r="H803" t="s">
        <v>127</v>
      </c>
      <c r="I803" t="s">
        <v>84</v>
      </c>
      <c r="J803" s="4">
        <v>0</v>
      </c>
    </row>
    <row r="804" spans="1:10" x14ac:dyDescent="0.35">
      <c r="A804" t="s">
        <v>18</v>
      </c>
      <c r="B804" t="s">
        <v>35</v>
      </c>
      <c r="C804" t="s">
        <v>92</v>
      </c>
      <c r="D804" t="s">
        <v>81</v>
      </c>
      <c r="E804" t="s">
        <v>104</v>
      </c>
      <c r="F804" t="s">
        <v>73</v>
      </c>
      <c r="G804" t="s">
        <v>74</v>
      </c>
      <c r="H804" t="s">
        <v>127</v>
      </c>
      <c r="I804" t="s">
        <v>84</v>
      </c>
      <c r="J804" s="4">
        <v>0</v>
      </c>
    </row>
    <row r="805" spans="1:10" x14ac:dyDescent="0.35">
      <c r="A805" t="s">
        <v>18</v>
      </c>
      <c r="B805" t="s">
        <v>35</v>
      </c>
      <c r="C805" t="s">
        <v>92</v>
      </c>
      <c r="D805" t="s">
        <v>81</v>
      </c>
      <c r="E805" t="s">
        <v>106</v>
      </c>
      <c r="F805" t="s">
        <v>73</v>
      </c>
      <c r="G805" t="s">
        <v>74</v>
      </c>
      <c r="H805" t="s">
        <v>127</v>
      </c>
      <c r="I805" t="s">
        <v>84</v>
      </c>
      <c r="J805" s="4">
        <v>0</v>
      </c>
    </row>
    <row r="806" spans="1:10" x14ac:dyDescent="0.35">
      <c r="A806" t="s">
        <v>18</v>
      </c>
      <c r="B806" t="s">
        <v>35</v>
      </c>
      <c r="C806" t="s">
        <v>93</v>
      </c>
      <c r="D806" t="s">
        <v>81</v>
      </c>
      <c r="E806" t="s">
        <v>119</v>
      </c>
      <c r="F806" t="s">
        <v>73</v>
      </c>
      <c r="G806" t="s">
        <v>74</v>
      </c>
      <c r="H806" t="s">
        <v>127</v>
      </c>
      <c r="I806" t="s">
        <v>84</v>
      </c>
      <c r="J806" s="76">
        <f>'SUT_EU27 total'!$M$107</f>
        <v>1.0000807460939076</v>
      </c>
    </row>
    <row r="807" spans="1:10" x14ac:dyDescent="0.35">
      <c r="A807" t="s">
        <v>18</v>
      </c>
      <c r="B807" t="s">
        <v>35</v>
      </c>
      <c r="C807" t="s">
        <v>93</v>
      </c>
      <c r="D807" t="s">
        <v>81</v>
      </c>
      <c r="E807" t="s">
        <v>124</v>
      </c>
      <c r="F807" t="s">
        <v>73</v>
      </c>
      <c r="G807" t="s">
        <v>74</v>
      </c>
      <c r="H807" t="s">
        <v>127</v>
      </c>
      <c r="I807" t="s">
        <v>84</v>
      </c>
      <c r="J807" s="76" cm="1">
        <f t="array" ref="J807:J815">'SUT_EU27 total'!$M$111:$M$119</f>
        <v>3.7052409430862396E-4</v>
      </c>
    </row>
    <row r="808" spans="1:10" x14ac:dyDescent="0.35">
      <c r="A808" t="s">
        <v>18</v>
      </c>
      <c r="B808" t="s">
        <v>35</v>
      </c>
      <c r="C808" t="s">
        <v>93</v>
      </c>
      <c r="D808" t="s">
        <v>81</v>
      </c>
      <c r="E808" t="s">
        <v>117</v>
      </c>
      <c r="F808" t="s">
        <v>73</v>
      </c>
      <c r="G808" t="s">
        <v>74</v>
      </c>
      <c r="H808" t="s">
        <v>127</v>
      </c>
      <c r="I808" t="s">
        <v>84</v>
      </c>
      <c r="J808" s="4">
        <v>5.8414042458127093E-3</v>
      </c>
    </row>
    <row r="809" spans="1:10" x14ac:dyDescent="0.35">
      <c r="A809" t="s">
        <v>18</v>
      </c>
      <c r="B809" t="s">
        <v>35</v>
      </c>
      <c r="C809" t="s">
        <v>93</v>
      </c>
      <c r="D809" t="s">
        <v>81</v>
      </c>
      <c r="E809" t="s">
        <v>82</v>
      </c>
      <c r="F809" t="s">
        <v>73</v>
      </c>
      <c r="G809" t="s">
        <v>74</v>
      </c>
      <c r="H809" t="s">
        <v>127</v>
      </c>
      <c r="I809" t="s">
        <v>84</v>
      </c>
      <c r="J809" s="4">
        <v>5.0319447308723453E-3</v>
      </c>
    </row>
    <row r="810" spans="1:10" x14ac:dyDescent="0.35">
      <c r="A810" t="s">
        <v>18</v>
      </c>
      <c r="B810" t="s">
        <v>35</v>
      </c>
      <c r="C810" t="s">
        <v>93</v>
      </c>
      <c r="D810" t="s">
        <v>81</v>
      </c>
      <c r="E810" t="s">
        <v>125</v>
      </c>
      <c r="F810" t="s">
        <v>73</v>
      </c>
      <c r="G810" t="s">
        <v>74</v>
      </c>
      <c r="H810" t="s">
        <v>127</v>
      </c>
      <c r="I810" t="s">
        <v>84</v>
      </c>
      <c r="J810" s="4">
        <v>4.336096678710085E-4</v>
      </c>
    </row>
    <row r="811" spans="1:10" x14ac:dyDescent="0.35">
      <c r="A811" t="s">
        <v>18</v>
      </c>
      <c r="B811" t="s">
        <v>35</v>
      </c>
      <c r="C811" t="s">
        <v>93</v>
      </c>
      <c r="D811" t="s">
        <v>81</v>
      </c>
      <c r="E811" t="s">
        <v>122</v>
      </c>
      <c r="F811" t="s">
        <v>73</v>
      </c>
      <c r="G811" t="s">
        <v>74</v>
      </c>
      <c r="H811" t="s">
        <v>127</v>
      </c>
      <c r="I811" t="s">
        <v>84</v>
      </c>
      <c r="J811" s="4">
        <v>2.7129607609988112E-3</v>
      </c>
    </row>
    <row r="812" spans="1:10" x14ac:dyDescent="0.35">
      <c r="A812" t="s">
        <v>18</v>
      </c>
      <c r="B812" t="s">
        <v>35</v>
      </c>
      <c r="C812" t="s">
        <v>93</v>
      </c>
      <c r="D812" t="s">
        <v>81</v>
      </c>
      <c r="E812" t="s">
        <v>126</v>
      </c>
      <c r="F812" t="s">
        <v>73</v>
      </c>
      <c r="G812" t="s">
        <v>74</v>
      </c>
      <c r="H812" t="s">
        <v>127</v>
      </c>
      <c r="I812" t="s">
        <v>84</v>
      </c>
      <c r="J812" s="4">
        <v>4.3855511603587784E-2</v>
      </c>
    </row>
    <row r="813" spans="1:10" x14ac:dyDescent="0.35">
      <c r="A813" t="s">
        <v>18</v>
      </c>
      <c r="B813" t="s">
        <v>35</v>
      </c>
      <c r="C813" t="s">
        <v>93</v>
      </c>
      <c r="D813" t="s">
        <v>81</v>
      </c>
      <c r="E813" t="s">
        <v>101</v>
      </c>
      <c r="F813" t="s">
        <v>73</v>
      </c>
      <c r="G813" t="s">
        <v>74</v>
      </c>
      <c r="H813" t="s">
        <v>127</v>
      </c>
      <c r="I813" t="s">
        <v>84</v>
      </c>
      <c r="J813" s="4">
        <v>0</v>
      </c>
    </row>
    <row r="814" spans="1:10" x14ac:dyDescent="0.35">
      <c r="A814" t="s">
        <v>18</v>
      </c>
      <c r="B814" t="s">
        <v>35</v>
      </c>
      <c r="C814" t="s">
        <v>93</v>
      </c>
      <c r="D814" t="s">
        <v>81</v>
      </c>
      <c r="E814" t="s">
        <v>104</v>
      </c>
      <c r="F814" t="s">
        <v>73</v>
      </c>
      <c r="G814" t="s">
        <v>74</v>
      </c>
      <c r="H814" t="s">
        <v>127</v>
      </c>
      <c r="I814" t="s">
        <v>84</v>
      </c>
      <c r="J814" s="4">
        <v>0</v>
      </c>
    </row>
    <row r="815" spans="1:10" x14ac:dyDescent="0.35">
      <c r="A815" t="s">
        <v>18</v>
      </c>
      <c r="B815" t="s">
        <v>35</v>
      </c>
      <c r="C815" t="s">
        <v>93</v>
      </c>
      <c r="D815" t="s">
        <v>81</v>
      </c>
      <c r="E815" t="s">
        <v>106</v>
      </c>
      <c r="F815" t="s">
        <v>73</v>
      </c>
      <c r="G815" t="s">
        <v>74</v>
      </c>
      <c r="H815" t="s">
        <v>127</v>
      </c>
      <c r="I815" t="s">
        <v>84</v>
      </c>
      <c r="J815" s="4">
        <v>0</v>
      </c>
    </row>
    <row r="816" spans="1:10" x14ac:dyDescent="0.35">
      <c r="A816" t="s">
        <v>18</v>
      </c>
      <c r="B816" t="s">
        <v>35</v>
      </c>
      <c r="C816" t="s">
        <v>73</v>
      </c>
      <c r="D816" t="s">
        <v>81</v>
      </c>
      <c r="E816" t="s">
        <v>82</v>
      </c>
      <c r="F816" t="s">
        <v>73</v>
      </c>
      <c r="G816" t="s">
        <v>74</v>
      </c>
      <c r="H816" t="s">
        <v>128</v>
      </c>
      <c r="I816" t="s">
        <v>84</v>
      </c>
      <c r="J816" s="76">
        <f>'SUT_EU27 total'!$N$28</f>
        <v>1.4658301341380521E-2</v>
      </c>
    </row>
    <row r="817" spans="1:10" x14ac:dyDescent="0.35">
      <c r="A817" t="s">
        <v>18</v>
      </c>
      <c r="B817" t="s">
        <v>35</v>
      </c>
      <c r="C817" t="s">
        <v>73</v>
      </c>
      <c r="D817" t="s">
        <v>81</v>
      </c>
      <c r="E817" t="s">
        <v>86</v>
      </c>
      <c r="F817" t="s">
        <v>73</v>
      </c>
      <c r="G817" t="s">
        <v>74</v>
      </c>
      <c r="H817" t="s">
        <v>128</v>
      </c>
      <c r="I817" t="s">
        <v>84</v>
      </c>
      <c r="J817" s="76">
        <f>'SUT_EU27 total'!$N$35</f>
        <v>3.0740776778828832E-3</v>
      </c>
    </row>
    <row r="818" spans="1:10" x14ac:dyDescent="0.35">
      <c r="A818" t="s">
        <v>18</v>
      </c>
      <c r="B818" t="s">
        <v>35</v>
      </c>
      <c r="C818" t="s">
        <v>88</v>
      </c>
      <c r="D818" t="s">
        <v>81</v>
      </c>
      <c r="E818" t="s">
        <v>82</v>
      </c>
      <c r="F818" t="s">
        <v>73</v>
      </c>
      <c r="G818" t="s">
        <v>74</v>
      </c>
      <c r="H818" t="s">
        <v>128</v>
      </c>
      <c r="I818" t="s">
        <v>84</v>
      </c>
      <c r="J818" s="76">
        <f>'SUT_EU27 total'!$N$45</f>
        <v>9.2276548594747033E-3</v>
      </c>
    </row>
    <row r="819" spans="1:10" x14ac:dyDescent="0.35">
      <c r="A819" t="s">
        <v>18</v>
      </c>
      <c r="B819" t="s">
        <v>35</v>
      </c>
      <c r="C819" t="s">
        <v>88</v>
      </c>
      <c r="D819" t="s">
        <v>81</v>
      </c>
      <c r="E819" t="s">
        <v>86</v>
      </c>
      <c r="F819" t="s">
        <v>73</v>
      </c>
      <c r="G819" t="s">
        <v>74</v>
      </c>
      <c r="H819" t="s">
        <v>128</v>
      </c>
      <c r="I819" t="s">
        <v>84</v>
      </c>
      <c r="J819" s="76">
        <f>'SUT_EU27 total'!$N$52</f>
        <v>6.9627451701437512E-2</v>
      </c>
    </row>
    <row r="820" spans="1:10" x14ac:dyDescent="0.35">
      <c r="A820" t="s">
        <v>18</v>
      </c>
      <c r="B820" t="s">
        <v>35</v>
      </c>
      <c r="C820" t="s">
        <v>90</v>
      </c>
      <c r="D820" t="s">
        <v>81</v>
      </c>
      <c r="E820" t="s">
        <v>82</v>
      </c>
      <c r="F820" t="s">
        <v>73</v>
      </c>
      <c r="G820" t="s">
        <v>74</v>
      </c>
      <c r="H820" t="s">
        <v>128</v>
      </c>
      <c r="I820" t="s">
        <v>84</v>
      </c>
      <c r="J820" s="76">
        <f>'SUT_EU27 total'!$N$62</f>
        <v>2.2200107734217647E-6</v>
      </c>
    </row>
    <row r="821" spans="1:10" x14ac:dyDescent="0.35">
      <c r="A821" t="s">
        <v>18</v>
      </c>
      <c r="B821" t="s">
        <v>35</v>
      </c>
      <c r="C821" t="s">
        <v>90</v>
      </c>
      <c r="D821" t="s">
        <v>81</v>
      </c>
      <c r="E821" t="s">
        <v>86</v>
      </c>
      <c r="F821" t="s">
        <v>73</v>
      </c>
      <c r="G821" t="s">
        <v>74</v>
      </c>
      <c r="H821" t="s">
        <v>128</v>
      </c>
      <c r="I821" t="s">
        <v>84</v>
      </c>
      <c r="J821" s="76">
        <f>'SUT_EU27 total'!$N$69</f>
        <v>9.1135123377023061E-3</v>
      </c>
    </row>
    <row r="822" spans="1:10" x14ac:dyDescent="0.35">
      <c r="A822" t="s">
        <v>18</v>
      </c>
      <c r="B822" t="s">
        <v>35</v>
      </c>
      <c r="C822" t="s">
        <v>91</v>
      </c>
      <c r="D822" t="s">
        <v>81</v>
      </c>
      <c r="E822" t="s">
        <v>82</v>
      </c>
      <c r="F822" t="s">
        <v>73</v>
      </c>
      <c r="G822" t="s">
        <v>74</v>
      </c>
      <c r="H822" t="s">
        <v>128</v>
      </c>
      <c r="I822" t="s">
        <v>84</v>
      </c>
      <c r="J822" s="76">
        <f>'SUT_EU27 total'!$N$79</f>
        <v>4.3195382907628159E-4</v>
      </c>
    </row>
    <row r="823" spans="1:10" x14ac:dyDescent="0.35">
      <c r="A823" t="s">
        <v>18</v>
      </c>
      <c r="B823" t="s">
        <v>35</v>
      </c>
      <c r="C823" t="s">
        <v>91</v>
      </c>
      <c r="D823" t="s">
        <v>81</v>
      </c>
      <c r="E823" t="s">
        <v>86</v>
      </c>
      <c r="F823" t="s">
        <v>73</v>
      </c>
      <c r="G823" t="s">
        <v>74</v>
      </c>
      <c r="H823" t="s">
        <v>128</v>
      </c>
      <c r="I823" t="s">
        <v>84</v>
      </c>
      <c r="J823" s="76">
        <f>'SUT_EU27 total'!$N$86</f>
        <v>1.1339568587203704E-2</v>
      </c>
    </row>
    <row r="824" spans="1:10" x14ac:dyDescent="0.35">
      <c r="A824" t="s">
        <v>18</v>
      </c>
      <c r="B824" t="s">
        <v>35</v>
      </c>
      <c r="C824" t="s">
        <v>92</v>
      </c>
      <c r="D824" t="s">
        <v>81</v>
      </c>
      <c r="E824" t="s">
        <v>82</v>
      </c>
      <c r="F824" t="s">
        <v>73</v>
      </c>
      <c r="G824" t="s">
        <v>74</v>
      </c>
      <c r="H824" t="s">
        <v>128</v>
      </c>
      <c r="I824" t="s">
        <v>84</v>
      </c>
      <c r="J824" s="76">
        <f>'SUT_EU27 total'!$N$96</f>
        <v>5.9963902402539811E-4</v>
      </c>
    </row>
    <row r="825" spans="1:10" x14ac:dyDescent="0.35">
      <c r="A825" t="s">
        <v>18</v>
      </c>
      <c r="B825" t="s">
        <v>35</v>
      </c>
      <c r="C825" t="s">
        <v>92</v>
      </c>
      <c r="D825" t="s">
        <v>81</v>
      </c>
      <c r="E825" t="s">
        <v>86</v>
      </c>
      <c r="F825" t="s">
        <v>73</v>
      </c>
      <c r="G825" t="s">
        <v>74</v>
      </c>
      <c r="H825" t="s">
        <v>128</v>
      </c>
      <c r="I825" t="s">
        <v>84</v>
      </c>
      <c r="J825" s="76">
        <f>'SUT_EU27 total'!$N$103</f>
        <v>7.0614092017150581E-3</v>
      </c>
    </row>
    <row r="826" spans="1:10" x14ac:dyDescent="0.35">
      <c r="A826" t="s">
        <v>18</v>
      </c>
      <c r="B826" t="s">
        <v>35</v>
      </c>
      <c r="C826" t="s">
        <v>93</v>
      </c>
      <c r="D826" t="s">
        <v>81</v>
      </c>
      <c r="E826" t="s">
        <v>82</v>
      </c>
      <c r="F826" t="s">
        <v>73</v>
      </c>
      <c r="G826" t="s">
        <v>74</v>
      </c>
      <c r="H826" t="s">
        <v>128</v>
      </c>
      <c r="I826" t="s">
        <v>84</v>
      </c>
      <c r="J826" s="76">
        <f>'SUT_EU27 total'!$N$113</f>
        <v>2.4854239602480213E-3</v>
      </c>
    </row>
    <row r="827" spans="1:10" x14ac:dyDescent="0.35">
      <c r="A827" t="s">
        <v>18</v>
      </c>
      <c r="B827" t="s">
        <v>35</v>
      </c>
      <c r="C827" t="s">
        <v>93</v>
      </c>
      <c r="D827" t="s">
        <v>81</v>
      </c>
      <c r="E827" t="s">
        <v>86</v>
      </c>
      <c r="F827" t="s">
        <v>73</v>
      </c>
      <c r="G827" t="s">
        <v>74</v>
      </c>
      <c r="H827" t="s">
        <v>128</v>
      </c>
      <c r="I827" t="s">
        <v>84</v>
      </c>
      <c r="J827" s="76">
        <f>'SUT_EU27 total'!$N$120</f>
        <v>3.1580644155014347E-2</v>
      </c>
    </row>
    <row r="828" spans="1:10" x14ac:dyDescent="0.35">
      <c r="A828" t="s">
        <v>18</v>
      </c>
      <c r="B828" t="s">
        <v>35</v>
      </c>
      <c r="C828" t="s">
        <v>73</v>
      </c>
      <c r="D828" t="s">
        <v>81</v>
      </c>
      <c r="E828" t="s">
        <v>82</v>
      </c>
      <c r="F828" t="s">
        <v>73</v>
      </c>
      <c r="G828" t="s">
        <v>74</v>
      </c>
      <c r="H828" t="s">
        <v>129</v>
      </c>
      <c r="I828" t="s">
        <v>84</v>
      </c>
      <c r="J828" s="76">
        <f>'SUT_EU27 total'!$O$28</f>
        <v>1.4658301341380521E-2</v>
      </c>
    </row>
    <row r="829" spans="1:10" x14ac:dyDescent="0.35">
      <c r="A829" t="s">
        <v>18</v>
      </c>
      <c r="B829" t="s">
        <v>35</v>
      </c>
      <c r="C829" t="s">
        <v>73</v>
      </c>
      <c r="D829" t="s">
        <v>81</v>
      </c>
      <c r="E829" t="s">
        <v>86</v>
      </c>
      <c r="F829" t="s">
        <v>73</v>
      </c>
      <c r="G829" t="s">
        <v>74</v>
      </c>
      <c r="H829" t="s">
        <v>129</v>
      </c>
      <c r="I829" t="s">
        <v>84</v>
      </c>
      <c r="J829" s="76">
        <f>'SUT_EU27 total'!$O$35</f>
        <v>3.0740776778828832E-3</v>
      </c>
    </row>
    <row r="830" spans="1:10" x14ac:dyDescent="0.35">
      <c r="A830" t="s">
        <v>18</v>
      </c>
      <c r="B830" t="s">
        <v>35</v>
      </c>
      <c r="C830" t="s">
        <v>88</v>
      </c>
      <c r="D830" t="s">
        <v>81</v>
      </c>
      <c r="E830" t="s">
        <v>82</v>
      </c>
      <c r="F830" t="s">
        <v>73</v>
      </c>
      <c r="G830" t="s">
        <v>74</v>
      </c>
      <c r="H830" t="s">
        <v>129</v>
      </c>
      <c r="I830" t="s">
        <v>84</v>
      </c>
      <c r="J830" s="76">
        <f>'SUT_EU27 total'!$O$45</f>
        <v>9.2276548594747033E-3</v>
      </c>
    </row>
    <row r="831" spans="1:10" x14ac:dyDescent="0.35">
      <c r="A831" t="s">
        <v>18</v>
      </c>
      <c r="B831" t="s">
        <v>35</v>
      </c>
      <c r="C831" t="s">
        <v>88</v>
      </c>
      <c r="D831" t="s">
        <v>81</v>
      </c>
      <c r="E831" t="s">
        <v>86</v>
      </c>
      <c r="F831" t="s">
        <v>73</v>
      </c>
      <c r="G831" t="s">
        <v>74</v>
      </c>
      <c r="H831" t="s">
        <v>129</v>
      </c>
      <c r="I831" t="s">
        <v>84</v>
      </c>
      <c r="J831" s="76">
        <f>'SUT_EU27 total'!$O$52</f>
        <v>6.9627451701437512E-2</v>
      </c>
    </row>
    <row r="832" spans="1:10" x14ac:dyDescent="0.35">
      <c r="A832" t="s">
        <v>18</v>
      </c>
      <c r="B832" t="s">
        <v>35</v>
      </c>
      <c r="C832" t="s">
        <v>90</v>
      </c>
      <c r="D832" t="s">
        <v>81</v>
      </c>
      <c r="E832" t="s">
        <v>82</v>
      </c>
      <c r="F832" t="s">
        <v>73</v>
      </c>
      <c r="G832" t="s">
        <v>74</v>
      </c>
      <c r="H832" t="s">
        <v>129</v>
      </c>
      <c r="I832" t="s">
        <v>84</v>
      </c>
      <c r="J832" s="76">
        <f>'SUT_EU27 total'!$O$62</f>
        <v>2.2200107734217647E-6</v>
      </c>
    </row>
    <row r="833" spans="1:10" x14ac:dyDescent="0.35">
      <c r="A833" t="s">
        <v>18</v>
      </c>
      <c r="B833" t="s">
        <v>35</v>
      </c>
      <c r="C833" t="s">
        <v>90</v>
      </c>
      <c r="D833" t="s">
        <v>81</v>
      </c>
      <c r="E833" t="s">
        <v>86</v>
      </c>
      <c r="F833" t="s">
        <v>73</v>
      </c>
      <c r="G833" t="s">
        <v>74</v>
      </c>
      <c r="H833" t="s">
        <v>129</v>
      </c>
      <c r="I833" t="s">
        <v>84</v>
      </c>
      <c r="J833" s="76">
        <f>'SUT_EU27 total'!$O$69</f>
        <v>9.1135123377023061E-3</v>
      </c>
    </row>
    <row r="834" spans="1:10" x14ac:dyDescent="0.35">
      <c r="A834" t="s">
        <v>18</v>
      </c>
      <c r="B834" t="s">
        <v>35</v>
      </c>
      <c r="C834" t="s">
        <v>91</v>
      </c>
      <c r="D834" t="s">
        <v>81</v>
      </c>
      <c r="E834" t="s">
        <v>82</v>
      </c>
      <c r="F834" t="s">
        <v>73</v>
      </c>
      <c r="G834" t="s">
        <v>74</v>
      </c>
      <c r="H834" t="s">
        <v>129</v>
      </c>
      <c r="I834" t="s">
        <v>84</v>
      </c>
      <c r="J834" s="76">
        <f>'SUT_EU27 total'!$O$79</f>
        <v>4.3195382907628159E-4</v>
      </c>
    </row>
    <row r="835" spans="1:10" x14ac:dyDescent="0.35">
      <c r="A835" t="s">
        <v>18</v>
      </c>
      <c r="B835" t="s">
        <v>35</v>
      </c>
      <c r="C835" t="s">
        <v>91</v>
      </c>
      <c r="D835" t="s">
        <v>81</v>
      </c>
      <c r="E835" t="s">
        <v>86</v>
      </c>
      <c r="F835" t="s">
        <v>73</v>
      </c>
      <c r="G835" t="s">
        <v>74</v>
      </c>
      <c r="H835" t="s">
        <v>129</v>
      </c>
      <c r="I835" t="s">
        <v>84</v>
      </c>
      <c r="J835" s="76">
        <f>'SUT_EU27 total'!$O$86</f>
        <v>1.1339568587203704E-2</v>
      </c>
    </row>
    <row r="836" spans="1:10" x14ac:dyDescent="0.35">
      <c r="A836" t="s">
        <v>18</v>
      </c>
      <c r="B836" t="s">
        <v>35</v>
      </c>
      <c r="C836" t="s">
        <v>92</v>
      </c>
      <c r="D836" t="s">
        <v>81</v>
      </c>
      <c r="E836" t="s">
        <v>82</v>
      </c>
      <c r="F836" t="s">
        <v>73</v>
      </c>
      <c r="G836" t="s">
        <v>74</v>
      </c>
      <c r="H836" t="s">
        <v>129</v>
      </c>
      <c r="I836" t="s">
        <v>84</v>
      </c>
      <c r="J836" s="76">
        <f>'SUT_EU27 total'!$O$96</f>
        <v>5.9963902402539811E-4</v>
      </c>
    </row>
    <row r="837" spans="1:10" x14ac:dyDescent="0.35">
      <c r="A837" t="s">
        <v>18</v>
      </c>
      <c r="B837" t="s">
        <v>35</v>
      </c>
      <c r="C837" t="s">
        <v>92</v>
      </c>
      <c r="D837" t="s">
        <v>81</v>
      </c>
      <c r="E837" t="s">
        <v>86</v>
      </c>
      <c r="F837" t="s">
        <v>73</v>
      </c>
      <c r="G837" t="s">
        <v>74</v>
      </c>
      <c r="H837" t="s">
        <v>129</v>
      </c>
      <c r="I837" t="s">
        <v>84</v>
      </c>
      <c r="J837" s="76">
        <f>'SUT_EU27 total'!$O$103</f>
        <v>7.0614092017150581E-3</v>
      </c>
    </row>
    <row r="838" spans="1:10" x14ac:dyDescent="0.35">
      <c r="A838" t="s">
        <v>18</v>
      </c>
      <c r="B838" t="s">
        <v>35</v>
      </c>
      <c r="C838" t="s">
        <v>93</v>
      </c>
      <c r="D838" t="s">
        <v>81</v>
      </c>
      <c r="E838" t="s">
        <v>82</v>
      </c>
      <c r="F838" t="s">
        <v>73</v>
      </c>
      <c r="G838" t="s">
        <v>74</v>
      </c>
      <c r="H838" t="s">
        <v>129</v>
      </c>
      <c r="I838" t="s">
        <v>84</v>
      </c>
      <c r="J838" s="76">
        <f>'SUT_EU27 total'!$O$113</f>
        <v>2.4854239602480213E-3</v>
      </c>
    </row>
    <row r="839" spans="1:10" x14ac:dyDescent="0.35">
      <c r="A839" t="s">
        <v>18</v>
      </c>
      <c r="B839" t="s">
        <v>35</v>
      </c>
      <c r="C839" t="s">
        <v>93</v>
      </c>
      <c r="D839" t="s">
        <v>81</v>
      </c>
      <c r="E839" t="s">
        <v>86</v>
      </c>
      <c r="F839" t="s">
        <v>73</v>
      </c>
      <c r="G839" t="s">
        <v>74</v>
      </c>
      <c r="H839" t="s">
        <v>129</v>
      </c>
      <c r="I839" t="s">
        <v>84</v>
      </c>
      <c r="J839" s="76">
        <f>'SUT_EU27 total'!$O$120</f>
        <v>3.1580644155014347E-2</v>
      </c>
    </row>
    <row r="840" spans="1:10" x14ac:dyDescent="0.35">
      <c r="A840" t="s">
        <v>18</v>
      </c>
      <c r="B840" t="s">
        <v>35</v>
      </c>
      <c r="C840" t="s">
        <v>73</v>
      </c>
      <c r="D840" t="s">
        <v>81</v>
      </c>
      <c r="E840" t="s">
        <v>82</v>
      </c>
      <c r="F840" t="s">
        <v>73</v>
      </c>
      <c r="G840" t="s">
        <v>74</v>
      </c>
      <c r="H840" t="s">
        <v>130</v>
      </c>
      <c r="I840" t="s">
        <v>84</v>
      </c>
      <c r="J840" s="55" cm="1">
        <f t="array" ref="J840:J845">Sensitivity!J76:J81</f>
        <v>8.2729226706694789E-2</v>
      </c>
    </row>
    <row r="841" spans="1:10" x14ac:dyDescent="0.35">
      <c r="A841" t="s">
        <v>18</v>
      </c>
      <c r="B841" t="s">
        <v>35</v>
      </c>
      <c r="C841" t="s">
        <v>88</v>
      </c>
      <c r="D841" t="s">
        <v>81</v>
      </c>
      <c r="E841" t="s">
        <v>82</v>
      </c>
      <c r="F841" t="s">
        <v>73</v>
      </c>
      <c r="G841" t="s">
        <v>74</v>
      </c>
      <c r="H841" t="s">
        <v>130</v>
      </c>
      <c r="I841" t="s">
        <v>84</v>
      </c>
      <c r="J841" s="55">
        <v>5.2079482680952971E-2</v>
      </c>
    </row>
    <row r="842" spans="1:10" x14ac:dyDescent="0.35">
      <c r="A842" t="s">
        <v>18</v>
      </c>
      <c r="B842" t="s">
        <v>35</v>
      </c>
      <c r="C842" t="s">
        <v>90</v>
      </c>
      <c r="D842" t="s">
        <v>81</v>
      </c>
      <c r="E842" t="s">
        <v>82</v>
      </c>
      <c r="F842" t="s">
        <v>73</v>
      </c>
      <c r="G842" t="s">
        <v>74</v>
      </c>
      <c r="H842" t="s">
        <v>130</v>
      </c>
      <c r="I842" t="s">
        <v>84</v>
      </c>
      <c r="J842" s="55">
        <v>1.2529403666115169E-5</v>
      </c>
    </row>
    <row r="843" spans="1:10" x14ac:dyDescent="0.35">
      <c r="A843" t="s">
        <v>18</v>
      </c>
      <c r="B843" t="s">
        <v>35</v>
      </c>
      <c r="C843" t="s">
        <v>91</v>
      </c>
      <c r="D843" t="s">
        <v>81</v>
      </c>
      <c r="E843" t="s">
        <v>82</v>
      </c>
      <c r="F843" t="s">
        <v>73</v>
      </c>
      <c r="G843" t="s">
        <v>74</v>
      </c>
      <c r="H843" t="s">
        <v>130</v>
      </c>
      <c r="I843" t="s">
        <v>84</v>
      </c>
      <c r="J843" s="55">
        <v>2.4378818131945324E-3</v>
      </c>
    </row>
    <row r="844" spans="1:10" x14ac:dyDescent="0.35">
      <c r="A844" t="s">
        <v>18</v>
      </c>
      <c r="B844" t="s">
        <v>35</v>
      </c>
      <c r="C844" t="s">
        <v>92</v>
      </c>
      <c r="D844" t="s">
        <v>81</v>
      </c>
      <c r="E844" t="s">
        <v>82</v>
      </c>
      <c r="F844" t="s">
        <v>73</v>
      </c>
      <c r="G844" t="s">
        <v>74</v>
      </c>
      <c r="H844" t="s">
        <v>130</v>
      </c>
      <c r="I844" t="s">
        <v>84</v>
      </c>
      <c r="J844" s="55">
        <v>3.3842715881911524E-3</v>
      </c>
    </row>
    <row r="845" spans="1:10" x14ac:dyDescent="0.35">
      <c r="A845" t="s">
        <v>18</v>
      </c>
      <c r="B845" t="s">
        <v>35</v>
      </c>
      <c r="C845" t="s">
        <v>93</v>
      </c>
      <c r="D845" t="s">
        <v>81</v>
      </c>
      <c r="E845" t="s">
        <v>82</v>
      </c>
      <c r="F845" t="s">
        <v>73</v>
      </c>
      <c r="G845" t="s">
        <v>74</v>
      </c>
      <c r="H845" t="s">
        <v>130</v>
      </c>
      <c r="I845" t="s">
        <v>84</v>
      </c>
      <c r="J845" s="55">
        <v>1.4027355385930732E-2</v>
      </c>
    </row>
    <row r="846" spans="1:10" x14ac:dyDescent="0.35">
      <c r="A846" t="s">
        <v>18</v>
      </c>
      <c r="B846" t="s">
        <v>35</v>
      </c>
      <c r="C846" t="s">
        <v>73</v>
      </c>
      <c r="D846" t="s">
        <v>81</v>
      </c>
      <c r="E846" s="77" t="s">
        <v>96</v>
      </c>
      <c r="F846" s="77" t="s">
        <v>73</v>
      </c>
      <c r="G846" s="77" t="s">
        <v>74</v>
      </c>
      <c r="H846" s="77" t="s">
        <v>130</v>
      </c>
      <c r="I846" s="77" t="s">
        <v>84</v>
      </c>
      <c r="J846" s="55" cm="1">
        <f t="array" ref="J846:J847">Sensitivity!J74:J75</f>
        <v>0.30207394048692521</v>
      </c>
    </row>
    <row r="847" spans="1:10" x14ac:dyDescent="0.35">
      <c r="A847" t="s">
        <v>18</v>
      </c>
      <c r="B847" t="s">
        <v>35</v>
      </c>
      <c r="C847" t="s">
        <v>73</v>
      </c>
      <c r="D847" t="s">
        <v>81</v>
      </c>
      <c r="E847" s="77" t="s">
        <v>99</v>
      </c>
      <c r="F847" s="77" t="s">
        <v>73</v>
      </c>
      <c r="G847" s="77" t="s">
        <v>74</v>
      </c>
      <c r="H847" s="77" t="s">
        <v>130</v>
      </c>
      <c r="I847" s="77" t="s">
        <v>84</v>
      </c>
      <c r="J847" s="55">
        <v>1.2082957619477008</v>
      </c>
    </row>
    <row r="848" spans="1:10" x14ac:dyDescent="0.35">
      <c r="A848" t="s">
        <v>18</v>
      </c>
      <c r="B848" t="s">
        <v>35</v>
      </c>
      <c r="C848" t="s">
        <v>73</v>
      </c>
      <c r="D848" t="s">
        <v>81</v>
      </c>
      <c r="E848" t="s">
        <v>131</v>
      </c>
      <c r="F848" t="s">
        <v>73</v>
      </c>
      <c r="G848" t="s">
        <v>74</v>
      </c>
      <c r="H848" t="s">
        <v>112</v>
      </c>
      <c r="I848" t="s">
        <v>84</v>
      </c>
      <c r="J848" s="76">
        <f>'SUT_EU27 total'!$R$24</f>
        <v>4.0146105919003111E-8</v>
      </c>
    </row>
    <row r="849" spans="1:10" x14ac:dyDescent="0.35">
      <c r="A849" t="s">
        <v>18</v>
      </c>
      <c r="B849" t="s">
        <v>35</v>
      </c>
      <c r="C849" t="s">
        <v>73</v>
      </c>
      <c r="D849" t="s">
        <v>81</v>
      </c>
      <c r="E849" t="s">
        <v>122</v>
      </c>
      <c r="F849" t="s">
        <v>73</v>
      </c>
      <c r="G849" t="s">
        <v>74</v>
      </c>
      <c r="H849" t="s">
        <v>112</v>
      </c>
      <c r="I849" t="s">
        <v>84</v>
      </c>
      <c r="J849" s="76">
        <f>'SUT_EU27 total'!$R$30</f>
        <v>3.9708116569218732E-4</v>
      </c>
    </row>
    <row r="850" spans="1:10" x14ac:dyDescent="0.35">
      <c r="A850" t="s">
        <v>18</v>
      </c>
      <c r="B850" t="s">
        <v>35</v>
      </c>
      <c r="C850" t="s">
        <v>73</v>
      </c>
      <c r="D850" t="s">
        <v>81</v>
      </c>
      <c r="E850" t="s">
        <v>101</v>
      </c>
      <c r="F850" t="s">
        <v>73</v>
      </c>
      <c r="G850" t="s">
        <v>74</v>
      </c>
      <c r="H850" t="s">
        <v>112</v>
      </c>
      <c r="I850" t="s">
        <v>84</v>
      </c>
      <c r="J850" s="76" cm="1">
        <f t="array" ref="J850:J852">'SUT_EU27 total'!$R$32:$R$34</f>
        <v>1.2183459827918709E-7</v>
      </c>
    </row>
    <row r="851" spans="1:10" x14ac:dyDescent="0.35">
      <c r="A851" t="s">
        <v>18</v>
      </c>
      <c r="B851" t="s">
        <v>35</v>
      </c>
      <c r="C851" t="s">
        <v>73</v>
      </c>
      <c r="D851" t="s">
        <v>81</v>
      </c>
      <c r="E851" t="s">
        <v>104</v>
      </c>
      <c r="F851" t="s">
        <v>73</v>
      </c>
      <c r="G851" t="s">
        <v>74</v>
      </c>
      <c r="H851" t="s">
        <v>112</v>
      </c>
      <c r="I851" t="s">
        <v>84</v>
      </c>
      <c r="J851" s="4">
        <v>2.3068290654205609E-7</v>
      </c>
    </row>
    <row r="852" spans="1:10" x14ac:dyDescent="0.35">
      <c r="A852" t="s">
        <v>18</v>
      </c>
      <c r="B852" t="s">
        <v>35</v>
      </c>
      <c r="C852" t="s">
        <v>73</v>
      </c>
      <c r="D852" t="s">
        <v>81</v>
      </c>
      <c r="E852" t="s">
        <v>106</v>
      </c>
      <c r="F852" t="s">
        <v>73</v>
      </c>
      <c r="G852" t="s">
        <v>74</v>
      </c>
      <c r="H852" t="s">
        <v>112</v>
      </c>
      <c r="I852" t="s">
        <v>84</v>
      </c>
      <c r="J852" s="4">
        <v>7.8463573653760568E-7</v>
      </c>
    </row>
    <row r="853" spans="1:10" x14ac:dyDescent="0.35">
      <c r="A853" t="s">
        <v>18</v>
      </c>
      <c r="B853" t="s">
        <v>35</v>
      </c>
      <c r="C853" t="s">
        <v>88</v>
      </c>
      <c r="D853" t="s">
        <v>81</v>
      </c>
      <c r="E853" t="s">
        <v>131</v>
      </c>
      <c r="F853" t="s">
        <v>73</v>
      </c>
      <c r="G853" t="s">
        <v>74</v>
      </c>
      <c r="H853" t="s">
        <v>112</v>
      </c>
      <c r="I853" t="s">
        <v>84</v>
      </c>
      <c r="J853" s="4">
        <f>'SUT_EU27 total'!$R$41</f>
        <v>0</v>
      </c>
    </row>
    <row r="854" spans="1:10" x14ac:dyDescent="0.35">
      <c r="A854" t="s">
        <v>18</v>
      </c>
      <c r="B854" t="s">
        <v>35</v>
      </c>
      <c r="C854" t="s">
        <v>88</v>
      </c>
      <c r="D854" t="s">
        <v>81</v>
      </c>
      <c r="E854" t="s">
        <v>122</v>
      </c>
      <c r="F854" t="s">
        <v>73</v>
      </c>
      <c r="G854" t="s">
        <v>74</v>
      </c>
      <c r="H854" t="s">
        <v>112</v>
      </c>
      <c r="I854" t="s">
        <v>84</v>
      </c>
      <c r="J854" s="76">
        <f>'SUT_EU27 total'!$R$47</f>
        <v>0</v>
      </c>
    </row>
    <row r="855" spans="1:10" x14ac:dyDescent="0.35">
      <c r="A855" t="s">
        <v>18</v>
      </c>
      <c r="B855" t="s">
        <v>35</v>
      </c>
      <c r="C855" t="s">
        <v>88</v>
      </c>
      <c r="D855" t="s">
        <v>81</v>
      </c>
      <c r="E855" t="s">
        <v>101</v>
      </c>
      <c r="F855" t="s">
        <v>73</v>
      </c>
      <c r="G855" t="s">
        <v>74</v>
      </c>
      <c r="H855" t="s">
        <v>112</v>
      </c>
      <c r="I855" t="s">
        <v>84</v>
      </c>
      <c r="J855" s="4" cm="1">
        <f t="array" ref="J855:J857">'SUT_EU27 total'!$R$49:$R$51</f>
        <v>0</v>
      </c>
    </row>
    <row r="856" spans="1:10" x14ac:dyDescent="0.35">
      <c r="A856" t="s">
        <v>18</v>
      </c>
      <c r="B856" t="s">
        <v>35</v>
      </c>
      <c r="C856" t="s">
        <v>88</v>
      </c>
      <c r="D856" t="s">
        <v>81</v>
      </c>
      <c r="E856" t="s">
        <v>104</v>
      </c>
      <c r="F856" t="s">
        <v>73</v>
      </c>
      <c r="G856" t="s">
        <v>74</v>
      </c>
      <c r="H856" t="s">
        <v>112</v>
      </c>
      <c r="I856" t="s">
        <v>84</v>
      </c>
      <c r="J856" s="4">
        <v>0</v>
      </c>
    </row>
    <row r="857" spans="1:10" x14ac:dyDescent="0.35">
      <c r="A857" t="s">
        <v>18</v>
      </c>
      <c r="B857" t="s">
        <v>35</v>
      </c>
      <c r="C857" t="s">
        <v>88</v>
      </c>
      <c r="D857" t="s">
        <v>81</v>
      </c>
      <c r="E857" t="s">
        <v>106</v>
      </c>
      <c r="F857" t="s">
        <v>73</v>
      </c>
      <c r="G857" t="s">
        <v>74</v>
      </c>
      <c r="H857" t="s">
        <v>112</v>
      </c>
      <c r="I857" t="s">
        <v>84</v>
      </c>
      <c r="J857" s="4">
        <v>0</v>
      </c>
    </row>
    <row r="858" spans="1:10" x14ac:dyDescent="0.35">
      <c r="A858" t="s">
        <v>18</v>
      </c>
      <c r="B858" t="s">
        <v>35</v>
      </c>
      <c r="C858" t="s">
        <v>90</v>
      </c>
      <c r="D858" t="s">
        <v>81</v>
      </c>
      <c r="E858" t="s">
        <v>131</v>
      </c>
      <c r="F858" t="s">
        <v>73</v>
      </c>
      <c r="G858" t="s">
        <v>74</v>
      </c>
      <c r="H858" t="s">
        <v>112</v>
      </c>
      <c r="I858" t="s">
        <v>84</v>
      </c>
      <c r="J858" s="4">
        <f>'SUT_EU27 total'!$R$58</f>
        <v>0</v>
      </c>
    </row>
    <row r="859" spans="1:10" x14ac:dyDescent="0.35">
      <c r="A859" t="s">
        <v>18</v>
      </c>
      <c r="B859" t="s">
        <v>35</v>
      </c>
      <c r="C859" t="s">
        <v>90</v>
      </c>
      <c r="D859" t="s">
        <v>81</v>
      </c>
      <c r="E859" t="s">
        <v>122</v>
      </c>
      <c r="F859" t="s">
        <v>73</v>
      </c>
      <c r="G859" t="s">
        <v>74</v>
      </c>
      <c r="H859" t="s">
        <v>112</v>
      </c>
      <c r="I859" t="s">
        <v>84</v>
      </c>
      <c r="J859" s="76">
        <f>'SUT_EU27 total'!$R$64</f>
        <v>6.4108466461028498E-4</v>
      </c>
    </row>
    <row r="860" spans="1:10" x14ac:dyDescent="0.35">
      <c r="A860" t="s">
        <v>18</v>
      </c>
      <c r="B860" t="s">
        <v>35</v>
      </c>
      <c r="C860" t="s">
        <v>90</v>
      </c>
      <c r="D860" t="s">
        <v>81</v>
      </c>
      <c r="E860" t="s">
        <v>101</v>
      </c>
      <c r="F860" t="s">
        <v>73</v>
      </c>
      <c r="G860" t="s">
        <v>74</v>
      </c>
      <c r="H860" t="s">
        <v>112</v>
      </c>
      <c r="I860" t="s">
        <v>84</v>
      </c>
      <c r="J860" s="4" cm="1">
        <f t="array" ref="J860:J862">'SUT_EU27 total'!$R$66:$R$68</f>
        <v>0</v>
      </c>
    </row>
    <row r="861" spans="1:10" x14ac:dyDescent="0.35">
      <c r="A861" t="s">
        <v>18</v>
      </c>
      <c r="B861" t="s">
        <v>35</v>
      </c>
      <c r="C861" t="s">
        <v>90</v>
      </c>
      <c r="D861" t="s">
        <v>81</v>
      </c>
      <c r="E861" t="s">
        <v>104</v>
      </c>
      <c r="F861" t="s">
        <v>73</v>
      </c>
      <c r="G861" t="s">
        <v>74</v>
      </c>
      <c r="H861" t="s">
        <v>112</v>
      </c>
      <c r="I861" t="s">
        <v>84</v>
      </c>
      <c r="J861" s="4">
        <v>0</v>
      </c>
    </row>
    <row r="862" spans="1:10" x14ac:dyDescent="0.35">
      <c r="A862" t="s">
        <v>18</v>
      </c>
      <c r="B862" t="s">
        <v>35</v>
      </c>
      <c r="C862" t="s">
        <v>90</v>
      </c>
      <c r="D862" t="s">
        <v>81</v>
      </c>
      <c r="E862" t="s">
        <v>106</v>
      </c>
      <c r="F862" t="s">
        <v>73</v>
      </c>
      <c r="G862" t="s">
        <v>74</v>
      </c>
      <c r="H862" t="s">
        <v>112</v>
      </c>
      <c r="I862" t="s">
        <v>84</v>
      </c>
      <c r="J862" s="4">
        <v>0</v>
      </c>
    </row>
    <row r="863" spans="1:10" x14ac:dyDescent="0.35">
      <c r="A863" t="s">
        <v>18</v>
      </c>
      <c r="B863" t="s">
        <v>35</v>
      </c>
      <c r="C863" t="s">
        <v>91</v>
      </c>
      <c r="D863" t="s">
        <v>81</v>
      </c>
      <c r="E863" t="s">
        <v>131</v>
      </c>
      <c r="F863" t="s">
        <v>73</v>
      </c>
      <c r="G863" t="s">
        <v>74</v>
      </c>
      <c r="H863" t="s">
        <v>112</v>
      </c>
      <c r="I863" t="s">
        <v>84</v>
      </c>
      <c r="J863" s="4">
        <f>'SUT_EU27 total'!$R$75</f>
        <v>0</v>
      </c>
    </row>
    <row r="864" spans="1:10" x14ac:dyDescent="0.35">
      <c r="A864" t="s">
        <v>18</v>
      </c>
      <c r="B864" t="s">
        <v>35</v>
      </c>
      <c r="C864" t="s">
        <v>91</v>
      </c>
      <c r="D864" t="s">
        <v>81</v>
      </c>
      <c r="E864" t="s">
        <v>122</v>
      </c>
      <c r="F864" t="s">
        <v>73</v>
      </c>
      <c r="G864" t="s">
        <v>74</v>
      </c>
      <c r="H864" t="s">
        <v>112</v>
      </c>
      <c r="I864" t="s">
        <v>84</v>
      </c>
      <c r="J864" s="76">
        <f>'SUT_EU27 total'!$R$81</f>
        <v>0</v>
      </c>
    </row>
    <row r="865" spans="1:10" x14ac:dyDescent="0.35">
      <c r="A865" t="s">
        <v>18</v>
      </c>
      <c r="B865" t="s">
        <v>35</v>
      </c>
      <c r="C865" t="s">
        <v>91</v>
      </c>
      <c r="D865" t="s">
        <v>81</v>
      </c>
      <c r="E865" t="s">
        <v>101</v>
      </c>
      <c r="F865" t="s">
        <v>73</v>
      </c>
      <c r="G865" t="s">
        <v>74</v>
      </c>
      <c r="H865" t="s">
        <v>112</v>
      </c>
      <c r="I865" t="s">
        <v>84</v>
      </c>
      <c r="J865" s="4" cm="1">
        <f t="array" ref="J865:J867">'SUT_EU27 total'!$R$83:$R$85</f>
        <v>0</v>
      </c>
    </row>
    <row r="866" spans="1:10" x14ac:dyDescent="0.35">
      <c r="A866" t="s">
        <v>18</v>
      </c>
      <c r="B866" t="s">
        <v>35</v>
      </c>
      <c r="C866" t="s">
        <v>91</v>
      </c>
      <c r="D866" t="s">
        <v>81</v>
      </c>
      <c r="E866" t="s">
        <v>104</v>
      </c>
      <c r="F866" t="s">
        <v>73</v>
      </c>
      <c r="G866" t="s">
        <v>74</v>
      </c>
      <c r="H866" t="s">
        <v>112</v>
      </c>
      <c r="I866" t="s">
        <v>84</v>
      </c>
      <c r="J866" s="4">
        <v>0</v>
      </c>
    </row>
    <row r="867" spans="1:10" x14ac:dyDescent="0.35">
      <c r="A867" t="s">
        <v>18</v>
      </c>
      <c r="B867" t="s">
        <v>35</v>
      </c>
      <c r="C867" t="s">
        <v>91</v>
      </c>
      <c r="D867" t="s">
        <v>81</v>
      </c>
      <c r="E867" t="s">
        <v>106</v>
      </c>
      <c r="F867" t="s">
        <v>73</v>
      </c>
      <c r="G867" t="s">
        <v>74</v>
      </c>
      <c r="H867" t="s">
        <v>112</v>
      </c>
      <c r="I867" t="s">
        <v>84</v>
      </c>
      <c r="J867" s="4">
        <v>0</v>
      </c>
    </row>
    <row r="868" spans="1:10" x14ac:dyDescent="0.35">
      <c r="A868" t="s">
        <v>18</v>
      </c>
      <c r="B868" t="s">
        <v>35</v>
      </c>
      <c r="C868" t="s">
        <v>92</v>
      </c>
      <c r="D868" t="s">
        <v>81</v>
      </c>
      <c r="E868" t="s">
        <v>131</v>
      </c>
      <c r="F868" t="s">
        <v>73</v>
      </c>
      <c r="G868" t="s">
        <v>74</v>
      </c>
      <c r="H868" t="s">
        <v>112</v>
      </c>
      <c r="I868" t="s">
        <v>84</v>
      </c>
      <c r="J868" s="4">
        <f>'SUT_EU27 total'!$R$92</f>
        <v>0</v>
      </c>
    </row>
    <row r="869" spans="1:10" x14ac:dyDescent="0.35">
      <c r="A869" t="s">
        <v>18</v>
      </c>
      <c r="B869" t="s">
        <v>35</v>
      </c>
      <c r="C869" t="s">
        <v>92</v>
      </c>
      <c r="D869" t="s">
        <v>81</v>
      </c>
      <c r="E869" t="s">
        <v>122</v>
      </c>
      <c r="F869" t="s">
        <v>73</v>
      </c>
      <c r="G869" t="s">
        <v>74</v>
      </c>
      <c r="H869" t="s">
        <v>112</v>
      </c>
      <c r="I869" t="s">
        <v>84</v>
      </c>
      <c r="J869" s="76">
        <f>'SUT_EU27 total'!$R$98</f>
        <v>0</v>
      </c>
    </row>
    <row r="870" spans="1:10" x14ac:dyDescent="0.35">
      <c r="A870" t="s">
        <v>18</v>
      </c>
      <c r="B870" t="s">
        <v>35</v>
      </c>
      <c r="C870" t="s">
        <v>92</v>
      </c>
      <c r="D870" t="s">
        <v>81</v>
      </c>
      <c r="E870" t="s">
        <v>101</v>
      </c>
      <c r="F870" t="s">
        <v>73</v>
      </c>
      <c r="G870" t="s">
        <v>74</v>
      </c>
      <c r="H870" t="s">
        <v>112</v>
      </c>
      <c r="I870" t="s">
        <v>84</v>
      </c>
      <c r="J870" s="4" cm="1">
        <f t="array" ref="J870:J872">'SUT_EU27 total'!$R$100:$R$102</f>
        <v>0</v>
      </c>
    </row>
    <row r="871" spans="1:10" x14ac:dyDescent="0.35">
      <c r="A871" t="s">
        <v>18</v>
      </c>
      <c r="B871" t="s">
        <v>35</v>
      </c>
      <c r="C871" t="s">
        <v>92</v>
      </c>
      <c r="D871" t="s">
        <v>81</v>
      </c>
      <c r="E871" t="s">
        <v>104</v>
      </c>
      <c r="F871" t="s">
        <v>73</v>
      </c>
      <c r="G871" t="s">
        <v>74</v>
      </c>
      <c r="H871" t="s">
        <v>112</v>
      </c>
      <c r="I871" t="s">
        <v>84</v>
      </c>
      <c r="J871" s="4">
        <v>0</v>
      </c>
    </row>
    <row r="872" spans="1:10" x14ac:dyDescent="0.35">
      <c r="A872" t="s">
        <v>18</v>
      </c>
      <c r="B872" t="s">
        <v>35</v>
      </c>
      <c r="C872" t="s">
        <v>92</v>
      </c>
      <c r="D872" t="s">
        <v>81</v>
      </c>
      <c r="E872" t="s">
        <v>106</v>
      </c>
      <c r="F872" t="s">
        <v>73</v>
      </c>
      <c r="G872" t="s">
        <v>74</v>
      </c>
      <c r="H872" t="s">
        <v>112</v>
      </c>
      <c r="I872" t="s">
        <v>84</v>
      </c>
      <c r="J872" s="4">
        <v>0</v>
      </c>
    </row>
    <row r="873" spans="1:10" x14ac:dyDescent="0.35">
      <c r="A873" t="s">
        <v>18</v>
      </c>
      <c r="B873" t="s">
        <v>35</v>
      </c>
      <c r="C873" t="s">
        <v>93</v>
      </c>
      <c r="D873" t="s">
        <v>81</v>
      </c>
      <c r="E873" t="s">
        <v>131</v>
      </c>
      <c r="F873" t="s">
        <v>73</v>
      </c>
      <c r="G873" t="s">
        <v>74</v>
      </c>
      <c r="H873" t="s">
        <v>112</v>
      </c>
      <c r="I873" t="s">
        <v>84</v>
      </c>
      <c r="J873" s="4">
        <f>'SUT_EU27 total'!$R$109</f>
        <v>0</v>
      </c>
    </row>
    <row r="874" spans="1:10" x14ac:dyDescent="0.35">
      <c r="A874" t="s">
        <v>18</v>
      </c>
      <c r="B874" t="s">
        <v>35</v>
      </c>
      <c r="C874" t="s">
        <v>93</v>
      </c>
      <c r="D874" t="s">
        <v>81</v>
      </c>
      <c r="E874" t="s">
        <v>122</v>
      </c>
      <c r="F874" t="s">
        <v>73</v>
      </c>
      <c r="G874" t="s">
        <v>74</v>
      </c>
      <c r="H874" t="s">
        <v>112</v>
      </c>
      <c r="I874" t="s">
        <v>84</v>
      </c>
      <c r="J874" s="76">
        <f>'SUT_EU27 total'!$R$115</f>
        <v>2.188358424259166E-3</v>
      </c>
    </row>
    <row r="875" spans="1:10" x14ac:dyDescent="0.35">
      <c r="A875" t="s">
        <v>18</v>
      </c>
      <c r="B875" t="s">
        <v>35</v>
      </c>
      <c r="C875" t="s">
        <v>93</v>
      </c>
      <c r="D875" t="s">
        <v>81</v>
      </c>
      <c r="E875" t="s">
        <v>101</v>
      </c>
      <c r="F875" t="s">
        <v>73</v>
      </c>
      <c r="G875" t="s">
        <v>74</v>
      </c>
      <c r="H875" t="s">
        <v>112</v>
      </c>
      <c r="I875" t="s">
        <v>84</v>
      </c>
      <c r="J875" s="4" cm="1">
        <f t="array" ref="J875:J877">'SUT_EU27 total'!$R$117:$R$119</f>
        <v>0</v>
      </c>
    </row>
    <row r="876" spans="1:10" x14ac:dyDescent="0.35">
      <c r="A876" t="s">
        <v>18</v>
      </c>
      <c r="B876" t="s">
        <v>35</v>
      </c>
      <c r="C876" t="s">
        <v>93</v>
      </c>
      <c r="D876" t="s">
        <v>81</v>
      </c>
      <c r="E876" t="s">
        <v>104</v>
      </c>
      <c r="F876" t="s">
        <v>73</v>
      </c>
      <c r="G876" t="s">
        <v>74</v>
      </c>
      <c r="H876" t="s">
        <v>112</v>
      </c>
      <c r="I876" t="s">
        <v>84</v>
      </c>
      <c r="J876" s="4">
        <v>0</v>
      </c>
    </row>
    <row r="877" spans="1:10" x14ac:dyDescent="0.35">
      <c r="A877" t="s">
        <v>18</v>
      </c>
      <c r="B877" t="s">
        <v>35</v>
      </c>
      <c r="C877" t="s">
        <v>93</v>
      </c>
      <c r="D877" t="s">
        <v>81</v>
      </c>
      <c r="E877" t="s">
        <v>106</v>
      </c>
      <c r="F877" t="s">
        <v>73</v>
      </c>
      <c r="G877" t="s">
        <v>74</v>
      </c>
      <c r="H877" t="s">
        <v>112</v>
      </c>
      <c r="I877" t="s">
        <v>84</v>
      </c>
      <c r="J877" s="4">
        <v>0</v>
      </c>
    </row>
    <row r="878" spans="1:10" x14ac:dyDescent="0.35">
      <c r="A878" t="s">
        <v>18</v>
      </c>
      <c r="B878" t="s">
        <v>35</v>
      </c>
      <c r="C878" t="s">
        <v>73</v>
      </c>
      <c r="D878" t="s">
        <v>81</v>
      </c>
      <c r="E878" t="s">
        <v>131</v>
      </c>
      <c r="F878" t="s">
        <v>73</v>
      </c>
      <c r="G878" t="s">
        <v>74</v>
      </c>
      <c r="H878" t="s">
        <v>113</v>
      </c>
      <c r="I878" t="s">
        <v>84</v>
      </c>
      <c r="J878" s="76">
        <f>'SUT_EU27 total'!$S$24</f>
        <v>5.0294789999999994E-8</v>
      </c>
    </row>
    <row r="879" spans="1:10" x14ac:dyDescent="0.35">
      <c r="A879" t="s">
        <v>18</v>
      </c>
      <c r="B879" t="s">
        <v>35</v>
      </c>
      <c r="C879" t="s">
        <v>73</v>
      </c>
      <c r="D879" t="s">
        <v>81</v>
      </c>
      <c r="E879" t="s">
        <v>101</v>
      </c>
      <c r="F879" t="s">
        <v>73</v>
      </c>
      <c r="G879" t="s">
        <v>74</v>
      </c>
      <c r="H879" t="s">
        <v>113</v>
      </c>
      <c r="I879" t="s">
        <v>84</v>
      </c>
      <c r="J879" s="76" cm="1">
        <f t="array" ref="J879:J881">'SUT_EU27 total'!$S$32:$S$34</f>
        <v>1.7883556705882356E-5</v>
      </c>
    </row>
    <row r="880" spans="1:10" x14ac:dyDescent="0.35">
      <c r="A880" t="s">
        <v>18</v>
      </c>
      <c r="B880" t="s">
        <v>35</v>
      </c>
      <c r="C880" t="s">
        <v>73</v>
      </c>
      <c r="D880" t="s">
        <v>81</v>
      </c>
      <c r="E880" t="s">
        <v>104</v>
      </c>
      <c r="F880" t="s">
        <v>73</v>
      </c>
      <c r="G880" t="s">
        <v>74</v>
      </c>
      <c r="H880" t="s">
        <v>113</v>
      </c>
      <c r="I880" t="s">
        <v>84</v>
      </c>
      <c r="J880" s="4">
        <v>3.3860913882352942E-5</v>
      </c>
    </row>
    <row r="881" spans="1:10" x14ac:dyDescent="0.35">
      <c r="A881" t="s">
        <v>18</v>
      </c>
      <c r="B881" t="s">
        <v>35</v>
      </c>
      <c r="C881" t="s">
        <v>73</v>
      </c>
      <c r="D881" t="s">
        <v>81</v>
      </c>
      <c r="E881" t="s">
        <v>106</v>
      </c>
      <c r="F881" t="s">
        <v>73</v>
      </c>
      <c r="G881" t="s">
        <v>74</v>
      </c>
      <c r="H881" t="s">
        <v>113</v>
      </c>
      <c r="I881" t="s">
        <v>84</v>
      </c>
      <c r="J881" s="4">
        <v>1.1517317647058823E-4</v>
      </c>
    </row>
    <row r="882" spans="1:10" x14ac:dyDescent="0.35">
      <c r="A882" t="s">
        <v>18</v>
      </c>
      <c r="B882" t="s">
        <v>35</v>
      </c>
      <c r="C882" t="s">
        <v>88</v>
      </c>
      <c r="D882" t="s">
        <v>81</v>
      </c>
      <c r="E882" t="s">
        <v>131</v>
      </c>
      <c r="F882" t="s">
        <v>73</v>
      </c>
      <c r="G882" t="s">
        <v>74</v>
      </c>
      <c r="H882" t="s">
        <v>113</v>
      </c>
      <c r="I882" t="s">
        <v>84</v>
      </c>
      <c r="J882" s="4">
        <f>'SUT_EU27 total'!$S$41</f>
        <v>0</v>
      </c>
    </row>
    <row r="883" spans="1:10" x14ac:dyDescent="0.35">
      <c r="A883" t="s">
        <v>18</v>
      </c>
      <c r="B883" t="s">
        <v>35</v>
      </c>
      <c r="C883" t="s">
        <v>88</v>
      </c>
      <c r="D883" t="s">
        <v>81</v>
      </c>
      <c r="E883" t="s">
        <v>101</v>
      </c>
      <c r="F883" t="s">
        <v>73</v>
      </c>
      <c r="G883" t="s">
        <v>74</v>
      </c>
      <c r="H883" t="s">
        <v>113</v>
      </c>
      <c r="I883" t="s">
        <v>84</v>
      </c>
      <c r="J883" s="4" cm="1">
        <f t="array" ref="J883:J885">'SUT_EU27 total'!$S$49:$S$51</f>
        <v>0</v>
      </c>
    </row>
    <row r="884" spans="1:10" x14ac:dyDescent="0.35">
      <c r="A884" t="s">
        <v>18</v>
      </c>
      <c r="B884" t="s">
        <v>35</v>
      </c>
      <c r="C884" t="s">
        <v>88</v>
      </c>
      <c r="D884" t="s">
        <v>81</v>
      </c>
      <c r="E884" t="s">
        <v>104</v>
      </c>
      <c r="F884" t="s">
        <v>73</v>
      </c>
      <c r="G884" t="s">
        <v>74</v>
      </c>
      <c r="H884" t="s">
        <v>113</v>
      </c>
      <c r="I884" t="s">
        <v>84</v>
      </c>
      <c r="J884" s="4">
        <v>0</v>
      </c>
    </row>
    <row r="885" spans="1:10" x14ac:dyDescent="0.35">
      <c r="A885" t="s">
        <v>18</v>
      </c>
      <c r="B885" t="s">
        <v>35</v>
      </c>
      <c r="C885" t="s">
        <v>88</v>
      </c>
      <c r="D885" t="s">
        <v>81</v>
      </c>
      <c r="E885" t="s">
        <v>106</v>
      </c>
      <c r="F885" t="s">
        <v>73</v>
      </c>
      <c r="G885" t="s">
        <v>74</v>
      </c>
      <c r="H885" t="s">
        <v>113</v>
      </c>
      <c r="I885" t="s">
        <v>84</v>
      </c>
      <c r="J885" s="4">
        <v>0</v>
      </c>
    </row>
    <row r="886" spans="1:10" x14ac:dyDescent="0.35">
      <c r="A886" t="s">
        <v>18</v>
      </c>
      <c r="B886" t="s">
        <v>35</v>
      </c>
      <c r="C886" t="s">
        <v>90</v>
      </c>
      <c r="D886" t="s">
        <v>81</v>
      </c>
      <c r="E886" t="s">
        <v>131</v>
      </c>
      <c r="F886" t="s">
        <v>73</v>
      </c>
      <c r="G886" t="s">
        <v>74</v>
      </c>
      <c r="H886" t="s">
        <v>113</v>
      </c>
      <c r="I886" t="s">
        <v>84</v>
      </c>
      <c r="J886" s="4">
        <f>'SUT_EU27 total'!$S$58</f>
        <v>0</v>
      </c>
    </row>
    <row r="887" spans="1:10" x14ac:dyDescent="0.35">
      <c r="A887" t="s">
        <v>18</v>
      </c>
      <c r="B887" t="s">
        <v>35</v>
      </c>
      <c r="C887" t="s">
        <v>90</v>
      </c>
      <c r="D887" t="s">
        <v>81</v>
      </c>
      <c r="E887" t="s">
        <v>101</v>
      </c>
      <c r="F887" t="s">
        <v>73</v>
      </c>
      <c r="G887" t="s">
        <v>74</v>
      </c>
      <c r="H887" t="s">
        <v>113</v>
      </c>
      <c r="I887" t="s">
        <v>84</v>
      </c>
      <c r="J887" s="4" cm="1">
        <f t="array" ref="J887:J889">'SUT_EU27 total'!$S$66:$S$68</f>
        <v>0</v>
      </c>
    </row>
    <row r="888" spans="1:10" x14ac:dyDescent="0.35">
      <c r="A888" t="s">
        <v>18</v>
      </c>
      <c r="B888" t="s">
        <v>35</v>
      </c>
      <c r="C888" t="s">
        <v>90</v>
      </c>
      <c r="D888" t="s">
        <v>81</v>
      </c>
      <c r="E888" t="s">
        <v>104</v>
      </c>
      <c r="F888" t="s">
        <v>73</v>
      </c>
      <c r="G888" t="s">
        <v>74</v>
      </c>
      <c r="H888" t="s">
        <v>113</v>
      </c>
      <c r="I888" t="s">
        <v>84</v>
      </c>
      <c r="J888" s="4">
        <v>0</v>
      </c>
    </row>
    <row r="889" spans="1:10" x14ac:dyDescent="0.35">
      <c r="A889" t="s">
        <v>18</v>
      </c>
      <c r="B889" t="s">
        <v>35</v>
      </c>
      <c r="C889" t="s">
        <v>90</v>
      </c>
      <c r="D889" t="s">
        <v>81</v>
      </c>
      <c r="E889" t="s">
        <v>106</v>
      </c>
      <c r="F889" t="s">
        <v>73</v>
      </c>
      <c r="G889" t="s">
        <v>74</v>
      </c>
      <c r="H889" t="s">
        <v>113</v>
      </c>
      <c r="I889" t="s">
        <v>84</v>
      </c>
      <c r="J889" s="4">
        <v>0</v>
      </c>
    </row>
    <row r="890" spans="1:10" x14ac:dyDescent="0.35">
      <c r="A890" t="s">
        <v>18</v>
      </c>
      <c r="B890" t="s">
        <v>35</v>
      </c>
      <c r="C890" t="s">
        <v>91</v>
      </c>
      <c r="D890" t="s">
        <v>81</v>
      </c>
      <c r="E890" t="s">
        <v>131</v>
      </c>
      <c r="F890" t="s">
        <v>73</v>
      </c>
      <c r="G890" t="s">
        <v>74</v>
      </c>
      <c r="H890" t="s">
        <v>113</v>
      </c>
      <c r="I890" t="s">
        <v>84</v>
      </c>
      <c r="J890" s="4">
        <f>'SUT_EU27 total'!$S$75</f>
        <v>0</v>
      </c>
    </row>
    <row r="891" spans="1:10" x14ac:dyDescent="0.35">
      <c r="A891" t="s">
        <v>18</v>
      </c>
      <c r="B891" t="s">
        <v>35</v>
      </c>
      <c r="C891" t="s">
        <v>91</v>
      </c>
      <c r="D891" t="s">
        <v>81</v>
      </c>
      <c r="E891" t="s">
        <v>101</v>
      </c>
      <c r="F891" t="s">
        <v>73</v>
      </c>
      <c r="G891" t="s">
        <v>74</v>
      </c>
      <c r="H891" t="s">
        <v>113</v>
      </c>
      <c r="I891" t="s">
        <v>84</v>
      </c>
      <c r="J891" s="4" cm="1">
        <f t="array" ref="J891:J893">'SUT_EU27 total'!$S$83:$S$85</f>
        <v>0</v>
      </c>
    </row>
    <row r="892" spans="1:10" x14ac:dyDescent="0.35">
      <c r="A892" t="s">
        <v>18</v>
      </c>
      <c r="B892" t="s">
        <v>35</v>
      </c>
      <c r="C892" t="s">
        <v>91</v>
      </c>
      <c r="D892" t="s">
        <v>81</v>
      </c>
      <c r="E892" t="s">
        <v>104</v>
      </c>
      <c r="F892" t="s">
        <v>73</v>
      </c>
      <c r="G892" t="s">
        <v>74</v>
      </c>
      <c r="H892" t="s">
        <v>113</v>
      </c>
      <c r="I892" t="s">
        <v>84</v>
      </c>
      <c r="J892" s="4">
        <v>0</v>
      </c>
    </row>
    <row r="893" spans="1:10" x14ac:dyDescent="0.35">
      <c r="A893" t="s">
        <v>18</v>
      </c>
      <c r="B893" t="s">
        <v>35</v>
      </c>
      <c r="C893" t="s">
        <v>91</v>
      </c>
      <c r="D893" t="s">
        <v>81</v>
      </c>
      <c r="E893" t="s">
        <v>106</v>
      </c>
      <c r="F893" t="s">
        <v>73</v>
      </c>
      <c r="G893" t="s">
        <v>74</v>
      </c>
      <c r="H893" t="s">
        <v>113</v>
      </c>
      <c r="I893" t="s">
        <v>84</v>
      </c>
      <c r="J893" s="4">
        <v>0</v>
      </c>
    </row>
    <row r="894" spans="1:10" x14ac:dyDescent="0.35">
      <c r="A894" t="s">
        <v>18</v>
      </c>
      <c r="B894" t="s">
        <v>35</v>
      </c>
      <c r="C894" t="s">
        <v>92</v>
      </c>
      <c r="D894" t="s">
        <v>81</v>
      </c>
      <c r="E894" t="s">
        <v>131</v>
      </c>
      <c r="F894" t="s">
        <v>73</v>
      </c>
      <c r="G894" t="s">
        <v>74</v>
      </c>
      <c r="H894" t="s">
        <v>113</v>
      </c>
      <c r="I894" t="s">
        <v>84</v>
      </c>
      <c r="J894" s="4">
        <f>'SUT_EU27 total'!$S$92</f>
        <v>0</v>
      </c>
    </row>
    <row r="895" spans="1:10" x14ac:dyDescent="0.35">
      <c r="A895" t="s">
        <v>18</v>
      </c>
      <c r="B895" t="s">
        <v>35</v>
      </c>
      <c r="C895" t="s">
        <v>92</v>
      </c>
      <c r="D895" t="s">
        <v>81</v>
      </c>
      <c r="E895" t="s">
        <v>101</v>
      </c>
      <c r="F895" t="s">
        <v>73</v>
      </c>
      <c r="G895" t="s">
        <v>74</v>
      </c>
      <c r="H895" t="s">
        <v>113</v>
      </c>
      <c r="I895" t="s">
        <v>84</v>
      </c>
      <c r="J895" s="4" cm="1">
        <f t="array" ref="J895:J897">'SUT_EU27 total'!$S$100:$S$102</f>
        <v>0</v>
      </c>
    </row>
    <row r="896" spans="1:10" x14ac:dyDescent="0.35">
      <c r="A896" t="s">
        <v>18</v>
      </c>
      <c r="B896" t="s">
        <v>35</v>
      </c>
      <c r="C896" t="s">
        <v>92</v>
      </c>
      <c r="D896" t="s">
        <v>81</v>
      </c>
      <c r="E896" t="s">
        <v>104</v>
      </c>
      <c r="F896" t="s">
        <v>73</v>
      </c>
      <c r="G896" t="s">
        <v>74</v>
      </c>
      <c r="H896" t="s">
        <v>113</v>
      </c>
      <c r="I896" t="s">
        <v>84</v>
      </c>
      <c r="J896" s="4">
        <v>0</v>
      </c>
    </row>
    <row r="897" spans="1:10" x14ac:dyDescent="0.35">
      <c r="A897" t="s">
        <v>18</v>
      </c>
      <c r="B897" t="s">
        <v>35</v>
      </c>
      <c r="C897" t="s">
        <v>92</v>
      </c>
      <c r="D897" t="s">
        <v>81</v>
      </c>
      <c r="E897" t="s">
        <v>106</v>
      </c>
      <c r="F897" t="s">
        <v>73</v>
      </c>
      <c r="G897" t="s">
        <v>74</v>
      </c>
      <c r="H897" t="s">
        <v>113</v>
      </c>
      <c r="I897" t="s">
        <v>84</v>
      </c>
      <c r="J897" s="4">
        <v>0</v>
      </c>
    </row>
    <row r="898" spans="1:10" x14ac:dyDescent="0.35">
      <c r="A898" t="s">
        <v>18</v>
      </c>
      <c r="B898" t="s">
        <v>35</v>
      </c>
      <c r="C898" t="s">
        <v>93</v>
      </c>
      <c r="D898" t="s">
        <v>81</v>
      </c>
      <c r="E898" t="s">
        <v>131</v>
      </c>
      <c r="F898" t="s">
        <v>73</v>
      </c>
      <c r="G898" t="s">
        <v>74</v>
      </c>
      <c r="H898" t="s">
        <v>113</v>
      </c>
      <c r="I898" t="s">
        <v>84</v>
      </c>
      <c r="J898" s="4">
        <f>'SUT_EU27 total'!$S$109</f>
        <v>0</v>
      </c>
    </row>
    <row r="899" spans="1:10" x14ac:dyDescent="0.35">
      <c r="A899" t="s">
        <v>18</v>
      </c>
      <c r="B899" t="s">
        <v>35</v>
      </c>
      <c r="C899" t="s">
        <v>93</v>
      </c>
      <c r="D899" t="s">
        <v>81</v>
      </c>
      <c r="E899" t="s">
        <v>101</v>
      </c>
      <c r="F899" t="s">
        <v>73</v>
      </c>
      <c r="G899" t="s">
        <v>74</v>
      </c>
      <c r="H899" t="s">
        <v>113</v>
      </c>
      <c r="I899" t="s">
        <v>84</v>
      </c>
      <c r="J899" s="4" cm="1">
        <f t="array" ref="J899:J901">'SUT_EU27 total'!$S$117:$S$119</f>
        <v>0</v>
      </c>
    </row>
    <row r="900" spans="1:10" x14ac:dyDescent="0.35">
      <c r="A900" t="s">
        <v>18</v>
      </c>
      <c r="B900" t="s">
        <v>35</v>
      </c>
      <c r="C900" t="s">
        <v>93</v>
      </c>
      <c r="D900" t="s">
        <v>81</v>
      </c>
      <c r="E900" t="s">
        <v>104</v>
      </c>
      <c r="F900" t="s">
        <v>73</v>
      </c>
      <c r="G900" t="s">
        <v>74</v>
      </c>
      <c r="H900" t="s">
        <v>113</v>
      </c>
      <c r="I900" t="s">
        <v>84</v>
      </c>
      <c r="J900" s="4">
        <v>0</v>
      </c>
    </row>
    <row r="901" spans="1:10" x14ac:dyDescent="0.35">
      <c r="A901" t="s">
        <v>18</v>
      </c>
      <c r="B901" t="s">
        <v>35</v>
      </c>
      <c r="C901" t="s">
        <v>93</v>
      </c>
      <c r="D901" t="s">
        <v>81</v>
      </c>
      <c r="E901" t="s">
        <v>106</v>
      </c>
      <c r="F901" t="s">
        <v>73</v>
      </c>
      <c r="G901" t="s">
        <v>74</v>
      </c>
      <c r="H901" t="s">
        <v>113</v>
      </c>
      <c r="I901" t="s">
        <v>84</v>
      </c>
      <c r="J901" s="4">
        <v>0</v>
      </c>
    </row>
    <row r="902" spans="1:10" x14ac:dyDescent="0.35">
      <c r="A902" t="s">
        <v>18</v>
      </c>
      <c r="B902" t="s">
        <v>35</v>
      </c>
      <c r="C902" t="s">
        <v>73</v>
      </c>
      <c r="D902" t="s">
        <v>74</v>
      </c>
      <c r="E902" t="s">
        <v>123</v>
      </c>
      <c r="F902" t="s">
        <v>73</v>
      </c>
      <c r="G902" t="s">
        <v>81</v>
      </c>
      <c r="H902" t="s">
        <v>115</v>
      </c>
      <c r="I902" t="s">
        <v>84</v>
      </c>
      <c r="J902" s="4" cm="1">
        <f t="array" ref="J902:J908">TRANSPOSE('2030 pathways'!$C$17:$I$17)</f>
        <v>0.1003</v>
      </c>
    </row>
    <row r="903" spans="1:10" x14ac:dyDescent="0.35">
      <c r="A903" t="s">
        <v>18</v>
      </c>
      <c r="B903" t="s">
        <v>35</v>
      </c>
      <c r="C903" t="s">
        <v>73</v>
      </c>
      <c r="D903" t="s">
        <v>74</v>
      </c>
      <c r="E903" t="s">
        <v>127</v>
      </c>
      <c r="F903" t="s">
        <v>73</v>
      </c>
      <c r="G903" t="s">
        <v>81</v>
      </c>
      <c r="H903" t="s">
        <v>115</v>
      </c>
      <c r="I903" t="s">
        <v>84</v>
      </c>
      <c r="J903" s="4">
        <v>0.17699999999999999</v>
      </c>
    </row>
    <row r="904" spans="1:10" x14ac:dyDescent="0.35">
      <c r="A904" t="s">
        <v>18</v>
      </c>
      <c r="B904" t="s">
        <v>35</v>
      </c>
      <c r="C904" t="s">
        <v>73</v>
      </c>
      <c r="D904" t="s">
        <v>74</v>
      </c>
      <c r="E904" t="s">
        <v>128</v>
      </c>
      <c r="F904" t="s">
        <v>73</v>
      </c>
      <c r="G904" t="s">
        <v>81</v>
      </c>
      <c r="H904" t="s">
        <v>115</v>
      </c>
      <c r="I904" t="s">
        <v>84</v>
      </c>
      <c r="J904" s="4">
        <v>8.8499999999999995E-2</v>
      </c>
    </row>
    <row r="905" spans="1:10" x14ac:dyDescent="0.35">
      <c r="A905" t="s">
        <v>18</v>
      </c>
      <c r="B905" t="s">
        <v>35</v>
      </c>
      <c r="C905" t="s">
        <v>73</v>
      </c>
      <c r="D905" t="s">
        <v>74</v>
      </c>
      <c r="E905" t="s">
        <v>129</v>
      </c>
      <c r="F905" t="s">
        <v>73</v>
      </c>
      <c r="G905" t="s">
        <v>81</v>
      </c>
      <c r="H905" t="s">
        <v>115</v>
      </c>
      <c r="I905" t="s">
        <v>84</v>
      </c>
      <c r="J905" s="4">
        <v>5.8999999999999999E-3</v>
      </c>
    </row>
    <row r="906" spans="1:10" x14ac:dyDescent="0.35">
      <c r="A906" t="s">
        <v>18</v>
      </c>
      <c r="B906" t="s">
        <v>35</v>
      </c>
      <c r="C906" t="s">
        <v>73</v>
      </c>
      <c r="D906" t="s">
        <v>74</v>
      </c>
      <c r="E906" t="s">
        <v>77</v>
      </c>
      <c r="F906" t="s">
        <v>73</v>
      </c>
      <c r="G906" t="s">
        <v>81</v>
      </c>
      <c r="H906" t="s">
        <v>115</v>
      </c>
      <c r="I906" t="s">
        <v>84</v>
      </c>
      <c r="J906" s="4">
        <v>5.8999999999999999E-3</v>
      </c>
    </row>
    <row r="907" spans="1:10" x14ac:dyDescent="0.35">
      <c r="A907" t="s">
        <v>18</v>
      </c>
      <c r="B907" t="s">
        <v>35</v>
      </c>
      <c r="C907" t="s">
        <v>73</v>
      </c>
      <c r="D907" t="s">
        <v>74</v>
      </c>
      <c r="E907" t="s">
        <v>130</v>
      </c>
      <c r="F907" t="s">
        <v>73</v>
      </c>
      <c r="G907" t="s">
        <v>81</v>
      </c>
      <c r="H907" t="s">
        <v>115</v>
      </c>
      <c r="I907" t="s">
        <v>84</v>
      </c>
      <c r="J907" s="4">
        <v>0.21239999999999992</v>
      </c>
    </row>
    <row r="908" spans="1:10" x14ac:dyDescent="0.35">
      <c r="A908" t="s">
        <v>18</v>
      </c>
      <c r="B908" t="s">
        <v>35</v>
      </c>
      <c r="C908" t="s">
        <v>73</v>
      </c>
      <c r="D908" t="s">
        <v>74</v>
      </c>
      <c r="E908" t="s">
        <v>132</v>
      </c>
      <c r="F908" t="s">
        <v>73</v>
      </c>
      <c r="G908" t="s">
        <v>81</v>
      </c>
      <c r="H908" t="s">
        <v>115</v>
      </c>
      <c r="I908" t="s">
        <v>84</v>
      </c>
      <c r="J908" s="4">
        <v>0.41</v>
      </c>
    </row>
    <row r="909" spans="1:10" x14ac:dyDescent="0.35">
      <c r="A909" t="s">
        <v>18</v>
      </c>
      <c r="B909" t="s">
        <v>35</v>
      </c>
      <c r="C909" t="s">
        <v>73</v>
      </c>
      <c r="D909" t="s">
        <v>74</v>
      </c>
      <c r="E909" t="s">
        <v>133</v>
      </c>
      <c r="F909" t="s">
        <v>73</v>
      </c>
      <c r="G909" t="s">
        <v>81</v>
      </c>
      <c r="H909" t="s">
        <v>115</v>
      </c>
      <c r="I909" t="s">
        <v>84</v>
      </c>
      <c r="J909" s="4">
        <v>0</v>
      </c>
    </row>
    <row r="910" spans="1:10" x14ac:dyDescent="0.35">
      <c r="A910" s="469" t="s">
        <v>18</v>
      </c>
      <c r="B910" s="469" t="s">
        <v>37</v>
      </c>
      <c r="C910" s="469" t="s">
        <v>73</v>
      </c>
      <c r="D910" s="469" t="s">
        <v>81</v>
      </c>
      <c r="E910" s="469" t="s">
        <v>115</v>
      </c>
      <c r="F910" s="469" t="s">
        <v>73</v>
      </c>
      <c r="G910" s="469" t="s">
        <v>74</v>
      </c>
      <c r="H910" s="469" t="s">
        <v>102</v>
      </c>
      <c r="I910" s="469" t="s">
        <v>84</v>
      </c>
      <c r="J910" s="481" cm="1">
        <f t="array" ref="J910:J911">'SUT_EU27 total'!$J$19:$J$20</f>
        <v>11.828571428571427</v>
      </c>
    </row>
    <row r="911" spans="1:10" x14ac:dyDescent="0.35">
      <c r="A911" t="s">
        <v>18</v>
      </c>
      <c r="B911" t="s">
        <v>37</v>
      </c>
      <c r="C911" t="s">
        <v>73</v>
      </c>
      <c r="D911" t="s">
        <v>81</v>
      </c>
      <c r="E911" t="s">
        <v>116</v>
      </c>
      <c r="F911" t="s">
        <v>73</v>
      </c>
      <c r="G911" t="s">
        <v>74</v>
      </c>
      <c r="H911" t="s">
        <v>102</v>
      </c>
      <c r="I911" t="s">
        <v>84</v>
      </c>
      <c r="J911" s="4">
        <v>3.3421988920214002E-2</v>
      </c>
    </row>
    <row r="912" spans="1:10" x14ac:dyDescent="0.35">
      <c r="A912" t="s">
        <v>18</v>
      </c>
      <c r="B912" t="s">
        <v>37</v>
      </c>
      <c r="C912" t="s">
        <v>73</v>
      </c>
      <c r="D912" t="s">
        <v>81</v>
      </c>
      <c r="E912" t="s">
        <v>117</v>
      </c>
      <c r="F912" t="s">
        <v>73</v>
      </c>
      <c r="G912" t="s">
        <v>74</v>
      </c>
      <c r="H912" t="s">
        <v>102</v>
      </c>
      <c r="I912" t="s">
        <v>84</v>
      </c>
      <c r="J912" s="76">
        <f>'SUT_EU27 total'!$J$27</f>
        <v>20.996100000000002</v>
      </c>
    </row>
    <row r="913" spans="1:10" x14ac:dyDescent="0.35">
      <c r="A913" t="s">
        <v>18</v>
      </c>
      <c r="B913" t="s">
        <v>37</v>
      </c>
      <c r="C913" t="s">
        <v>73</v>
      </c>
      <c r="D913" t="s">
        <v>81</v>
      </c>
      <c r="E913" t="s">
        <v>101</v>
      </c>
      <c r="F913" t="s">
        <v>73</v>
      </c>
      <c r="G913" t="s">
        <v>74</v>
      </c>
      <c r="H913" t="s">
        <v>102</v>
      </c>
      <c r="I913" t="s">
        <v>84</v>
      </c>
      <c r="J913" s="76" cm="1">
        <f t="array" ref="J913:J915">'SUT_EU27 total'!$J$32:$J$34</f>
        <v>0.13437998483817604</v>
      </c>
    </row>
    <row r="914" spans="1:10" x14ac:dyDescent="0.35">
      <c r="A914" t="s">
        <v>18</v>
      </c>
      <c r="B914" t="s">
        <v>37</v>
      </c>
      <c r="C914" t="s">
        <v>73</v>
      </c>
      <c r="D914" t="s">
        <v>81</v>
      </c>
      <c r="E914" t="s">
        <v>104</v>
      </c>
      <c r="F914" t="s">
        <v>73</v>
      </c>
      <c r="G914" t="s">
        <v>74</v>
      </c>
      <c r="H914" t="s">
        <v>102</v>
      </c>
      <c r="I914" t="s">
        <v>84</v>
      </c>
      <c r="J914" s="4">
        <v>0.25443647306582401</v>
      </c>
    </row>
    <row r="915" spans="1:10" x14ac:dyDescent="0.35">
      <c r="A915" t="s">
        <v>18</v>
      </c>
      <c r="B915" t="s">
        <v>37</v>
      </c>
      <c r="C915" t="s">
        <v>73</v>
      </c>
      <c r="D915" t="s">
        <v>81</v>
      </c>
      <c r="E915" t="s">
        <v>106</v>
      </c>
      <c r="F915" t="s">
        <v>73</v>
      </c>
      <c r="G915" t="s">
        <v>74</v>
      </c>
      <c r="H915" t="s">
        <v>102</v>
      </c>
      <c r="I915" t="s">
        <v>84</v>
      </c>
      <c r="J915" s="4">
        <v>0.86543018049599985</v>
      </c>
    </row>
    <row r="916" spans="1:10" x14ac:dyDescent="0.35">
      <c r="A916" t="s">
        <v>18</v>
      </c>
      <c r="B916" t="s">
        <v>37</v>
      </c>
      <c r="C916" t="s">
        <v>88</v>
      </c>
      <c r="D916" t="s">
        <v>81</v>
      </c>
      <c r="E916" t="s">
        <v>115</v>
      </c>
      <c r="F916" t="s">
        <v>73</v>
      </c>
      <c r="G916" t="s">
        <v>74</v>
      </c>
      <c r="H916" t="s">
        <v>102</v>
      </c>
      <c r="I916" t="s">
        <v>84</v>
      </c>
      <c r="J916" s="76" cm="1">
        <f t="array" ref="J916:J917">'SUT_EU27 total'!$J$36:$J$37</f>
        <v>78.857142857142847</v>
      </c>
    </row>
    <row r="917" spans="1:10" x14ac:dyDescent="0.35">
      <c r="A917" t="s">
        <v>18</v>
      </c>
      <c r="B917" t="s">
        <v>37</v>
      </c>
      <c r="C917" t="s">
        <v>88</v>
      </c>
      <c r="D917" t="s">
        <v>81</v>
      </c>
      <c r="E917" t="s">
        <v>116</v>
      </c>
      <c r="F917" t="s">
        <v>73</v>
      </c>
      <c r="G917" t="s">
        <v>74</v>
      </c>
      <c r="H917" t="s">
        <v>102</v>
      </c>
      <c r="I917" t="s">
        <v>84</v>
      </c>
      <c r="J917" s="4">
        <v>0.7862213561563367</v>
      </c>
    </row>
    <row r="918" spans="1:10" x14ac:dyDescent="0.35">
      <c r="A918" t="s">
        <v>18</v>
      </c>
      <c r="B918" t="s">
        <v>37</v>
      </c>
      <c r="C918" t="s">
        <v>88</v>
      </c>
      <c r="D918" t="s">
        <v>81</v>
      </c>
      <c r="E918" t="s">
        <v>117</v>
      </c>
      <c r="F918" t="s">
        <v>73</v>
      </c>
      <c r="G918" t="s">
        <v>74</v>
      </c>
      <c r="H918" t="s">
        <v>102</v>
      </c>
      <c r="I918" t="s">
        <v>84</v>
      </c>
      <c r="J918" s="76">
        <f>'SUT_EU27 total'!$J$44</f>
        <v>286.26390000000004</v>
      </c>
    </row>
    <row r="919" spans="1:10" x14ac:dyDescent="0.35">
      <c r="A919" t="s">
        <v>18</v>
      </c>
      <c r="B919" t="s">
        <v>37</v>
      </c>
      <c r="C919" t="s">
        <v>88</v>
      </c>
      <c r="D919" t="s">
        <v>81</v>
      </c>
      <c r="E919" t="s">
        <v>101</v>
      </c>
      <c r="F919" t="s">
        <v>73</v>
      </c>
      <c r="G919" t="s">
        <v>74</v>
      </c>
      <c r="H919" t="s">
        <v>102</v>
      </c>
      <c r="I919" t="s">
        <v>84</v>
      </c>
      <c r="J919" s="4" cm="1">
        <f t="array" ref="J919:J921">'SUT_EU27 total'!$J$49:$J$51</f>
        <v>0</v>
      </c>
    </row>
    <row r="920" spans="1:10" x14ac:dyDescent="0.35">
      <c r="A920" t="s">
        <v>18</v>
      </c>
      <c r="B920" t="s">
        <v>37</v>
      </c>
      <c r="C920" t="s">
        <v>88</v>
      </c>
      <c r="D920" t="s">
        <v>81</v>
      </c>
      <c r="E920" t="s">
        <v>104</v>
      </c>
      <c r="F920" t="s">
        <v>73</v>
      </c>
      <c r="G920" t="s">
        <v>74</v>
      </c>
      <c r="H920" t="s">
        <v>102</v>
      </c>
      <c r="I920" t="s">
        <v>84</v>
      </c>
      <c r="J920" s="4">
        <v>0</v>
      </c>
    </row>
    <row r="921" spans="1:10" x14ac:dyDescent="0.35">
      <c r="A921" t="s">
        <v>18</v>
      </c>
      <c r="B921" t="s">
        <v>37</v>
      </c>
      <c r="C921" t="s">
        <v>88</v>
      </c>
      <c r="D921" t="s">
        <v>81</v>
      </c>
      <c r="E921" t="s">
        <v>106</v>
      </c>
      <c r="F921" t="s">
        <v>73</v>
      </c>
      <c r="G921" t="s">
        <v>74</v>
      </c>
      <c r="H921" t="s">
        <v>102</v>
      </c>
      <c r="I921" t="s">
        <v>84</v>
      </c>
      <c r="J921" s="4">
        <v>0</v>
      </c>
    </row>
    <row r="922" spans="1:10" x14ac:dyDescent="0.35">
      <c r="A922" t="s">
        <v>18</v>
      </c>
      <c r="B922" t="s">
        <v>37</v>
      </c>
      <c r="C922" t="s">
        <v>90</v>
      </c>
      <c r="D922" t="s">
        <v>81</v>
      </c>
      <c r="E922" t="s">
        <v>115</v>
      </c>
      <c r="F922" t="s">
        <v>73</v>
      </c>
      <c r="G922" t="s">
        <v>74</v>
      </c>
      <c r="H922" t="s">
        <v>102</v>
      </c>
      <c r="I922" t="s">
        <v>84</v>
      </c>
      <c r="J922" s="76" cm="1">
        <f t="array" ref="J922:J923">'SUT_EU27 total'!$J$53:$J$54</f>
        <v>7.7904761904761894</v>
      </c>
    </row>
    <row r="923" spans="1:10" x14ac:dyDescent="0.35">
      <c r="A923" t="s">
        <v>18</v>
      </c>
      <c r="B923" t="s">
        <v>37</v>
      </c>
      <c r="C923" t="s">
        <v>90</v>
      </c>
      <c r="D923" t="s">
        <v>81</v>
      </c>
      <c r="E923" t="s">
        <v>116</v>
      </c>
      <c r="F923" t="s">
        <v>73</v>
      </c>
      <c r="G923" t="s">
        <v>74</v>
      </c>
      <c r="H923" t="s">
        <v>102</v>
      </c>
      <c r="I923" t="s">
        <v>84</v>
      </c>
      <c r="J923" s="4">
        <v>1.5473889063756709E-2</v>
      </c>
    </row>
    <row r="924" spans="1:10" x14ac:dyDescent="0.35">
      <c r="A924" t="s">
        <v>18</v>
      </c>
      <c r="B924" t="s">
        <v>37</v>
      </c>
      <c r="C924" t="s">
        <v>90</v>
      </c>
      <c r="D924" t="s">
        <v>81</v>
      </c>
      <c r="E924" t="s">
        <v>117</v>
      </c>
      <c r="F924" t="s">
        <v>73</v>
      </c>
      <c r="G924" t="s">
        <v>74</v>
      </c>
      <c r="H924" t="s">
        <v>102</v>
      </c>
      <c r="I924" t="s">
        <v>84</v>
      </c>
      <c r="J924" s="76">
        <f>'SUT_EU27 total'!$J$61</f>
        <v>11.2662</v>
      </c>
    </row>
    <row r="925" spans="1:10" x14ac:dyDescent="0.35">
      <c r="A925" t="s">
        <v>18</v>
      </c>
      <c r="B925" t="s">
        <v>37</v>
      </c>
      <c r="C925" t="s">
        <v>90</v>
      </c>
      <c r="D925" t="s">
        <v>81</v>
      </c>
      <c r="E925" t="s">
        <v>101</v>
      </c>
      <c r="F925" t="s">
        <v>73</v>
      </c>
      <c r="G925" t="s">
        <v>74</v>
      </c>
      <c r="H925" t="s">
        <v>102</v>
      </c>
      <c r="I925" t="s">
        <v>84</v>
      </c>
      <c r="J925" s="4" cm="1">
        <f t="array" ref="J925:J927">'SUT_EU27 total'!$J$66:$J$68</f>
        <v>0</v>
      </c>
    </row>
    <row r="926" spans="1:10" x14ac:dyDescent="0.35">
      <c r="A926" t="s">
        <v>18</v>
      </c>
      <c r="B926" t="s">
        <v>37</v>
      </c>
      <c r="C926" t="s">
        <v>90</v>
      </c>
      <c r="D926" t="s">
        <v>81</v>
      </c>
      <c r="E926" t="s">
        <v>104</v>
      </c>
      <c r="F926" t="s">
        <v>73</v>
      </c>
      <c r="G926" t="s">
        <v>74</v>
      </c>
      <c r="H926" t="s">
        <v>102</v>
      </c>
      <c r="I926" t="s">
        <v>84</v>
      </c>
      <c r="J926" s="4">
        <v>0</v>
      </c>
    </row>
    <row r="927" spans="1:10" x14ac:dyDescent="0.35">
      <c r="A927" t="s">
        <v>18</v>
      </c>
      <c r="B927" t="s">
        <v>37</v>
      </c>
      <c r="C927" t="s">
        <v>90</v>
      </c>
      <c r="D927" t="s">
        <v>81</v>
      </c>
      <c r="E927" t="s">
        <v>106</v>
      </c>
      <c r="F927" t="s">
        <v>73</v>
      </c>
      <c r="G927" t="s">
        <v>74</v>
      </c>
      <c r="H927" t="s">
        <v>102</v>
      </c>
      <c r="I927" t="s">
        <v>84</v>
      </c>
      <c r="J927" s="4">
        <v>0</v>
      </c>
    </row>
    <row r="928" spans="1:10" x14ac:dyDescent="0.35">
      <c r="A928" t="s">
        <v>18</v>
      </c>
      <c r="B928" t="s">
        <v>37</v>
      </c>
      <c r="C928" t="s">
        <v>91</v>
      </c>
      <c r="D928" t="s">
        <v>81</v>
      </c>
      <c r="E928" t="s">
        <v>115</v>
      </c>
      <c r="F928" t="s">
        <v>73</v>
      </c>
      <c r="G928" t="s">
        <v>74</v>
      </c>
      <c r="H928" t="s">
        <v>102</v>
      </c>
      <c r="I928" t="s">
        <v>84</v>
      </c>
      <c r="J928" s="76" cm="1">
        <f t="array" ref="J928:J929">'SUT_EU27 total'!$J$70:$J$71</f>
        <v>15.771428571428569</v>
      </c>
    </row>
    <row r="929" spans="1:10" x14ac:dyDescent="0.35">
      <c r="A929" t="s">
        <v>18</v>
      </c>
      <c r="B929" t="s">
        <v>37</v>
      </c>
      <c r="C929" t="s">
        <v>91</v>
      </c>
      <c r="D929" t="s">
        <v>81</v>
      </c>
      <c r="E929" t="s">
        <v>116</v>
      </c>
      <c r="F929" t="s">
        <v>73</v>
      </c>
      <c r="G929" t="s">
        <v>74</v>
      </c>
      <c r="H929" t="s">
        <v>102</v>
      </c>
      <c r="I929" t="s">
        <v>84</v>
      </c>
      <c r="J929" s="4">
        <v>8.7507175559917313E-2</v>
      </c>
    </row>
    <row r="930" spans="1:10" x14ac:dyDescent="0.35">
      <c r="A930" t="s">
        <v>18</v>
      </c>
      <c r="B930" t="s">
        <v>37</v>
      </c>
      <c r="C930" t="s">
        <v>91</v>
      </c>
      <c r="D930" t="s">
        <v>81</v>
      </c>
      <c r="E930" t="s">
        <v>117</v>
      </c>
      <c r="F930" t="s">
        <v>73</v>
      </c>
      <c r="G930" t="s">
        <v>74</v>
      </c>
      <c r="H930" t="s">
        <v>102</v>
      </c>
      <c r="I930" t="s">
        <v>84</v>
      </c>
      <c r="J930" s="76">
        <f>'SUT_EU27 total'!$J$78</f>
        <v>41.4801</v>
      </c>
    </row>
    <row r="931" spans="1:10" x14ac:dyDescent="0.35">
      <c r="A931" t="s">
        <v>18</v>
      </c>
      <c r="B931" t="s">
        <v>37</v>
      </c>
      <c r="C931" t="s">
        <v>91</v>
      </c>
      <c r="D931" t="s">
        <v>81</v>
      </c>
      <c r="E931" t="s">
        <v>101</v>
      </c>
      <c r="F931" t="s">
        <v>73</v>
      </c>
      <c r="G931" t="s">
        <v>74</v>
      </c>
      <c r="H931" t="s">
        <v>102</v>
      </c>
      <c r="I931" t="s">
        <v>84</v>
      </c>
      <c r="J931" s="4" cm="1">
        <f t="array" ref="J931:J933">'SUT_EU27 total'!$J$83:$J$85</f>
        <v>0</v>
      </c>
    </row>
    <row r="932" spans="1:10" x14ac:dyDescent="0.35">
      <c r="A932" t="s">
        <v>18</v>
      </c>
      <c r="B932" t="s">
        <v>37</v>
      </c>
      <c r="C932" t="s">
        <v>91</v>
      </c>
      <c r="D932" t="s">
        <v>81</v>
      </c>
      <c r="E932" t="s">
        <v>104</v>
      </c>
      <c r="F932" t="s">
        <v>73</v>
      </c>
      <c r="G932" t="s">
        <v>74</v>
      </c>
      <c r="H932" t="s">
        <v>102</v>
      </c>
      <c r="I932" t="s">
        <v>84</v>
      </c>
      <c r="J932" s="4">
        <v>0</v>
      </c>
    </row>
    <row r="933" spans="1:10" x14ac:dyDescent="0.35">
      <c r="A933" t="s">
        <v>18</v>
      </c>
      <c r="B933" t="s">
        <v>37</v>
      </c>
      <c r="C933" t="s">
        <v>91</v>
      </c>
      <c r="D933" t="s">
        <v>81</v>
      </c>
      <c r="E933" t="s">
        <v>106</v>
      </c>
      <c r="F933" t="s">
        <v>73</v>
      </c>
      <c r="G933" t="s">
        <v>74</v>
      </c>
      <c r="H933" t="s">
        <v>102</v>
      </c>
      <c r="I933" t="s">
        <v>84</v>
      </c>
      <c r="J933" s="4">
        <v>0</v>
      </c>
    </row>
    <row r="934" spans="1:10" x14ac:dyDescent="0.35">
      <c r="A934" t="s">
        <v>18</v>
      </c>
      <c r="B934" t="s">
        <v>37</v>
      </c>
      <c r="C934" t="s">
        <v>92</v>
      </c>
      <c r="D934" t="s">
        <v>81</v>
      </c>
      <c r="E934" t="s">
        <v>115</v>
      </c>
      <c r="F934" t="s">
        <v>73</v>
      </c>
      <c r="G934" t="s">
        <v>74</v>
      </c>
      <c r="H934" t="s">
        <v>102</v>
      </c>
      <c r="I934" t="s">
        <v>84</v>
      </c>
      <c r="J934" s="76" cm="1">
        <f t="array" ref="J934:J935">'SUT_EU27 total'!$J$87:$J$88</f>
        <v>6.6239999999999997</v>
      </c>
    </row>
    <row r="935" spans="1:10" x14ac:dyDescent="0.35">
      <c r="A935" t="s">
        <v>18</v>
      </c>
      <c r="B935" t="s">
        <v>37</v>
      </c>
      <c r="C935" t="s">
        <v>92</v>
      </c>
      <c r="D935" t="s">
        <v>81</v>
      </c>
      <c r="E935" t="s">
        <v>116</v>
      </c>
      <c r="F935" t="s">
        <v>73</v>
      </c>
      <c r="G935" t="s">
        <v>74</v>
      </c>
      <c r="H935" t="s">
        <v>102</v>
      </c>
      <c r="I935" t="s">
        <v>84</v>
      </c>
      <c r="J935" s="4">
        <v>6.0040746268656714E-2</v>
      </c>
    </row>
    <row r="936" spans="1:10" x14ac:dyDescent="0.35">
      <c r="A936" t="s">
        <v>18</v>
      </c>
      <c r="B936" t="s">
        <v>37</v>
      </c>
      <c r="C936" t="s">
        <v>92</v>
      </c>
      <c r="D936" t="s">
        <v>81</v>
      </c>
      <c r="E936" t="s">
        <v>117</v>
      </c>
      <c r="F936" t="s">
        <v>73</v>
      </c>
      <c r="G936" t="s">
        <v>74</v>
      </c>
      <c r="H936" t="s">
        <v>102</v>
      </c>
      <c r="I936" t="s">
        <v>84</v>
      </c>
      <c r="J936" s="76">
        <f>'SUT_EU27 total'!$J$95</f>
        <v>13.3146</v>
      </c>
    </row>
    <row r="937" spans="1:10" x14ac:dyDescent="0.35">
      <c r="A937" t="s">
        <v>18</v>
      </c>
      <c r="B937" t="s">
        <v>37</v>
      </c>
      <c r="C937" t="s">
        <v>92</v>
      </c>
      <c r="D937" t="s">
        <v>81</v>
      </c>
      <c r="E937" t="s">
        <v>101</v>
      </c>
      <c r="F937" t="s">
        <v>73</v>
      </c>
      <c r="G937" t="s">
        <v>74</v>
      </c>
      <c r="H937" t="s">
        <v>102</v>
      </c>
      <c r="I937" t="s">
        <v>84</v>
      </c>
      <c r="J937" s="4" cm="1">
        <f t="array" ref="J937:J939">'SUT_EU27 total'!$J$100:$J$102</f>
        <v>0</v>
      </c>
    </row>
    <row r="938" spans="1:10" x14ac:dyDescent="0.35">
      <c r="A938" t="s">
        <v>18</v>
      </c>
      <c r="B938" t="s">
        <v>37</v>
      </c>
      <c r="C938" t="s">
        <v>92</v>
      </c>
      <c r="D938" t="s">
        <v>81</v>
      </c>
      <c r="E938" t="s">
        <v>104</v>
      </c>
      <c r="F938" t="s">
        <v>73</v>
      </c>
      <c r="G938" t="s">
        <v>74</v>
      </c>
      <c r="H938" t="s">
        <v>102</v>
      </c>
      <c r="I938" t="s">
        <v>84</v>
      </c>
      <c r="J938" s="4">
        <v>0</v>
      </c>
    </row>
    <row r="939" spans="1:10" x14ac:dyDescent="0.35">
      <c r="A939" t="s">
        <v>18</v>
      </c>
      <c r="B939" t="s">
        <v>37</v>
      </c>
      <c r="C939" t="s">
        <v>92</v>
      </c>
      <c r="D939" t="s">
        <v>81</v>
      </c>
      <c r="E939" t="s">
        <v>106</v>
      </c>
      <c r="F939" t="s">
        <v>73</v>
      </c>
      <c r="G939" t="s">
        <v>74</v>
      </c>
      <c r="H939" t="s">
        <v>102</v>
      </c>
      <c r="I939" t="s">
        <v>84</v>
      </c>
      <c r="J939" s="4">
        <v>0</v>
      </c>
    </row>
    <row r="940" spans="1:10" x14ac:dyDescent="0.35">
      <c r="A940" t="s">
        <v>18</v>
      </c>
      <c r="B940" t="s">
        <v>37</v>
      </c>
      <c r="C940" t="s">
        <v>93</v>
      </c>
      <c r="D940" t="s">
        <v>81</v>
      </c>
      <c r="E940" t="s">
        <v>115</v>
      </c>
      <c r="F940" t="s">
        <v>73</v>
      </c>
      <c r="G940" t="s">
        <v>74</v>
      </c>
      <c r="H940" t="s">
        <v>102</v>
      </c>
      <c r="I940" t="s">
        <v>84</v>
      </c>
      <c r="J940" s="76" cm="1">
        <f t="array" ref="J940:J941">'SUT_EU27 total'!$J$104:$J$105</f>
        <v>44.633142857142865</v>
      </c>
    </row>
    <row r="941" spans="1:10" x14ac:dyDescent="0.35">
      <c r="A941" t="s">
        <v>18</v>
      </c>
      <c r="B941" t="s">
        <v>37</v>
      </c>
      <c r="C941" t="s">
        <v>93</v>
      </c>
      <c r="D941" t="s">
        <v>81</v>
      </c>
      <c r="E941" t="s">
        <v>116</v>
      </c>
      <c r="F941" t="s">
        <v>73</v>
      </c>
      <c r="G941" t="s">
        <v>74</v>
      </c>
      <c r="H941" t="s">
        <v>102</v>
      </c>
      <c r="I941" t="s">
        <v>84</v>
      </c>
      <c r="J941" s="4">
        <v>0.3673348440311186</v>
      </c>
    </row>
    <row r="942" spans="1:10" x14ac:dyDescent="0.35">
      <c r="A942" t="s">
        <v>18</v>
      </c>
      <c r="B942" t="s">
        <v>37</v>
      </c>
      <c r="C942" t="s">
        <v>93</v>
      </c>
      <c r="D942" t="s">
        <v>81</v>
      </c>
      <c r="E942" t="s">
        <v>117</v>
      </c>
      <c r="F942" t="s">
        <v>73</v>
      </c>
      <c r="G942" t="s">
        <v>74</v>
      </c>
      <c r="H942" t="s">
        <v>102</v>
      </c>
      <c r="I942" t="s">
        <v>84</v>
      </c>
      <c r="J942" s="76">
        <f>'SUT_EU27 total'!$J$112</f>
        <v>138.77909999999997</v>
      </c>
    </row>
    <row r="943" spans="1:10" x14ac:dyDescent="0.35">
      <c r="A943" t="s">
        <v>18</v>
      </c>
      <c r="B943" t="s">
        <v>37</v>
      </c>
      <c r="C943" t="s">
        <v>93</v>
      </c>
      <c r="D943" t="s">
        <v>81</v>
      </c>
      <c r="E943" t="s">
        <v>101</v>
      </c>
      <c r="F943" t="s">
        <v>73</v>
      </c>
      <c r="G943" t="s">
        <v>74</v>
      </c>
      <c r="H943" t="s">
        <v>102</v>
      </c>
      <c r="I943" t="s">
        <v>84</v>
      </c>
      <c r="J943" s="4" cm="1">
        <f t="array" ref="J943:J945">'SUT_EU27 total'!$J$117:$J$119</f>
        <v>0</v>
      </c>
    </row>
    <row r="944" spans="1:10" x14ac:dyDescent="0.35">
      <c r="A944" t="s">
        <v>18</v>
      </c>
      <c r="B944" t="s">
        <v>37</v>
      </c>
      <c r="C944" t="s">
        <v>93</v>
      </c>
      <c r="D944" t="s">
        <v>81</v>
      </c>
      <c r="E944" t="s">
        <v>104</v>
      </c>
      <c r="F944" t="s">
        <v>73</v>
      </c>
      <c r="G944" t="s">
        <v>74</v>
      </c>
      <c r="H944" t="s">
        <v>102</v>
      </c>
      <c r="I944" t="s">
        <v>84</v>
      </c>
      <c r="J944" s="4">
        <v>0</v>
      </c>
    </row>
    <row r="945" spans="1:10" x14ac:dyDescent="0.35">
      <c r="A945" t="s">
        <v>18</v>
      </c>
      <c r="B945" t="s">
        <v>37</v>
      </c>
      <c r="C945" t="s">
        <v>93</v>
      </c>
      <c r="D945" t="s">
        <v>81</v>
      </c>
      <c r="E945" t="s">
        <v>106</v>
      </c>
      <c r="F945" t="s">
        <v>73</v>
      </c>
      <c r="G945" t="s">
        <v>74</v>
      </c>
      <c r="H945" t="s">
        <v>102</v>
      </c>
      <c r="I945" t="s">
        <v>84</v>
      </c>
      <c r="J945" s="4">
        <v>0</v>
      </c>
    </row>
    <row r="946" spans="1:10" x14ac:dyDescent="0.35">
      <c r="A946" t="s">
        <v>18</v>
      </c>
      <c r="B946" t="s">
        <v>37</v>
      </c>
      <c r="C946" t="s">
        <v>73</v>
      </c>
      <c r="D946" t="s">
        <v>81</v>
      </c>
      <c r="E946" t="s">
        <v>118</v>
      </c>
      <c r="F946" t="s">
        <v>73</v>
      </c>
      <c r="G946" t="s">
        <v>74</v>
      </c>
      <c r="H946" t="s">
        <v>108</v>
      </c>
      <c r="I946" t="s">
        <v>84</v>
      </c>
      <c r="J946" s="76" cm="1">
        <f t="array" ref="J946:J948">'SUT_EU27 total'!$K$21:$K$23</f>
        <v>1.4582562144772118E-3</v>
      </c>
    </row>
    <row r="947" spans="1:10" x14ac:dyDescent="0.35">
      <c r="A947" t="s">
        <v>18</v>
      </c>
      <c r="B947" t="s">
        <v>37</v>
      </c>
      <c r="C947" t="s">
        <v>73</v>
      </c>
      <c r="D947" t="s">
        <v>81</v>
      </c>
      <c r="E947" t="s">
        <v>119</v>
      </c>
      <c r="F947" t="s">
        <v>73</v>
      </c>
      <c r="G947" t="s">
        <v>74</v>
      </c>
      <c r="H947" t="s">
        <v>108</v>
      </c>
      <c r="I947" t="s">
        <v>84</v>
      </c>
      <c r="J947" s="4">
        <v>8.4634636521458274E-4</v>
      </c>
    </row>
    <row r="948" spans="1:10" x14ac:dyDescent="0.35">
      <c r="A948" t="s">
        <v>18</v>
      </c>
      <c r="B948" t="s">
        <v>37</v>
      </c>
      <c r="C948" t="s">
        <v>73</v>
      </c>
      <c r="D948" t="s">
        <v>81</v>
      </c>
      <c r="E948" t="s">
        <v>120</v>
      </c>
      <c r="F948" t="s">
        <v>73</v>
      </c>
      <c r="G948" t="s">
        <v>74</v>
      </c>
      <c r="H948" t="s">
        <v>108</v>
      </c>
      <c r="I948" t="s">
        <v>84</v>
      </c>
      <c r="J948" s="4">
        <v>1.2517329093179335E-4</v>
      </c>
    </row>
    <row r="949" spans="1:10" x14ac:dyDescent="0.35">
      <c r="A949" t="s">
        <v>18</v>
      </c>
      <c r="B949" t="s">
        <v>37</v>
      </c>
      <c r="C949" t="s">
        <v>73</v>
      </c>
      <c r="D949" t="s">
        <v>81</v>
      </c>
      <c r="E949" s="77" t="s">
        <v>121</v>
      </c>
      <c r="F949" t="s">
        <v>73</v>
      </c>
      <c r="G949" t="s">
        <v>74</v>
      </c>
      <c r="H949" t="s">
        <v>108</v>
      </c>
      <c r="I949" t="s">
        <v>84</v>
      </c>
      <c r="J949" s="76">
        <f>'SUT_EU27 total'!$K$25</f>
        <v>6.9749679999999994E-2</v>
      </c>
    </row>
    <row r="950" spans="1:10" x14ac:dyDescent="0.35">
      <c r="A950" t="s">
        <v>18</v>
      </c>
      <c r="B950" t="s">
        <v>37</v>
      </c>
      <c r="C950" t="s">
        <v>73</v>
      </c>
      <c r="D950" t="s">
        <v>81</v>
      </c>
      <c r="E950" t="s">
        <v>117</v>
      </c>
      <c r="F950" t="s">
        <v>73</v>
      </c>
      <c r="G950" t="s">
        <v>74</v>
      </c>
      <c r="H950" t="s">
        <v>108</v>
      </c>
      <c r="I950" t="s">
        <v>84</v>
      </c>
      <c r="J950" s="76">
        <f>'SUT_EU27 total'!$K$27</f>
        <v>1.1932942595726979E-3</v>
      </c>
    </row>
    <row r="951" spans="1:10" x14ac:dyDescent="0.35">
      <c r="A951" t="s">
        <v>18</v>
      </c>
      <c r="B951" t="s">
        <v>37</v>
      </c>
      <c r="C951" t="s">
        <v>73</v>
      </c>
      <c r="D951" t="s">
        <v>81</v>
      </c>
      <c r="E951" t="s">
        <v>122</v>
      </c>
      <c r="F951" t="s">
        <v>73</v>
      </c>
      <c r="G951" t="s">
        <v>74</v>
      </c>
      <c r="H951" t="s">
        <v>108</v>
      </c>
      <c r="I951" t="s">
        <v>84</v>
      </c>
      <c r="J951" s="76">
        <f>'SUT_EU27 total'!$K$30</f>
        <v>1.5965533412604042E-3</v>
      </c>
    </row>
    <row r="952" spans="1:10" x14ac:dyDescent="0.35">
      <c r="A952" t="s">
        <v>18</v>
      </c>
      <c r="B952" t="s">
        <v>37</v>
      </c>
      <c r="C952" t="s">
        <v>73</v>
      </c>
      <c r="D952" t="s">
        <v>81</v>
      </c>
      <c r="E952" t="s">
        <v>101</v>
      </c>
      <c r="F952" t="s">
        <v>73</v>
      </c>
      <c r="G952" t="s">
        <v>74</v>
      </c>
      <c r="H952" t="s">
        <v>108</v>
      </c>
      <c r="I952" t="s">
        <v>84</v>
      </c>
      <c r="J952" s="76" cm="1">
        <f t="array" ref="J952:J954">'SUT_EU27 total'!$K$32:$K$34</f>
        <v>2.4335351040000001E-4</v>
      </c>
    </row>
    <row r="953" spans="1:10" x14ac:dyDescent="0.35">
      <c r="A953" t="s">
        <v>18</v>
      </c>
      <c r="B953" t="s">
        <v>37</v>
      </c>
      <c r="C953" t="s">
        <v>73</v>
      </c>
      <c r="D953" t="s">
        <v>81</v>
      </c>
      <c r="E953" t="s">
        <v>104</v>
      </c>
      <c r="F953" t="s">
        <v>73</v>
      </c>
      <c r="G953" t="s">
        <v>74</v>
      </c>
      <c r="H953" t="s">
        <v>108</v>
      </c>
      <c r="I953" t="s">
        <v>84</v>
      </c>
      <c r="J953" s="4">
        <v>4.6076808959999996E-4</v>
      </c>
    </row>
    <row r="954" spans="1:10" x14ac:dyDescent="0.35">
      <c r="A954" t="s">
        <v>18</v>
      </c>
      <c r="B954" t="s">
        <v>37</v>
      </c>
      <c r="C954" t="s">
        <v>73</v>
      </c>
      <c r="D954" t="s">
        <v>81</v>
      </c>
      <c r="E954" t="s">
        <v>106</v>
      </c>
      <c r="F954" t="s">
        <v>73</v>
      </c>
      <c r="G954" t="s">
        <v>74</v>
      </c>
      <c r="H954" t="s">
        <v>108</v>
      </c>
      <c r="I954" t="s">
        <v>84</v>
      </c>
      <c r="J954" s="4">
        <v>1.5672383999999996E-3</v>
      </c>
    </row>
    <row r="955" spans="1:10" x14ac:dyDescent="0.35">
      <c r="A955" t="s">
        <v>18</v>
      </c>
      <c r="B955" t="s">
        <v>37</v>
      </c>
      <c r="C955" t="s">
        <v>88</v>
      </c>
      <c r="D955" t="s">
        <v>81</v>
      </c>
      <c r="E955" t="s">
        <v>118</v>
      </c>
      <c r="F955" t="s">
        <v>73</v>
      </c>
      <c r="G955" t="s">
        <v>74</v>
      </c>
      <c r="H955" t="s">
        <v>108</v>
      </c>
      <c r="I955" t="s">
        <v>84</v>
      </c>
      <c r="J955" s="76" cm="1">
        <f t="array" ref="J955:J957">'SUT_EU27 total'!$K$38:$K$40</f>
        <v>3.3029309855227888E-2</v>
      </c>
    </row>
    <row r="956" spans="1:10" x14ac:dyDescent="0.35">
      <c r="A956" t="s">
        <v>18</v>
      </c>
      <c r="B956" t="s">
        <v>37</v>
      </c>
      <c r="C956" t="s">
        <v>88</v>
      </c>
      <c r="D956" t="s">
        <v>81</v>
      </c>
      <c r="E956" t="s">
        <v>119</v>
      </c>
      <c r="F956" t="s">
        <v>73</v>
      </c>
      <c r="G956" t="s">
        <v>74</v>
      </c>
      <c r="H956" t="s">
        <v>108</v>
      </c>
      <c r="I956" t="s">
        <v>84</v>
      </c>
      <c r="J956" s="4">
        <v>6.9915569300335089E-3</v>
      </c>
    </row>
    <row r="957" spans="1:10" x14ac:dyDescent="0.35">
      <c r="A957" t="s">
        <v>18</v>
      </c>
      <c r="B957" t="s">
        <v>37</v>
      </c>
      <c r="C957" t="s">
        <v>88</v>
      </c>
      <c r="D957" t="s">
        <v>81</v>
      </c>
      <c r="E957" t="s">
        <v>120</v>
      </c>
      <c r="F957" t="s">
        <v>73</v>
      </c>
      <c r="G957" t="s">
        <v>74</v>
      </c>
      <c r="H957" t="s">
        <v>108</v>
      </c>
      <c r="I957" t="s">
        <v>84</v>
      </c>
      <c r="J957" s="4">
        <v>1.5283979779928203E-3</v>
      </c>
    </row>
    <row r="958" spans="1:10" x14ac:dyDescent="0.35">
      <c r="A958" t="s">
        <v>18</v>
      </c>
      <c r="B958" t="s">
        <v>37</v>
      </c>
      <c r="C958" t="s">
        <v>88</v>
      </c>
      <c r="D958" t="s">
        <v>81</v>
      </c>
      <c r="E958" s="77" t="s">
        <v>121</v>
      </c>
      <c r="F958" t="s">
        <v>73</v>
      </c>
      <c r="G958" t="s">
        <v>74</v>
      </c>
      <c r="H958" t="s">
        <v>108</v>
      </c>
      <c r="I958" t="s">
        <v>84</v>
      </c>
      <c r="J958" s="4">
        <f>'SUT_EU27 total'!$K$42</f>
        <v>0</v>
      </c>
    </row>
    <row r="959" spans="1:10" x14ac:dyDescent="0.35">
      <c r="A959" t="s">
        <v>18</v>
      </c>
      <c r="B959" t="s">
        <v>37</v>
      </c>
      <c r="C959" t="s">
        <v>88</v>
      </c>
      <c r="D959" t="s">
        <v>81</v>
      </c>
      <c r="E959" t="s">
        <v>117</v>
      </c>
      <c r="F959" t="s">
        <v>73</v>
      </c>
      <c r="G959" t="s">
        <v>74</v>
      </c>
      <c r="H959" t="s">
        <v>108</v>
      </c>
      <c r="I959" t="s">
        <v>84</v>
      </c>
      <c r="J959" s="76">
        <f>'SUT_EU27 total'!$K$44</f>
        <v>9.9090099874062521E-4</v>
      </c>
    </row>
    <row r="960" spans="1:10" x14ac:dyDescent="0.35">
      <c r="A960" t="s">
        <v>18</v>
      </c>
      <c r="B960" t="s">
        <v>37</v>
      </c>
      <c r="C960" t="s">
        <v>88</v>
      </c>
      <c r="D960" t="s">
        <v>81</v>
      </c>
      <c r="E960" t="s">
        <v>122</v>
      </c>
      <c r="F960" t="s">
        <v>73</v>
      </c>
      <c r="G960" t="s">
        <v>74</v>
      </c>
      <c r="H960" t="s">
        <v>108</v>
      </c>
      <c r="I960" t="s">
        <v>84</v>
      </c>
      <c r="J960" s="76">
        <f>'SUT_EU27 total'!$K$47</f>
        <v>0</v>
      </c>
    </row>
    <row r="961" spans="1:10" x14ac:dyDescent="0.35">
      <c r="A961" t="s">
        <v>18</v>
      </c>
      <c r="B961" t="s">
        <v>37</v>
      </c>
      <c r="C961" t="s">
        <v>88</v>
      </c>
      <c r="D961" t="s">
        <v>81</v>
      </c>
      <c r="E961" t="s">
        <v>101</v>
      </c>
      <c r="F961" t="s">
        <v>73</v>
      </c>
      <c r="G961" t="s">
        <v>74</v>
      </c>
      <c r="H961" t="s">
        <v>108</v>
      </c>
      <c r="I961" t="s">
        <v>84</v>
      </c>
      <c r="J961" s="4" cm="1">
        <f t="array" ref="J961:J963">'SUT_EU27 total'!$K$49:$K$51</f>
        <v>0</v>
      </c>
    </row>
    <row r="962" spans="1:10" x14ac:dyDescent="0.35">
      <c r="A962" t="s">
        <v>18</v>
      </c>
      <c r="B962" t="s">
        <v>37</v>
      </c>
      <c r="C962" t="s">
        <v>88</v>
      </c>
      <c r="D962" t="s">
        <v>81</v>
      </c>
      <c r="E962" t="s">
        <v>104</v>
      </c>
      <c r="F962" t="s">
        <v>73</v>
      </c>
      <c r="G962" t="s">
        <v>74</v>
      </c>
      <c r="H962" t="s">
        <v>108</v>
      </c>
      <c r="I962" t="s">
        <v>84</v>
      </c>
      <c r="J962" s="4">
        <v>0</v>
      </c>
    </row>
    <row r="963" spans="1:10" x14ac:dyDescent="0.35">
      <c r="A963" t="s">
        <v>18</v>
      </c>
      <c r="B963" t="s">
        <v>37</v>
      </c>
      <c r="C963" t="s">
        <v>88</v>
      </c>
      <c r="D963" t="s">
        <v>81</v>
      </c>
      <c r="E963" t="s">
        <v>106</v>
      </c>
      <c r="F963" t="s">
        <v>73</v>
      </c>
      <c r="G963" t="s">
        <v>74</v>
      </c>
      <c r="H963" t="s">
        <v>108</v>
      </c>
      <c r="I963" t="s">
        <v>84</v>
      </c>
      <c r="J963" s="4">
        <v>0</v>
      </c>
    </row>
    <row r="964" spans="1:10" x14ac:dyDescent="0.35">
      <c r="A964" t="s">
        <v>18</v>
      </c>
      <c r="B964" t="s">
        <v>37</v>
      </c>
      <c r="C964" t="s">
        <v>90</v>
      </c>
      <c r="D964" t="s">
        <v>81</v>
      </c>
      <c r="E964" t="s">
        <v>118</v>
      </c>
      <c r="F964" t="s">
        <v>73</v>
      </c>
      <c r="G964" t="s">
        <v>74</v>
      </c>
      <c r="H964" t="s">
        <v>108</v>
      </c>
      <c r="I964" t="s">
        <v>84</v>
      </c>
      <c r="J964" s="76" cm="1">
        <f t="array" ref="J964:J966">'SUT_EU27 total'!$K$55:$K$57</f>
        <v>4.323194595174263E-3</v>
      </c>
    </row>
    <row r="965" spans="1:10" x14ac:dyDescent="0.35">
      <c r="A965" t="s">
        <v>18</v>
      </c>
      <c r="B965" t="s">
        <v>37</v>
      </c>
      <c r="C965" t="s">
        <v>90</v>
      </c>
      <c r="D965" t="s">
        <v>81</v>
      </c>
      <c r="E965" t="s">
        <v>119</v>
      </c>
      <c r="F965" t="s">
        <v>73</v>
      </c>
      <c r="G965" t="s">
        <v>74</v>
      </c>
      <c r="H965" t="s">
        <v>108</v>
      </c>
      <c r="I965" t="s">
        <v>84</v>
      </c>
      <c r="J965" s="4">
        <v>1.2800331672655335E-3</v>
      </c>
    </row>
    <row r="966" spans="1:10" x14ac:dyDescent="0.35">
      <c r="A966" t="s">
        <v>18</v>
      </c>
      <c r="B966" t="s">
        <v>37</v>
      </c>
      <c r="C966" t="s">
        <v>90</v>
      </c>
      <c r="D966" t="s">
        <v>81</v>
      </c>
      <c r="E966" t="s">
        <v>120</v>
      </c>
      <c r="F966" t="s">
        <v>73</v>
      </c>
      <c r="G966" t="s">
        <v>74</v>
      </c>
      <c r="H966" t="s">
        <v>108</v>
      </c>
      <c r="I966" t="s">
        <v>84</v>
      </c>
      <c r="J966" s="4">
        <v>5.6700291220540041E-3</v>
      </c>
    </row>
    <row r="967" spans="1:10" x14ac:dyDescent="0.35">
      <c r="A967" t="s">
        <v>18</v>
      </c>
      <c r="B967" t="s">
        <v>37</v>
      </c>
      <c r="C967" t="s">
        <v>90</v>
      </c>
      <c r="D967" t="s">
        <v>81</v>
      </c>
      <c r="E967" s="77" t="s">
        <v>121</v>
      </c>
      <c r="F967" t="s">
        <v>73</v>
      </c>
      <c r="G967" t="s">
        <v>74</v>
      </c>
      <c r="H967" t="s">
        <v>108</v>
      </c>
      <c r="I967" t="s">
        <v>84</v>
      </c>
      <c r="J967" s="4">
        <f>'SUT_EU27 total'!$K$59</f>
        <v>0</v>
      </c>
    </row>
    <row r="968" spans="1:10" x14ac:dyDescent="0.35">
      <c r="A968" t="s">
        <v>18</v>
      </c>
      <c r="B968" t="s">
        <v>37</v>
      </c>
      <c r="C968" t="s">
        <v>90</v>
      </c>
      <c r="D968" t="s">
        <v>81</v>
      </c>
      <c r="E968" t="s">
        <v>117</v>
      </c>
      <c r="F968" t="s">
        <v>73</v>
      </c>
      <c r="G968" t="s">
        <v>74</v>
      </c>
      <c r="H968" t="s">
        <v>108</v>
      </c>
      <c r="I968" t="s">
        <v>84</v>
      </c>
      <c r="J968" s="76">
        <f>'SUT_EU27 total'!$K$61</f>
        <v>1.1930979242119881E-3</v>
      </c>
    </row>
    <row r="969" spans="1:10" x14ac:dyDescent="0.35">
      <c r="A969" t="s">
        <v>18</v>
      </c>
      <c r="B969" t="s">
        <v>37</v>
      </c>
      <c r="C969" t="s">
        <v>90</v>
      </c>
      <c r="D969" t="s">
        <v>81</v>
      </c>
      <c r="E969" t="s">
        <v>122</v>
      </c>
      <c r="F969" t="s">
        <v>73</v>
      </c>
      <c r="G969" t="s">
        <v>74</v>
      </c>
      <c r="H969" t="s">
        <v>108</v>
      </c>
      <c r="I969" t="s">
        <v>84</v>
      </c>
      <c r="J969" s="76">
        <f>'SUT_EU27 total'!$K$64</f>
        <v>2.5776238002378116E-3</v>
      </c>
    </row>
    <row r="970" spans="1:10" x14ac:dyDescent="0.35">
      <c r="A970" t="s">
        <v>18</v>
      </c>
      <c r="B970" t="s">
        <v>37</v>
      </c>
      <c r="C970" t="s">
        <v>90</v>
      </c>
      <c r="D970" t="s">
        <v>81</v>
      </c>
      <c r="E970" t="s">
        <v>101</v>
      </c>
      <c r="F970" t="s">
        <v>73</v>
      </c>
      <c r="G970" t="s">
        <v>74</v>
      </c>
      <c r="H970" t="s">
        <v>108</v>
      </c>
      <c r="I970" t="s">
        <v>84</v>
      </c>
      <c r="J970" s="4" cm="1">
        <f t="array" ref="J970:J972">'SUT_EU27 total'!$K$66:$K$68</f>
        <v>0</v>
      </c>
    </row>
    <row r="971" spans="1:10" x14ac:dyDescent="0.35">
      <c r="A971" t="s">
        <v>18</v>
      </c>
      <c r="B971" t="s">
        <v>37</v>
      </c>
      <c r="C971" t="s">
        <v>90</v>
      </c>
      <c r="D971" t="s">
        <v>81</v>
      </c>
      <c r="E971" t="s">
        <v>104</v>
      </c>
      <c r="F971" t="s">
        <v>73</v>
      </c>
      <c r="G971" t="s">
        <v>74</v>
      </c>
      <c r="H971" t="s">
        <v>108</v>
      </c>
      <c r="I971" t="s">
        <v>84</v>
      </c>
      <c r="J971" s="4">
        <v>0</v>
      </c>
    </row>
    <row r="972" spans="1:10" x14ac:dyDescent="0.35">
      <c r="A972" t="s">
        <v>18</v>
      </c>
      <c r="B972" t="s">
        <v>37</v>
      </c>
      <c r="C972" t="s">
        <v>90</v>
      </c>
      <c r="D972" t="s">
        <v>81</v>
      </c>
      <c r="E972" t="s">
        <v>106</v>
      </c>
      <c r="F972" t="s">
        <v>73</v>
      </c>
      <c r="G972" t="s">
        <v>74</v>
      </c>
      <c r="H972" t="s">
        <v>108</v>
      </c>
      <c r="I972" t="s">
        <v>84</v>
      </c>
      <c r="J972" s="4">
        <v>0</v>
      </c>
    </row>
    <row r="973" spans="1:10" x14ac:dyDescent="0.35">
      <c r="A973" t="s">
        <v>18</v>
      </c>
      <c r="B973" t="s">
        <v>37</v>
      </c>
      <c r="C973" t="s">
        <v>91</v>
      </c>
      <c r="D973" t="s">
        <v>81</v>
      </c>
      <c r="E973" t="s">
        <v>118</v>
      </c>
      <c r="F973" t="s">
        <v>73</v>
      </c>
      <c r="G973" t="s">
        <v>74</v>
      </c>
      <c r="H973" t="s">
        <v>108</v>
      </c>
      <c r="I973" t="s">
        <v>84</v>
      </c>
      <c r="J973" s="76" cm="1">
        <f t="array" ref="J973:J975">'SUT_EU27 total'!$K$72:$K$74</f>
        <v>5.3791732332439677E-3</v>
      </c>
    </row>
    <row r="974" spans="1:10" x14ac:dyDescent="0.35">
      <c r="A974" t="s">
        <v>18</v>
      </c>
      <c r="B974" t="s">
        <v>37</v>
      </c>
      <c r="C974" t="s">
        <v>91</v>
      </c>
      <c r="D974" t="s">
        <v>81</v>
      </c>
      <c r="E974" t="s">
        <v>119</v>
      </c>
      <c r="F974" t="s">
        <v>73</v>
      </c>
      <c r="G974" t="s">
        <v>74</v>
      </c>
      <c r="H974" t="s">
        <v>108</v>
      </c>
      <c r="I974" t="s">
        <v>84</v>
      </c>
      <c r="J974" s="4">
        <v>6.5526133182607291E-3</v>
      </c>
    </row>
    <row r="975" spans="1:10" x14ac:dyDescent="0.35">
      <c r="A975" t="s">
        <v>18</v>
      </c>
      <c r="B975" t="s">
        <v>37</v>
      </c>
      <c r="C975" t="s">
        <v>91</v>
      </c>
      <c r="D975" t="s">
        <v>81</v>
      </c>
      <c r="E975" t="s">
        <v>120</v>
      </c>
      <c r="F975" t="s">
        <v>73</v>
      </c>
      <c r="G975" t="s">
        <v>74</v>
      </c>
      <c r="H975" t="s">
        <v>108</v>
      </c>
      <c r="I975" t="s">
        <v>84</v>
      </c>
      <c r="J975" s="4">
        <v>2.464950959887623E-4</v>
      </c>
    </row>
    <row r="976" spans="1:10" x14ac:dyDescent="0.35">
      <c r="A976" t="s">
        <v>18</v>
      </c>
      <c r="B976" t="s">
        <v>37</v>
      </c>
      <c r="C976" t="s">
        <v>91</v>
      </c>
      <c r="D976" t="s">
        <v>81</v>
      </c>
      <c r="E976" s="77" t="s">
        <v>121</v>
      </c>
      <c r="F976" t="s">
        <v>73</v>
      </c>
      <c r="G976" t="s">
        <v>74</v>
      </c>
      <c r="H976" t="s">
        <v>108</v>
      </c>
      <c r="I976" t="s">
        <v>84</v>
      </c>
      <c r="J976" s="4">
        <f>'SUT_EU27 total'!$K$76</f>
        <v>0</v>
      </c>
    </row>
    <row r="977" spans="1:10" x14ac:dyDescent="0.35">
      <c r="A977" t="s">
        <v>18</v>
      </c>
      <c r="B977" t="s">
        <v>37</v>
      </c>
      <c r="C977" t="s">
        <v>91</v>
      </c>
      <c r="D977" t="s">
        <v>81</v>
      </c>
      <c r="E977" t="s">
        <v>117</v>
      </c>
      <c r="F977" t="s">
        <v>73</v>
      </c>
      <c r="G977" t="s">
        <v>74</v>
      </c>
      <c r="H977" t="s">
        <v>108</v>
      </c>
      <c r="I977" t="s">
        <v>84</v>
      </c>
      <c r="J977" s="76">
        <f>'SUT_EU27 total'!$K$78</f>
        <v>1.1485683451306521E-3</v>
      </c>
    </row>
    <row r="978" spans="1:10" x14ac:dyDescent="0.35">
      <c r="A978" t="s">
        <v>18</v>
      </c>
      <c r="B978" t="s">
        <v>37</v>
      </c>
      <c r="C978" t="s">
        <v>91</v>
      </c>
      <c r="D978" t="s">
        <v>81</v>
      </c>
      <c r="E978" t="s">
        <v>122</v>
      </c>
      <c r="F978" t="s">
        <v>73</v>
      </c>
      <c r="G978" t="s">
        <v>74</v>
      </c>
      <c r="H978" t="s">
        <v>108</v>
      </c>
      <c r="I978" t="s">
        <v>84</v>
      </c>
      <c r="J978" s="76">
        <f>'SUT_EU27 total'!$K$81</f>
        <v>0</v>
      </c>
    </row>
    <row r="979" spans="1:10" x14ac:dyDescent="0.35">
      <c r="A979" t="s">
        <v>18</v>
      </c>
      <c r="B979" t="s">
        <v>37</v>
      </c>
      <c r="C979" t="s">
        <v>91</v>
      </c>
      <c r="D979" t="s">
        <v>81</v>
      </c>
      <c r="E979" t="s">
        <v>101</v>
      </c>
      <c r="F979" t="s">
        <v>73</v>
      </c>
      <c r="G979" t="s">
        <v>74</v>
      </c>
      <c r="H979" t="s">
        <v>108</v>
      </c>
      <c r="I979" t="s">
        <v>84</v>
      </c>
      <c r="J979" s="4" cm="1">
        <f t="array" ref="J979:J981">'SUT_EU27 total'!$K$83:$K$85</f>
        <v>0</v>
      </c>
    </row>
    <row r="980" spans="1:10" x14ac:dyDescent="0.35">
      <c r="A980" t="s">
        <v>18</v>
      </c>
      <c r="B980" t="s">
        <v>37</v>
      </c>
      <c r="C980" t="s">
        <v>91</v>
      </c>
      <c r="D980" t="s">
        <v>81</v>
      </c>
      <c r="E980" t="s">
        <v>104</v>
      </c>
      <c r="F980" t="s">
        <v>73</v>
      </c>
      <c r="G980" t="s">
        <v>74</v>
      </c>
      <c r="H980" t="s">
        <v>108</v>
      </c>
      <c r="I980" t="s">
        <v>84</v>
      </c>
      <c r="J980" s="4">
        <v>0</v>
      </c>
    </row>
    <row r="981" spans="1:10" x14ac:dyDescent="0.35">
      <c r="A981" t="s">
        <v>18</v>
      </c>
      <c r="B981" t="s">
        <v>37</v>
      </c>
      <c r="C981" t="s">
        <v>91</v>
      </c>
      <c r="D981" t="s">
        <v>81</v>
      </c>
      <c r="E981" t="s">
        <v>106</v>
      </c>
      <c r="F981" t="s">
        <v>73</v>
      </c>
      <c r="G981" t="s">
        <v>74</v>
      </c>
      <c r="H981" t="s">
        <v>108</v>
      </c>
      <c r="I981" t="s">
        <v>84</v>
      </c>
      <c r="J981" s="4">
        <v>0</v>
      </c>
    </row>
    <row r="982" spans="1:10" x14ac:dyDescent="0.35">
      <c r="A982" t="s">
        <v>18</v>
      </c>
      <c r="B982" t="s">
        <v>37</v>
      </c>
      <c r="C982" t="s">
        <v>92</v>
      </c>
      <c r="D982" t="s">
        <v>81</v>
      </c>
      <c r="E982" t="s">
        <v>118</v>
      </c>
      <c r="F982" t="s">
        <v>73</v>
      </c>
      <c r="G982" t="s">
        <v>74</v>
      </c>
      <c r="H982" t="s">
        <v>108</v>
      </c>
      <c r="I982" t="s">
        <v>84</v>
      </c>
      <c r="J982" s="76" cm="1">
        <f t="array" ref="J982:J984">'SUT_EU27 total'!$K$89:$K$91</f>
        <v>3.3497344343163542E-3</v>
      </c>
    </row>
    <row r="983" spans="1:10" x14ac:dyDescent="0.35">
      <c r="A983" t="s">
        <v>18</v>
      </c>
      <c r="B983" t="s">
        <v>37</v>
      </c>
      <c r="C983" t="s">
        <v>92</v>
      </c>
      <c r="D983" t="s">
        <v>81</v>
      </c>
      <c r="E983" t="s">
        <v>119</v>
      </c>
      <c r="F983" t="s">
        <v>73</v>
      </c>
      <c r="G983" t="s">
        <v>74</v>
      </c>
      <c r="H983" t="s">
        <v>108</v>
      </c>
      <c r="I983" t="s">
        <v>84</v>
      </c>
      <c r="J983" s="4">
        <v>6.0269323460777589E-3</v>
      </c>
    </row>
    <row r="984" spans="1:10" x14ac:dyDescent="0.35">
      <c r="A984" t="s">
        <v>18</v>
      </c>
      <c r="B984" t="s">
        <v>37</v>
      </c>
      <c r="C984" t="s">
        <v>92</v>
      </c>
      <c r="D984" t="s">
        <v>81</v>
      </c>
      <c r="E984" t="s">
        <v>120</v>
      </c>
      <c r="F984" t="s">
        <v>73</v>
      </c>
      <c r="G984" t="s">
        <v>74</v>
      </c>
      <c r="H984" t="s">
        <v>108</v>
      </c>
      <c r="I984" t="s">
        <v>84</v>
      </c>
      <c r="J984" s="4">
        <v>4.0947713992508196E-3</v>
      </c>
    </row>
    <row r="985" spans="1:10" x14ac:dyDescent="0.35">
      <c r="A985" t="s">
        <v>18</v>
      </c>
      <c r="B985" t="s">
        <v>37</v>
      </c>
      <c r="C985" t="s">
        <v>92</v>
      </c>
      <c r="D985" t="s">
        <v>81</v>
      </c>
      <c r="E985" s="77" t="s">
        <v>121</v>
      </c>
      <c r="F985" t="s">
        <v>73</v>
      </c>
      <c r="G985" t="s">
        <v>74</v>
      </c>
      <c r="H985" t="s">
        <v>108</v>
      </c>
      <c r="I985" t="s">
        <v>84</v>
      </c>
      <c r="J985" s="4">
        <f>'SUT_EU27 total'!$K$93</f>
        <v>0</v>
      </c>
    </row>
    <row r="986" spans="1:10" x14ac:dyDescent="0.35">
      <c r="A986" t="s">
        <v>18</v>
      </c>
      <c r="B986" t="s">
        <v>37</v>
      </c>
      <c r="C986" t="s">
        <v>92</v>
      </c>
      <c r="D986" t="s">
        <v>81</v>
      </c>
      <c r="E986" t="s">
        <v>117</v>
      </c>
      <c r="F986" t="s">
        <v>73</v>
      </c>
      <c r="G986" t="s">
        <v>74</v>
      </c>
      <c r="H986" t="s">
        <v>108</v>
      </c>
      <c r="I986" t="s">
        <v>84</v>
      </c>
      <c r="J986" s="4">
        <f>'SUT_EU27 total'!$K$95</f>
        <v>0</v>
      </c>
    </row>
    <row r="987" spans="1:10" x14ac:dyDescent="0.35">
      <c r="A987" t="s">
        <v>18</v>
      </c>
      <c r="B987" t="s">
        <v>37</v>
      </c>
      <c r="C987" t="s">
        <v>92</v>
      </c>
      <c r="D987" t="s">
        <v>81</v>
      </c>
      <c r="E987" t="s">
        <v>122</v>
      </c>
      <c r="F987" t="s">
        <v>73</v>
      </c>
      <c r="G987" t="s">
        <v>74</v>
      </c>
      <c r="H987" t="s">
        <v>108</v>
      </c>
      <c r="I987" t="s">
        <v>84</v>
      </c>
      <c r="J987" s="76">
        <f>'SUT_EU27 total'!$K$98</f>
        <v>0</v>
      </c>
    </row>
    <row r="988" spans="1:10" x14ac:dyDescent="0.35">
      <c r="A988" t="s">
        <v>18</v>
      </c>
      <c r="B988" t="s">
        <v>37</v>
      </c>
      <c r="C988" t="s">
        <v>92</v>
      </c>
      <c r="D988" t="s">
        <v>81</v>
      </c>
      <c r="E988" t="s">
        <v>101</v>
      </c>
      <c r="F988" t="s">
        <v>73</v>
      </c>
      <c r="G988" t="s">
        <v>74</v>
      </c>
      <c r="H988" t="s">
        <v>108</v>
      </c>
      <c r="I988" t="s">
        <v>84</v>
      </c>
      <c r="J988" s="4" cm="1">
        <f t="array" ref="J988:J990">'SUT_EU27 total'!$K$100:$K$102</f>
        <v>0</v>
      </c>
    </row>
    <row r="989" spans="1:10" x14ac:dyDescent="0.35">
      <c r="A989" t="s">
        <v>18</v>
      </c>
      <c r="B989" t="s">
        <v>37</v>
      </c>
      <c r="C989" t="s">
        <v>92</v>
      </c>
      <c r="D989" t="s">
        <v>81</v>
      </c>
      <c r="E989" t="s">
        <v>104</v>
      </c>
      <c r="F989" t="s">
        <v>73</v>
      </c>
      <c r="G989" t="s">
        <v>74</v>
      </c>
      <c r="H989" t="s">
        <v>108</v>
      </c>
      <c r="I989" t="s">
        <v>84</v>
      </c>
      <c r="J989" s="4">
        <v>0</v>
      </c>
    </row>
    <row r="990" spans="1:10" x14ac:dyDescent="0.35">
      <c r="A990" t="s">
        <v>18</v>
      </c>
      <c r="B990" t="s">
        <v>37</v>
      </c>
      <c r="C990" t="s">
        <v>92</v>
      </c>
      <c r="D990" t="s">
        <v>81</v>
      </c>
      <c r="E990" t="s">
        <v>106</v>
      </c>
      <c r="F990" t="s">
        <v>73</v>
      </c>
      <c r="G990" t="s">
        <v>74</v>
      </c>
      <c r="H990" t="s">
        <v>108</v>
      </c>
      <c r="I990" t="s">
        <v>84</v>
      </c>
      <c r="J990" s="4">
        <v>0</v>
      </c>
    </row>
    <row r="991" spans="1:10" x14ac:dyDescent="0.35">
      <c r="A991" t="s">
        <v>18</v>
      </c>
      <c r="B991" t="s">
        <v>37</v>
      </c>
      <c r="C991" t="s">
        <v>93</v>
      </c>
      <c r="D991" t="s">
        <v>81</v>
      </c>
      <c r="E991" t="s">
        <v>118</v>
      </c>
      <c r="F991" t="s">
        <v>73</v>
      </c>
      <c r="G991" t="s">
        <v>74</v>
      </c>
      <c r="H991" t="s">
        <v>108</v>
      </c>
      <c r="I991" t="s">
        <v>84</v>
      </c>
      <c r="J991" s="76" cm="1">
        <f t="array" ref="J991:J993">'SUT_EU27 total'!$K$106:$K$108</f>
        <v>1.4980971667560324E-2</v>
      </c>
    </row>
    <row r="992" spans="1:10" x14ac:dyDescent="0.35">
      <c r="A992" t="s">
        <v>18</v>
      </c>
      <c r="B992" t="s">
        <v>37</v>
      </c>
      <c r="C992" t="s">
        <v>93</v>
      </c>
      <c r="D992" t="s">
        <v>81</v>
      </c>
      <c r="E992" t="s">
        <v>119</v>
      </c>
      <c r="F992" t="s">
        <v>73</v>
      </c>
      <c r="G992" t="s">
        <v>74</v>
      </c>
      <c r="H992" t="s">
        <v>108</v>
      </c>
      <c r="I992" t="s">
        <v>84</v>
      </c>
      <c r="J992" s="4">
        <v>4.3405477873147885E-2</v>
      </c>
    </row>
    <row r="993" spans="1:10" x14ac:dyDescent="0.35">
      <c r="A993" t="s">
        <v>18</v>
      </c>
      <c r="B993" t="s">
        <v>37</v>
      </c>
      <c r="C993" t="s">
        <v>93</v>
      </c>
      <c r="D993" t="s">
        <v>81</v>
      </c>
      <c r="E993" t="s">
        <v>120</v>
      </c>
      <c r="F993" t="s">
        <v>73</v>
      </c>
      <c r="G993" t="s">
        <v>74</v>
      </c>
      <c r="H993" t="s">
        <v>108</v>
      </c>
      <c r="I993" t="s">
        <v>84</v>
      </c>
      <c r="J993" s="4">
        <v>2.1237093113781802E-2</v>
      </c>
    </row>
    <row r="994" spans="1:10" x14ac:dyDescent="0.35">
      <c r="A994" t="s">
        <v>18</v>
      </c>
      <c r="B994" t="s">
        <v>37</v>
      </c>
      <c r="C994" t="s">
        <v>93</v>
      </c>
      <c r="D994" t="s">
        <v>81</v>
      </c>
      <c r="E994" s="77" t="s">
        <v>121</v>
      </c>
      <c r="F994" t="s">
        <v>73</v>
      </c>
      <c r="G994" t="s">
        <v>74</v>
      </c>
      <c r="H994" t="s">
        <v>108</v>
      </c>
      <c r="I994" t="s">
        <v>84</v>
      </c>
      <c r="J994" s="4">
        <f>'SUT_EU27 total'!$K$110</f>
        <v>0</v>
      </c>
    </row>
    <row r="995" spans="1:10" x14ac:dyDescent="0.35">
      <c r="A995" t="s">
        <v>18</v>
      </c>
      <c r="B995" t="s">
        <v>37</v>
      </c>
      <c r="C995" t="s">
        <v>93</v>
      </c>
      <c r="D995" t="s">
        <v>81</v>
      </c>
      <c r="E995" t="s">
        <v>117</v>
      </c>
      <c r="F995" t="s">
        <v>73</v>
      </c>
      <c r="G995" t="s">
        <v>74</v>
      </c>
      <c r="H995" t="s">
        <v>108</v>
      </c>
      <c r="I995" t="s">
        <v>84</v>
      </c>
      <c r="J995" s="76">
        <f>'SUT_EU27 total'!$K$112</f>
        <v>1.1930984723440377E-3</v>
      </c>
    </row>
    <row r="996" spans="1:10" x14ac:dyDescent="0.35">
      <c r="A996" t="s">
        <v>18</v>
      </c>
      <c r="B996" t="s">
        <v>37</v>
      </c>
      <c r="C996" t="s">
        <v>93</v>
      </c>
      <c r="D996" t="s">
        <v>81</v>
      </c>
      <c r="E996" t="s">
        <v>122</v>
      </c>
      <c r="F996" t="s">
        <v>73</v>
      </c>
      <c r="G996" t="s">
        <v>74</v>
      </c>
      <c r="H996" t="s">
        <v>108</v>
      </c>
      <c r="I996" t="s">
        <v>84</v>
      </c>
      <c r="J996" s="76">
        <f>'SUT_EU27 total'!$K$115</f>
        <v>8.7987828585017833E-3</v>
      </c>
    </row>
    <row r="997" spans="1:10" x14ac:dyDescent="0.35">
      <c r="A997" t="s">
        <v>18</v>
      </c>
      <c r="B997" t="s">
        <v>37</v>
      </c>
      <c r="C997" t="s">
        <v>93</v>
      </c>
      <c r="D997" t="s">
        <v>81</v>
      </c>
      <c r="E997" t="s">
        <v>101</v>
      </c>
      <c r="F997" t="s">
        <v>73</v>
      </c>
      <c r="G997" t="s">
        <v>74</v>
      </c>
      <c r="H997" t="s">
        <v>108</v>
      </c>
      <c r="I997" t="s">
        <v>84</v>
      </c>
      <c r="J997" s="4" cm="1">
        <f t="array" ref="J997:J999">'SUT_EU27 total'!$K$117:$K$119</f>
        <v>0</v>
      </c>
    </row>
    <row r="998" spans="1:10" x14ac:dyDescent="0.35">
      <c r="A998" t="s">
        <v>18</v>
      </c>
      <c r="B998" t="s">
        <v>37</v>
      </c>
      <c r="C998" t="s">
        <v>93</v>
      </c>
      <c r="D998" t="s">
        <v>81</v>
      </c>
      <c r="E998" t="s">
        <v>104</v>
      </c>
      <c r="F998" t="s">
        <v>73</v>
      </c>
      <c r="G998" t="s">
        <v>74</v>
      </c>
      <c r="H998" t="s">
        <v>108</v>
      </c>
      <c r="I998" t="s">
        <v>84</v>
      </c>
      <c r="J998" s="4">
        <v>0</v>
      </c>
    </row>
    <row r="999" spans="1:10" x14ac:dyDescent="0.35">
      <c r="A999" t="s">
        <v>18</v>
      </c>
      <c r="B999" t="s">
        <v>37</v>
      </c>
      <c r="C999" t="s">
        <v>93</v>
      </c>
      <c r="D999" t="s">
        <v>81</v>
      </c>
      <c r="E999" t="s">
        <v>106</v>
      </c>
      <c r="F999" t="s">
        <v>73</v>
      </c>
      <c r="G999" t="s">
        <v>74</v>
      </c>
      <c r="H999" t="s">
        <v>108</v>
      </c>
      <c r="I999" t="s">
        <v>84</v>
      </c>
      <c r="J999" s="4">
        <v>0</v>
      </c>
    </row>
    <row r="1000" spans="1:10" x14ac:dyDescent="0.35">
      <c r="A1000" t="s">
        <v>18</v>
      </c>
      <c r="B1000" t="s">
        <v>37</v>
      </c>
      <c r="C1000" t="s">
        <v>73</v>
      </c>
      <c r="D1000" t="s">
        <v>81</v>
      </c>
      <c r="E1000" t="s">
        <v>119</v>
      </c>
      <c r="F1000" t="s">
        <v>73</v>
      </c>
      <c r="G1000" t="s">
        <v>74</v>
      </c>
      <c r="H1000" t="s">
        <v>123</v>
      </c>
      <c r="I1000" t="s">
        <v>84</v>
      </c>
      <c r="J1000" s="76">
        <f>'SUT_EU27 total'!$L$22</f>
        <v>1.9500181678711294E-2</v>
      </c>
    </row>
    <row r="1001" spans="1:10" x14ac:dyDescent="0.35">
      <c r="A1001" t="s">
        <v>18</v>
      </c>
      <c r="B1001" t="s">
        <v>37</v>
      </c>
      <c r="C1001" t="s">
        <v>73</v>
      </c>
      <c r="D1001" t="s">
        <v>81</v>
      </c>
      <c r="E1001" t="s">
        <v>124</v>
      </c>
      <c r="F1001" t="s">
        <v>73</v>
      </c>
      <c r="G1001" t="s">
        <v>74</v>
      </c>
      <c r="H1001" t="s">
        <v>123</v>
      </c>
      <c r="I1001" t="s">
        <v>84</v>
      </c>
      <c r="J1001" s="76" cm="1">
        <f t="array" ref="J1001:J1009">'SUT_EU27 total'!$L$26:$L$34</f>
        <v>1.9404661061278542E-3</v>
      </c>
    </row>
    <row r="1002" spans="1:10" x14ac:dyDescent="0.35">
      <c r="A1002" t="s">
        <v>18</v>
      </c>
      <c r="B1002" t="s">
        <v>37</v>
      </c>
      <c r="C1002" t="s">
        <v>73</v>
      </c>
      <c r="D1002" t="s">
        <v>81</v>
      </c>
      <c r="E1002" t="s">
        <v>117</v>
      </c>
      <c r="F1002" t="s">
        <v>73</v>
      </c>
      <c r="G1002" t="s">
        <v>74</v>
      </c>
      <c r="H1002" t="s">
        <v>123</v>
      </c>
      <c r="I1002" t="s">
        <v>84</v>
      </c>
      <c r="J1002" s="4">
        <v>5.8423628191201782E-3</v>
      </c>
    </row>
    <row r="1003" spans="1:10" x14ac:dyDescent="0.35">
      <c r="A1003" t="s">
        <v>18</v>
      </c>
      <c r="B1003" t="s">
        <v>37</v>
      </c>
      <c r="C1003" t="s">
        <v>73</v>
      </c>
      <c r="D1003" t="s">
        <v>81</v>
      </c>
      <c r="E1003" t="s">
        <v>82</v>
      </c>
      <c r="F1003" t="s">
        <v>73</v>
      </c>
      <c r="G1003" t="s">
        <v>74</v>
      </c>
      <c r="H1003" t="s">
        <v>123</v>
      </c>
      <c r="I1003" t="s">
        <v>84</v>
      </c>
      <c r="J1003" s="4">
        <v>4.8981233243967828E-4</v>
      </c>
    </row>
    <row r="1004" spans="1:10" x14ac:dyDescent="0.35">
      <c r="A1004" t="s">
        <v>18</v>
      </c>
      <c r="B1004" t="s">
        <v>37</v>
      </c>
      <c r="C1004" t="s">
        <v>73</v>
      </c>
      <c r="D1004" t="s">
        <v>81</v>
      </c>
      <c r="E1004" t="s">
        <v>125</v>
      </c>
      <c r="F1004" t="s">
        <v>73</v>
      </c>
      <c r="G1004" t="s">
        <v>74</v>
      </c>
      <c r="H1004" t="s">
        <v>123</v>
      </c>
      <c r="I1004" t="s">
        <v>84</v>
      </c>
      <c r="J1004" s="4">
        <v>2.4658201215687387E-3</v>
      </c>
    </row>
    <row r="1005" spans="1:10" x14ac:dyDescent="0.35">
      <c r="A1005" t="s">
        <v>18</v>
      </c>
      <c r="B1005" t="s">
        <v>37</v>
      </c>
      <c r="C1005" t="s">
        <v>73</v>
      </c>
      <c r="D1005" t="s">
        <v>81</v>
      </c>
      <c r="E1005" t="s">
        <v>122</v>
      </c>
      <c r="F1005" t="s">
        <v>73</v>
      </c>
      <c r="G1005" t="s">
        <v>74</v>
      </c>
      <c r="H1005" t="s">
        <v>123</v>
      </c>
      <c r="I1005" t="s">
        <v>84</v>
      </c>
      <c r="J1005" s="4">
        <v>4.922711058263972E-4</v>
      </c>
    </row>
    <row r="1006" spans="1:10" x14ac:dyDescent="0.35">
      <c r="A1006" t="s">
        <v>18</v>
      </c>
      <c r="B1006" t="s">
        <v>37</v>
      </c>
      <c r="C1006" t="s">
        <v>73</v>
      </c>
      <c r="D1006" t="s">
        <v>81</v>
      </c>
      <c r="E1006" t="s">
        <v>126</v>
      </c>
      <c r="F1006" t="s">
        <v>73</v>
      </c>
      <c r="G1006" t="s">
        <v>74</v>
      </c>
      <c r="H1006" t="s">
        <v>123</v>
      </c>
      <c r="I1006" t="s">
        <v>84</v>
      </c>
      <c r="J1006" s="4">
        <v>0</v>
      </c>
    </row>
    <row r="1007" spans="1:10" x14ac:dyDescent="0.35">
      <c r="A1007" t="s">
        <v>18</v>
      </c>
      <c r="B1007" t="s">
        <v>37</v>
      </c>
      <c r="C1007" t="s">
        <v>73</v>
      </c>
      <c r="D1007" t="s">
        <v>81</v>
      </c>
      <c r="E1007" t="s">
        <v>101</v>
      </c>
      <c r="F1007" t="s">
        <v>73</v>
      </c>
      <c r="G1007" t="s">
        <v>74</v>
      </c>
      <c r="H1007" t="s">
        <v>123</v>
      </c>
      <c r="I1007" t="s">
        <v>84</v>
      </c>
      <c r="J1007" s="76">
        <v>3.7860913795851507E-4</v>
      </c>
    </row>
    <row r="1008" spans="1:10" x14ac:dyDescent="0.35">
      <c r="A1008" t="s">
        <v>18</v>
      </c>
      <c r="B1008" t="s">
        <v>37</v>
      </c>
      <c r="C1008" t="s">
        <v>73</v>
      </c>
      <c r="D1008" t="s">
        <v>81</v>
      </c>
      <c r="E1008" t="s">
        <v>104</v>
      </c>
      <c r="F1008" t="s">
        <v>73</v>
      </c>
      <c r="G1008" t="s">
        <v>74</v>
      </c>
      <c r="H1008" t="s">
        <v>123</v>
      </c>
      <c r="I1008" t="s">
        <v>84</v>
      </c>
      <c r="J1008" s="4">
        <v>7.1686251377883477E-4</v>
      </c>
    </row>
    <row r="1009" spans="1:10" x14ac:dyDescent="0.35">
      <c r="A1009" t="s">
        <v>18</v>
      </c>
      <c r="B1009" t="s">
        <v>37</v>
      </c>
      <c r="C1009" t="s">
        <v>73</v>
      </c>
      <c r="D1009" t="s">
        <v>81</v>
      </c>
      <c r="E1009" t="s">
        <v>106</v>
      </c>
      <c r="F1009" t="s">
        <v>73</v>
      </c>
      <c r="G1009" t="s">
        <v>74</v>
      </c>
      <c r="H1009" t="s">
        <v>123</v>
      </c>
      <c r="I1009" t="s">
        <v>84</v>
      </c>
      <c r="J1009" s="4">
        <v>2.438307869996036E-3</v>
      </c>
    </row>
    <row r="1010" spans="1:10" x14ac:dyDescent="0.35">
      <c r="A1010" t="s">
        <v>18</v>
      </c>
      <c r="B1010" t="s">
        <v>37</v>
      </c>
      <c r="C1010" t="s">
        <v>88</v>
      </c>
      <c r="D1010" t="s">
        <v>81</v>
      </c>
      <c r="E1010" t="s">
        <v>119</v>
      </c>
      <c r="F1010" t="s">
        <v>73</v>
      </c>
      <c r="G1010" t="s">
        <v>74</v>
      </c>
      <c r="H1010" t="s">
        <v>123</v>
      </c>
      <c r="I1010" t="s">
        <v>84</v>
      </c>
      <c r="J1010" s="76">
        <f>'SUT_EU27 total'!$L$39</f>
        <v>0.16108845734587587</v>
      </c>
    </row>
    <row r="1011" spans="1:10" x14ac:dyDescent="0.35">
      <c r="A1011" t="s">
        <v>18</v>
      </c>
      <c r="B1011" t="s">
        <v>37</v>
      </c>
      <c r="C1011" t="s">
        <v>88</v>
      </c>
      <c r="D1011" t="s">
        <v>81</v>
      </c>
      <c r="E1011" t="s">
        <v>124</v>
      </c>
      <c r="F1011" t="s">
        <v>73</v>
      </c>
      <c r="G1011" t="s">
        <v>74</v>
      </c>
      <c r="H1011" t="s">
        <v>123</v>
      </c>
      <c r="I1011" t="s">
        <v>84</v>
      </c>
      <c r="J1011" s="76" cm="1">
        <f t="array" ref="J1011:J1019">'SUT_EU27 total'!$M$43:$M$51</f>
        <v>5.0558836222750793E-4</v>
      </c>
    </row>
    <row r="1012" spans="1:10" x14ac:dyDescent="0.35">
      <c r="A1012" t="s">
        <v>18</v>
      </c>
      <c r="B1012" t="s">
        <v>37</v>
      </c>
      <c r="C1012" t="s">
        <v>88</v>
      </c>
      <c r="D1012" t="s">
        <v>81</v>
      </c>
      <c r="E1012" t="s">
        <v>117</v>
      </c>
      <c r="F1012" t="s">
        <v>73</v>
      </c>
      <c r="G1012" t="s">
        <v>74</v>
      </c>
      <c r="H1012" t="s">
        <v>123</v>
      </c>
      <c r="I1012" t="s">
        <v>84</v>
      </c>
      <c r="J1012" s="4">
        <v>4.8514464106651379E-3</v>
      </c>
    </row>
    <row r="1013" spans="1:10" x14ac:dyDescent="0.35">
      <c r="A1013" t="s">
        <v>18</v>
      </c>
      <c r="B1013" t="s">
        <v>37</v>
      </c>
      <c r="C1013" t="s">
        <v>88</v>
      </c>
      <c r="D1013" t="s">
        <v>81</v>
      </c>
      <c r="E1013" t="s">
        <v>82</v>
      </c>
      <c r="F1013" t="s">
        <v>73</v>
      </c>
      <c r="G1013" t="s">
        <v>74</v>
      </c>
      <c r="H1013" t="s">
        <v>123</v>
      </c>
      <c r="I1013" t="s">
        <v>84</v>
      </c>
      <c r="J1013" s="4">
        <v>1.109418436791091E-2</v>
      </c>
    </row>
    <row r="1014" spans="1:10" x14ac:dyDescent="0.35">
      <c r="A1014" t="s">
        <v>18</v>
      </c>
      <c r="B1014" t="s">
        <v>37</v>
      </c>
      <c r="C1014" t="s">
        <v>88</v>
      </c>
      <c r="D1014" t="s">
        <v>81</v>
      </c>
      <c r="E1014" t="s">
        <v>125</v>
      </c>
      <c r="F1014" t="s">
        <v>73</v>
      </c>
      <c r="G1014" t="s">
        <v>74</v>
      </c>
      <c r="H1014" t="s">
        <v>123</v>
      </c>
      <c r="I1014" t="s">
        <v>84</v>
      </c>
      <c r="J1014" s="4">
        <v>2.890870278990243E-5</v>
      </c>
    </row>
    <row r="1015" spans="1:10" x14ac:dyDescent="0.35">
      <c r="A1015" t="s">
        <v>18</v>
      </c>
      <c r="B1015" t="s">
        <v>37</v>
      </c>
      <c r="C1015" t="s">
        <v>88</v>
      </c>
      <c r="D1015" t="s">
        <v>81</v>
      </c>
      <c r="E1015" t="s">
        <v>122</v>
      </c>
      <c r="F1015" t="s">
        <v>73</v>
      </c>
      <c r="G1015" t="s">
        <v>74</v>
      </c>
      <c r="H1015" t="s">
        <v>123</v>
      </c>
      <c r="I1015" t="s">
        <v>84</v>
      </c>
      <c r="J1015" s="4">
        <v>0</v>
      </c>
    </row>
    <row r="1016" spans="1:10" x14ac:dyDescent="0.35">
      <c r="A1016" t="s">
        <v>18</v>
      </c>
      <c r="B1016" t="s">
        <v>37</v>
      </c>
      <c r="C1016" t="s">
        <v>88</v>
      </c>
      <c r="D1016" t="s">
        <v>81</v>
      </c>
      <c r="E1016" t="s">
        <v>126</v>
      </c>
      <c r="F1016" t="s">
        <v>73</v>
      </c>
      <c r="G1016" t="s">
        <v>74</v>
      </c>
      <c r="H1016" t="s">
        <v>123</v>
      </c>
      <c r="I1016" t="s">
        <v>84</v>
      </c>
      <c r="J1016" s="4">
        <v>2.8514320987501449E-3</v>
      </c>
    </row>
    <row r="1017" spans="1:10" x14ac:dyDescent="0.35">
      <c r="A1017" t="s">
        <v>18</v>
      </c>
      <c r="B1017" t="s">
        <v>37</v>
      </c>
      <c r="C1017" t="s">
        <v>88</v>
      </c>
      <c r="D1017" t="s">
        <v>81</v>
      </c>
      <c r="E1017" t="s">
        <v>101</v>
      </c>
      <c r="F1017" t="s">
        <v>73</v>
      </c>
      <c r="G1017" t="s">
        <v>74</v>
      </c>
      <c r="H1017" t="s">
        <v>123</v>
      </c>
      <c r="I1017" t="s">
        <v>84</v>
      </c>
      <c r="J1017" s="4">
        <v>0</v>
      </c>
    </row>
    <row r="1018" spans="1:10" x14ac:dyDescent="0.35">
      <c r="A1018" t="s">
        <v>18</v>
      </c>
      <c r="B1018" t="s">
        <v>37</v>
      </c>
      <c r="C1018" t="s">
        <v>88</v>
      </c>
      <c r="D1018" t="s">
        <v>81</v>
      </c>
      <c r="E1018" t="s">
        <v>104</v>
      </c>
      <c r="F1018" t="s">
        <v>73</v>
      </c>
      <c r="G1018" t="s">
        <v>74</v>
      </c>
      <c r="H1018" t="s">
        <v>123</v>
      </c>
      <c r="I1018" t="s">
        <v>84</v>
      </c>
      <c r="J1018" s="4">
        <v>0</v>
      </c>
    </row>
    <row r="1019" spans="1:10" x14ac:dyDescent="0.35">
      <c r="A1019" t="s">
        <v>18</v>
      </c>
      <c r="B1019" t="s">
        <v>37</v>
      </c>
      <c r="C1019" t="s">
        <v>88</v>
      </c>
      <c r="D1019" t="s">
        <v>81</v>
      </c>
      <c r="E1019" t="s">
        <v>106</v>
      </c>
      <c r="F1019" t="s">
        <v>73</v>
      </c>
      <c r="G1019" t="s">
        <v>74</v>
      </c>
      <c r="H1019" t="s">
        <v>123</v>
      </c>
      <c r="I1019" t="s">
        <v>84</v>
      </c>
      <c r="J1019" s="4">
        <v>0</v>
      </c>
    </row>
    <row r="1020" spans="1:10" x14ac:dyDescent="0.35">
      <c r="A1020" t="s">
        <v>18</v>
      </c>
      <c r="B1020" t="s">
        <v>37</v>
      </c>
      <c r="C1020" t="s">
        <v>90</v>
      </c>
      <c r="D1020" t="s">
        <v>81</v>
      </c>
      <c r="E1020" t="s">
        <v>119</v>
      </c>
      <c r="F1020" t="s">
        <v>73</v>
      </c>
      <c r="G1020" t="s">
        <v>74</v>
      </c>
      <c r="H1020" t="s">
        <v>123</v>
      </c>
      <c r="I1020" t="s">
        <v>84</v>
      </c>
      <c r="J1020" s="76">
        <f>'SUT_EU27 total'!$M$56</f>
        <v>2.949251079979006E-2</v>
      </c>
    </row>
    <row r="1021" spans="1:10" x14ac:dyDescent="0.35">
      <c r="A1021" t="s">
        <v>18</v>
      </c>
      <c r="B1021" t="s">
        <v>37</v>
      </c>
      <c r="C1021" t="s">
        <v>90</v>
      </c>
      <c r="D1021" t="s">
        <v>81</v>
      </c>
      <c r="E1021" t="s">
        <v>124</v>
      </c>
      <c r="F1021" t="s">
        <v>73</v>
      </c>
      <c r="G1021" t="s">
        <v>74</v>
      </c>
      <c r="H1021" t="s">
        <v>123</v>
      </c>
      <c r="I1021" t="s">
        <v>84</v>
      </c>
      <c r="J1021" s="76" cm="1">
        <f t="array" ref="J1021:J1029">'SUT_EU27 total'!$L$60:$L$68</f>
        <v>2.1047443073980527E-5</v>
      </c>
    </row>
    <row r="1022" spans="1:10" x14ac:dyDescent="0.35">
      <c r="A1022" t="s">
        <v>18</v>
      </c>
      <c r="B1022" t="s">
        <v>37</v>
      </c>
      <c r="C1022" t="s">
        <v>90</v>
      </c>
      <c r="D1022" t="s">
        <v>81</v>
      </c>
      <c r="E1022" t="s">
        <v>117</v>
      </c>
      <c r="F1022" t="s">
        <v>73</v>
      </c>
      <c r="G1022" t="s">
        <v>74</v>
      </c>
      <c r="H1022" t="s">
        <v>123</v>
      </c>
      <c r="I1022" t="s">
        <v>84</v>
      </c>
      <c r="J1022" s="4">
        <v>5.8414015621608938E-3</v>
      </c>
    </row>
    <row r="1023" spans="1:10" x14ac:dyDescent="0.35">
      <c r="A1023" t="s">
        <v>18</v>
      </c>
      <c r="B1023" t="s">
        <v>37</v>
      </c>
      <c r="C1023" t="s">
        <v>90</v>
      </c>
      <c r="D1023" t="s">
        <v>81</v>
      </c>
      <c r="E1023" t="s">
        <v>82</v>
      </c>
      <c r="F1023" t="s">
        <v>73</v>
      </c>
      <c r="G1023" t="s">
        <v>74</v>
      </c>
      <c r="H1023" t="s">
        <v>123</v>
      </c>
      <c r="I1023" t="s">
        <v>84</v>
      </c>
      <c r="J1023" s="4">
        <v>1.4521138379047227E-3</v>
      </c>
    </row>
    <row r="1024" spans="1:10" x14ac:dyDescent="0.35">
      <c r="A1024" t="s">
        <v>18</v>
      </c>
      <c r="B1024" t="s">
        <v>37</v>
      </c>
      <c r="C1024" t="s">
        <v>90</v>
      </c>
      <c r="D1024" t="s">
        <v>81</v>
      </c>
      <c r="E1024" t="s">
        <v>125</v>
      </c>
      <c r="F1024" t="s">
        <v>73</v>
      </c>
      <c r="G1024" t="s">
        <v>74</v>
      </c>
      <c r="H1024" t="s">
        <v>123</v>
      </c>
      <c r="I1024" t="s">
        <v>84</v>
      </c>
      <c r="J1024" s="4">
        <v>6.5130870114372285E-5</v>
      </c>
    </row>
    <row r="1025" spans="1:10" x14ac:dyDescent="0.35">
      <c r="A1025" t="s">
        <v>18</v>
      </c>
      <c r="B1025" t="s">
        <v>37</v>
      </c>
      <c r="C1025" t="s">
        <v>90</v>
      </c>
      <c r="D1025" t="s">
        <v>81</v>
      </c>
      <c r="E1025" t="s">
        <v>122</v>
      </c>
      <c r="F1025" t="s">
        <v>73</v>
      </c>
      <c r="G1025" t="s">
        <v>74</v>
      </c>
      <c r="H1025" t="s">
        <v>123</v>
      </c>
      <c r="I1025" t="s">
        <v>84</v>
      </c>
      <c r="J1025" s="4">
        <v>7.9476813317479189E-4</v>
      </c>
    </row>
    <row r="1026" spans="1:10" x14ac:dyDescent="0.35">
      <c r="A1026" t="s">
        <v>18</v>
      </c>
      <c r="B1026" t="s">
        <v>37</v>
      </c>
      <c r="C1026" t="s">
        <v>90</v>
      </c>
      <c r="D1026" t="s">
        <v>81</v>
      </c>
      <c r="E1026" t="s">
        <v>126</v>
      </c>
      <c r="F1026" t="s">
        <v>73</v>
      </c>
      <c r="G1026" t="s">
        <v>74</v>
      </c>
      <c r="H1026" t="s">
        <v>123</v>
      </c>
      <c r="I1026" t="s">
        <v>84</v>
      </c>
      <c r="J1026" s="4">
        <v>8.4821183458843076E-3</v>
      </c>
    </row>
    <row r="1027" spans="1:10" x14ac:dyDescent="0.35">
      <c r="A1027" t="s">
        <v>18</v>
      </c>
      <c r="B1027" t="s">
        <v>37</v>
      </c>
      <c r="C1027" t="s">
        <v>90</v>
      </c>
      <c r="D1027" t="s">
        <v>81</v>
      </c>
      <c r="E1027" t="s">
        <v>101</v>
      </c>
      <c r="F1027" t="s">
        <v>73</v>
      </c>
      <c r="G1027" t="s">
        <v>74</v>
      </c>
      <c r="H1027" t="s">
        <v>123</v>
      </c>
      <c r="I1027" t="s">
        <v>84</v>
      </c>
      <c r="J1027" s="4">
        <v>0</v>
      </c>
    </row>
    <row r="1028" spans="1:10" x14ac:dyDescent="0.35">
      <c r="A1028" t="s">
        <v>18</v>
      </c>
      <c r="B1028" t="s">
        <v>37</v>
      </c>
      <c r="C1028" t="s">
        <v>90</v>
      </c>
      <c r="D1028" t="s">
        <v>81</v>
      </c>
      <c r="E1028" t="s">
        <v>104</v>
      </c>
      <c r="F1028" t="s">
        <v>73</v>
      </c>
      <c r="G1028" t="s">
        <v>74</v>
      </c>
      <c r="H1028" t="s">
        <v>123</v>
      </c>
      <c r="I1028" t="s">
        <v>84</v>
      </c>
      <c r="J1028" s="4">
        <v>0</v>
      </c>
    </row>
    <row r="1029" spans="1:10" x14ac:dyDescent="0.35">
      <c r="A1029" t="s">
        <v>18</v>
      </c>
      <c r="B1029" t="s">
        <v>37</v>
      </c>
      <c r="C1029" t="s">
        <v>90</v>
      </c>
      <c r="D1029" t="s">
        <v>81</v>
      </c>
      <c r="E1029" t="s">
        <v>106</v>
      </c>
      <c r="F1029" t="s">
        <v>73</v>
      </c>
      <c r="G1029" t="s">
        <v>74</v>
      </c>
      <c r="H1029" t="s">
        <v>123</v>
      </c>
      <c r="I1029" t="s">
        <v>84</v>
      </c>
      <c r="J1029" s="4">
        <v>0</v>
      </c>
    </row>
    <row r="1030" spans="1:10" x14ac:dyDescent="0.35">
      <c r="A1030" t="s">
        <v>18</v>
      </c>
      <c r="B1030" t="s">
        <v>37</v>
      </c>
      <c r="C1030" t="s">
        <v>91</v>
      </c>
      <c r="D1030" t="s">
        <v>81</v>
      </c>
      <c r="E1030" t="s">
        <v>119</v>
      </c>
      <c r="F1030" t="s">
        <v>73</v>
      </c>
      <c r="G1030" t="s">
        <v>74</v>
      </c>
      <c r="H1030" t="s">
        <v>123</v>
      </c>
      <c r="I1030" t="s">
        <v>84</v>
      </c>
      <c r="J1030" s="76">
        <f>'SUT_EU27 total'!$L$73</f>
        <v>0.15097500908393557</v>
      </c>
    </row>
    <row r="1031" spans="1:10" x14ac:dyDescent="0.35">
      <c r="A1031" t="s">
        <v>18</v>
      </c>
      <c r="B1031" t="s">
        <v>37</v>
      </c>
      <c r="C1031" t="s">
        <v>91</v>
      </c>
      <c r="D1031" t="s">
        <v>81</v>
      </c>
      <c r="E1031" t="s">
        <v>124</v>
      </c>
      <c r="F1031" t="s">
        <v>73</v>
      </c>
      <c r="G1031" t="s">
        <v>74</v>
      </c>
      <c r="H1031" t="s">
        <v>123</v>
      </c>
      <c r="I1031" t="s">
        <v>84</v>
      </c>
      <c r="J1031" s="76" cm="1">
        <f t="array" ref="J1031:J1039">'SUT_EU27 total'!$L$77:$L$85</f>
        <v>6.7728942399646885E-5</v>
      </c>
    </row>
    <row r="1032" spans="1:10" x14ac:dyDescent="0.35">
      <c r="A1032" t="s">
        <v>18</v>
      </c>
      <c r="B1032" t="s">
        <v>37</v>
      </c>
      <c r="C1032" t="s">
        <v>91</v>
      </c>
      <c r="D1032" t="s">
        <v>81</v>
      </c>
      <c r="E1032" t="s">
        <v>117</v>
      </c>
      <c r="F1032" t="s">
        <v>73</v>
      </c>
      <c r="G1032" t="s">
        <v>74</v>
      </c>
      <c r="H1032" t="s">
        <v>123</v>
      </c>
      <c r="I1032" t="s">
        <v>84</v>
      </c>
      <c r="J1032" s="4">
        <v>5.6233849622410815E-3</v>
      </c>
    </row>
    <row r="1033" spans="1:10" x14ac:dyDescent="0.35">
      <c r="A1033" t="s">
        <v>18</v>
      </c>
      <c r="B1033" t="s">
        <v>37</v>
      </c>
      <c r="C1033" t="s">
        <v>91</v>
      </c>
      <c r="D1033" t="s">
        <v>81</v>
      </c>
      <c r="E1033" t="s">
        <v>82</v>
      </c>
      <c r="F1033" t="s">
        <v>73</v>
      </c>
      <c r="G1033" t="s">
        <v>74</v>
      </c>
      <c r="H1033" t="s">
        <v>123</v>
      </c>
      <c r="I1033" t="s">
        <v>84</v>
      </c>
      <c r="J1033" s="4">
        <v>1.8068055269127655E-3</v>
      </c>
    </row>
    <row r="1034" spans="1:10" x14ac:dyDescent="0.35">
      <c r="A1034" t="s">
        <v>18</v>
      </c>
      <c r="B1034" t="s">
        <v>37</v>
      </c>
      <c r="C1034" t="s">
        <v>91</v>
      </c>
      <c r="D1034" t="s">
        <v>81</v>
      </c>
      <c r="E1034" t="s">
        <v>125</v>
      </c>
      <c r="F1034" t="s">
        <v>73</v>
      </c>
      <c r="G1034" t="s">
        <v>74</v>
      </c>
      <c r="H1034" t="s">
        <v>123</v>
      </c>
      <c r="I1034" t="s">
        <v>84</v>
      </c>
      <c r="J1034" s="4">
        <v>5.6492118062760293E-6</v>
      </c>
    </row>
    <row r="1035" spans="1:10" x14ac:dyDescent="0.35">
      <c r="A1035" t="s">
        <v>18</v>
      </c>
      <c r="B1035" t="s">
        <v>37</v>
      </c>
      <c r="C1035" t="s">
        <v>91</v>
      </c>
      <c r="D1035" t="s">
        <v>81</v>
      </c>
      <c r="E1035" t="s">
        <v>122</v>
      </c>
      <c r="F1035" t="s">
        <v>73</v>
      </c>
      <c r="G1035" t="s">
        <v>74</v>
      </c>
      <c r="H1035" t="s">
        <v>123</v>
      </c>
      <c r="I1035" t="s">
        <v>84</v>
      </c>
      <c r="J1035" s="4">
        <v>0</v>
      </c>
    </row>
    <row r="1036" spans="1:10" x14ac:dyDescent="0.35">
      <c r="A1036" t="s">
        <v>18</v>
      </c>
      <c r="B1036" t="s">
        <v>37</v>
      </c>
      <c r="C1036" t="s">
        <v>91</v>
      </c>
      <c r="D1036" t="s">
        <v>81</v>
      </c>
      <c r="E1036" t="s">
        <v>126</v>
      </c>
      <c r="F1036" t="s">
        <v>73</v>
      </c>
      <c r="G1036" t="s">
        <v>74</v>
      </c>
      <c r="H1036" t="s">
        <v>123</v>
      </c>
      <c r="I1036" t="s">
        <v>84</v>
      </c>
      <c r="J1036" s="4">
        <v>8.1093795177776388E-4</v>
      </c>
    </row>
    <row r="1037" spans="1:10" x14ac:dyDescent="0.35">
      <c r="A1037" t="s">
        <v>18</v>
      </c>
      <c r="B1037" t="s">
        <v>37</v>
      </c>
      <c r="C1037" t="s">
        <v>91</v>
      </c>
      <c r="D1037" t="s">
        <v>81</v>
      </c>
      <c r="E1037" t="s">
        <v>101</v>
      </c>
      <c r="F1037" t="s">
        <v>73</v>
      </c>
      <c r="G1037" t="s">
        <v>74</v>
      </c>
      <c r="H1037" t="s">
        <v>123</v>
      </c>
      <c r="I1037" t="s">
        <v>84</v>
      </c>
      <c r="J1037" s="4">
        <v>0</v>
      </c>
    </row>
    <row r="1038" spans="1:10" x14ac:dyDescent="0.35">
      <c r="A1038" t="s">
        <v>18</v>
      </c>
      <c r="B1038" t="s">
        <v>37</v>
      </c>
      <c r="C1038" t="s">
        <v>91</v>
      </c>
      <c r="D1038" t="s">
        <v>81</v>
      </c>
      <c r="E1038" t="s">
        <v>104</v>
      </c>
      <c r="F1038" t="s">
        <v>73</v>
      </c>
      <c r="G1038" t="s">
        <v>74</v>
      </c>
      <c r="H1038" t="s">
        <v>123</v>
      </c>
      <c r="I1038" t="s">
        <v>84</v>
      </c>
      <c r="J1038" s="4">
        <v>0</v>
      </c>
    </row>
    <row r="1039" spans="1:10" x14ac:dyDescent="0.35">
      <c r="A1039" t="s">
        <v>18</v>
      </c>
      <c r="B1039" t="s">
        <v>37</v>
      </c>
      <c r="C1039" t="s">
        <v>91</v>
      </c>
      <c r="D1039" t="s">
        <v>81</v>
      </c>
      <c r="E1039" t="s">
        <v>106</v>
      </c>
      <c r="F1039" t="s">
        <v>73</v>
      </c>
      <c r="G1039" t="s">
        <v>74</v>
      </c>
      <c r="H1039" t="s">
        <v>123</v>
      </c>
      <c r="I1039" t="s">
        <v>84</v>
      </c>
      <c r="J1039" s="4">
        <v>0</v>
      </c>
    </row>
    <row r="1040" spans="1:10" x14ac:dyDescent="0.35">
      <c r="A1040" t="s">
        <v>18</v>
      </c>
      <c r="B1040" t="s">
        <v>37</v>
      </c>
      <c r="C1040" t="s">
        <v>92</v>
      </c>
      <c r="D1040" t="s">
        <v>81</v>
      </c>
      <c r="E1040" t="s">
        <v>119</v>
      </c>
      <c r="F1040" t="s">
        <v>73</v>
      </c>
      <c r="G1040" t="s">
        <v>74</v>
      </c>
      <c r="H1040" t="s">
        <v>123</v>
      </c>
      <c r="I1040" t="s">
        <v>84</v>
      </c>
      <c r="J1040" s="76">
        <f>'SUT_EU27 total'!$L$90</f>
        <v>0.13886309499777949</v>
      </c>
    </row>
    <row r="1041" spans="1:10" x14ac:dyDescent="0.35">
      <c r="A1041" t="s">
        <v>18</v>
      </c>
      <c r="B1041" t="s">
        <v>37</v>
      </c>
      <c r="C1041" t="s">
        <v>92</v>
      </c>
      <c r="D1041" t="s">
        <v>81</v>
      </c>
      <c r="E1041" t="s">
        <v>124</v>
      </c>
      <c r="F1041" t="s">
        <v>73</v>
      </c>
      <c r="G1041" t="s">
        <v>74</v>
      </c>
      <c r="H1041" t="s">
        <v>123</v>
      </c>
      <c r="I1041" t="s">
        <v>84</v>
      </c>
      <c r="J1041" s="76" cm="1">
        <f t="array" ref="J1041:J1049">'SUT_EU27 total'!$L$94:$L$102</f>
        <v>9.2968907089085616E-5</v>
      </c>
    </row>
    <row r="1042" spans="1:10" x14ac:dyDescent="0.35">
      <c r="A1042" t="s">
        <v>18</v>
      </c>
      <c r="B1042" t="s">
        <v>37</v>
      </c>
      <c r="C1042" t="s">
        <v>92</v>
      </c>
      <c r="D1042" t="s">
        <v>81</v>
      </c>
      <c r="E1042" t="s">
        <v>117</v>
      </c>
      <c r="F1042" t="s">
        <v>73</v>
      </c>
      <c r="G1042" t="s">
        <v>74</v>
      </c>
      <c r="H1042" t="s">
        <v>123</v>
      </c>
      <c r="I1042" t="s">
        <v>84</v>
      </c>
      <c r="J1042" s="4">
        <v>0</v>
      </c>
    </row>
    <row r="1043" spans="1:10" x14ac:dyDescent="0.35">
      <c r="A1043" t="s">
        <v>18</v>
      </c>
      <c r="B1043" t="s">
        <v>37</v>
      </c>
      <c r="C1043" t="s">
        <v>92</v>
      </c>
      <c r="D1043" t="s">
        <v>81</v>
      </c>
      <c r="E1043" t="s">
        <v>82</v>
      </c>
      <c r="F1043" t="s">
        <v>73</v>
      </c>
      <c r="G1043" t="s">
        <v>74</v>
      </c>
      <c r="H1043" t="s">
        <v>123</v>
      </c>
      <c r="I1043" t="s">
        <v>84</v>
      </c>
      <c r="J1043" s="4">
        <v>1.1251392039595793E-3</v>
      </c>
    </row>
    <row r="1044" spans="1:10" x14ac:dyDescent="0.35">
      <c r="A1044" t="s">
        <v>18</v>
      </c>
      <c r="B1044" t="s">
        <v>37</v>
      </c>
      <c r="C1044" t="s">
        <v>92</v>
      </c>
      <c r="D1044" t="s">
        <v>81</v>
      </c>
      <c r="E1044" t="s">
        <v>125</v>
      </c>
      <c r="F1044" t="s">
        <v>73</v>
      </c>
      <c r="G1044" t="s">
        <v>74</v>
      </c>
      <c r="H1044" t="s">
        <v>123</v>
      </c>
      <c r="I1044" t="s">
        <v>84</v>
      </c>
      <c r="J1044" s="4">
        <v>5.0048817841215026E-7</v>
      </c>
    </row>
    <row r="1045" spans="1:10" x14ac:dyDescent="0.35">
      <c r="A1045" t="s">
        <v>18</v>
      </c>
      <c r="B1045" t="s">
        <v>37</v>
      </c>
      <c r="C1045" t="s">
        <v>92</v>
      </c>
      <c r="D1045" t="s">
        <v>81</v>
      </c>
      <c r="E1045" t="s">
        <v>122</v>
      </c>
      <c r="F1045" t="s">
        <v>73</v>
      </c>
      <c r="G1045" t="s">
        <v>74</v>
      </c>
      <c r="H1045" t="s">
        <v>123</v>
      </c>
      <c r="I1045" t="s">
        <v>84</v>
      </c>
      <c r="J1045" s="4">
        <v>0</v>
      </c>
    </row>
    <row r="1046" spans="1:10" x14ac:dyDescent="0.35">
      <c r="A1046" t="s">
        <v>18</v>
      </c>
      <c r="B1046" t="s">
        <v>37</v>
      </c>
      <c r="C1046" t="s">
        <v>92</v>
      </c>
      <c r="D1046" t="s">
        <v>81</v>
      </c>
      <c r="E1046" t="s">
        <v>126</v>
      </c>
      <c r="F1046" t="s">
        <v>73</v>
      </c>
      <c r="G1046" t="s">
        <v>74</v>
      </c>
      <c r="H1046" t="s">
        <v>123</v>
      </c>
      <c r="I1046" t="s">
        <v>84</v>
      </c>
      <c r="J1046" s="4">
        <v>0</v>
      </c>
    </row>
    <row r="1047" spans="1:10" x14ac:dyDescent="0.35">
      <c r="A1047" t="s">
        <v>18</v>
      </c>
      <c r="B1047" t="s">
        <v>37</v>
      </c>
      <c r="C1047" t="s">
        <v>92</v>
      </c>
      <c r="D1047" t="s">
        <v>81</v>
      </c>
      <c r="E1047" t="s">
        <v>101</v>
      </c>
      <c r="F1047" t="s">
        <v>73</v>
      </c>
      <c r="G1047" t="s">
        <v>74</v>
      </c>
      <c r="H1047" t="s">
        <v>123</v>
      </c>
      <c r="I1047" t="s">
        <v>84</v>
      </c>
      <c r="J1047" s="4">
        <v>0</v>
      </c>
    </row>
    <row r="1048" spans="1:10" x14ac:dyDescent="0.35">
      <c r="A1048" t="s">
        <v>18</v>
      </c>
      <c r="B1048" t="s">
        <v>37</v>
      </c>
      <c r="C1048" t="s">
        <v>92</v>
      </c>
      <c r="D1048" t="s">
        <v>81</v>
      </c>
      <c r="E1048" t="s">
        <v>104</v>
      </c>
      <c r="F1048" t="s">
        <v>73</v>
      </c>
      <c r="G1048" t="s">
        <v>74</v>
      </c>
      <c r="H1048" t="s">
        <v>123</v>
      </c>
      <c r="I1048" t="s">
        <v>84</v>
      </c>
      <c r="J1048" s="4">
        <v>0</v>
      </c>
    </row>
    <row r="1049" spans="1:10" x14ac:dyDescent="0.35">
      <c r="A1049" t="s">
        <v>18</v>
      </c>
      <c r="B1049" t="s">
        <v>37</v>
      </c>
      <c r="C1049" t="s">
        <v>92</v>
      </c>
      <c r="D1049" t="s">
        <v>81</v>
      </c>
      <c r="E1049" t="s">
        <v>106</v>
      </c>
      <c r="F1049" t="s">
        <v>73</v>
      </c>
      <c r="G1049" t="s">
        <v>74</v>
      </c>
      <c r="H1049" t="s">
        <v>123</v>
      </c>
      <c r="I1049" t="s">
        <v>84</v>
      </c>
      <c r="J1049" s="4">
        <v>0</v>
      </c>
    </row>
    <row r="1050" spans="1:10" x14ac:dyDescent="0.35">
      <c r="A1050" t="s">
        <v>18</v>
      </c>
      <c r="B1050" t="s">
        <v>37</v>
      </c>
      <c r="C1050" t="s">
        <v>93</v>
      </c>
      <c r="D1050" t="s">
        <v>81</v>
      </c>
      <c r="E1050" t="s">
        <v>119</v>
      </c>
      <c r="F1050" t="s">
        <v>73</v>
      </c>
      <c r="G1050" t="s">
        <v>74</v>
      </c>
      <c r="H1050" t="s">
        <v>123</v>
      </c>
      <c r="I1050" t="s">
        <v>84</v>
      </c>
      <c r="J1050" s="76">
        <f>'SUT_EU27 total'!$L$107</f>
        <v>1.0000807460939076</v>
      </c>
    </row>
    <row r="1051" spans="1:10" x14ac:dyDescent="0.35">
      <c r="A1051" t="s">
        <v>18</v>
      </c>
      <c r="B1051" t="s">
        <v>37</v>
      </c>
      <c r="C1051" t="s">
        <v>93</v>
      </c>
      <c r="D1051" t="s">
        <v>81</v>
      </c>
      <c r="E1051" t="s">
        <v>124</v>
      </c>
      <c r="F1051" t="s">
        <v>73</v>
      </c>
      <c r="G1051" t="s">
        <v>74</v>
      </c>
      <c r="H1051" t="s">
        <v>123</v>
      </c>
      <c r="I1051" t="s">
        <v>84</v>
      </c>
      <c r="J1051" s="76" cm="1">
        <f t="array" ref="J1051:J1059">'SUT_EU27 total'!$L$111:$L$119</f>
        <v>3.7052409430862396E-4</v>
      </c>
    </row>
    <row r="1052" spans="1:10" x14ac:dyDescent="0.35">
      <c r="A1052" t="s">
        <v>18</v>
      </c>
      <c r="B1052" t="s">
        <v>37</v>
      </c>
      <c r="C1052" t="s">
        <v>93</v>
      </c>
      <c r="D1052" t="s">
        <v>81</v>
      </c>
      <c r="E1052" t="s">
        <v>117</v>
      </c>
      <c r="F1052" t="s">
        <v>73</v>
      </c>
      <c r="G1052" t="s">
        <v>74</v>
      </c>
      <c r="H1052" t="s">
        <v>123</v>
      </c>
      <c r="I1052" t="s">
        <v>84</v>
      </c>
      <c r="J1052" s="4">
        <v>5.8414042458127093E-3</v>
      </c>
    </row>
    <row r="1053" spans="1:10" x14ac:dyDescent="0.35">
      <c r="A1053" t="s">
        <v>18</v>
      </c>
      <c r="B1053" t="s">
        <v>37</v>
      </c>
      <c r="C1053" t="s">
        <v>93</v>
      </c>
      <c r="D1053" t="s">
        <v>81</v>
      </c>
      <c r="E1053" t="s">
        <v>82</v>
      </c>
      <c r="F1053" t="s">
        <v>73</v>
      </c>
      <c r="G1053" t="s">
        <v>74</v>
      </c>
      <c r="H1053" t="s">
        <v>123</v>
      </c>
      <c r="I1053" t="s">
        <v>84</v>
      </c>
      <c r="J1053" s="4">
        <v>5.0319447308723453E-3</v>
      </c>
    </row>
    <row r="1054" spans="1:10" x14ac:dyDescent="0.35">
      <c r="A1054" t="s">
        <v>18</v>
      </c>
      <c r="B1054" t="s">
        <v>37</v>
      </c>
      <c r="C1054" t="s">
        <v>93</v>
      </c>
      <c r="D1054" t="s">
        <v>81</v>
      </c>
      <c r="E1054" t="s">
        <v>125</v>
      </c>
      <c r="F1054" t="s">
        <v>73</v>
      </c>
      <c r="G1054" t="s">
        <v>74</v>
      </c>
      <c r="H1054" t="s">
        <v>123</v>
      </c>
      <c r="I1054" t="s">
        <v>84</v>
      </c>
      <c r="J1054" s="4">
        <v>4.336096678710085E-4</v>
      </c>
    </row>
    <row r="1055" spans="1:10" x14ac:dyDescent="0.35">
      <c r="A1055" t="s">
        <v>18</v>
      </c>
      <c r="B1055" t="s">
        <v>37</v>
      </c>
      <c r="C1055" t="s">
        <v>93</v>
      </c>
      <c r="D1055" t="s">
        <v>81</v>
      </c>
      <c r="E1055" t="s">
        <v>122</v>
      </c>
      <c r="F1055" t="s">
        <v>73</v>
      </c>
      <c r="G1055" t="s">
        <v>74</v>
      </c>
      <c r="H1055" t="s">
        <v>123</v>
      </c>
      <c r="I1055" t="s">
        <v>84</v>
      </c>
      <c r="J1055" s="4">
        <v>2.7129607609988112E-3</v>
      </c>
    </row>
    <row r="1056" spans="1:10" x14ac:dyDescent="0.35">
      <c r="A1056" t="s">
        <v>18</v>
      </c>
      <c r="B1056" t="s">
        <v>37</v>
      </c>
      <c r="C1056" t="s">
        <v>93</v>
      </c>
      <c r="D1056" t="s">
        <v>81</v>
      </c>
      <c r="E1056" t="s">
        <v>126</v>
      </c>
      <c r="F1056" t="s">
        <v>73</v>
      </c>
      <c r="G1056" t="s">
        <v>74</v>
      </c>
      <c r="H1056" t="s">
        <v>123</v>
      </c>
      <c r="I1056" t="s">
        <v>84</v>
      </c>
      <c r="J1056" s="4">
        <v>4.3855511603587784E-2</v>
      </c>
    </row>
    <row r="1057" spans="1:10" x14ac:dyDescent="0.35">
      <c r="A1057" t="s">
        <v>18</v>
      </c>
      <c r="B1057" t="s">
        <v>37</v>
      </c>
      <c r="C1057" t="s">
        <v>93</v>
      </c>
      <c r="D1057" t="s">
        <v>81</v>
      </c>
      <c r="E1057" t="s">
        <v>101</v>
      </c>
      <c r="F1057" t="s">
        <v>73</v>
      </c>
      <c r="G1057" t="s">
        <v>74</v>
      </c>
      <c r="H1057" t="s">
        <v>123</v>
      </c>
      <c r="I1057" t="s">
        <v>84</v>
      </c>
      <c r="J1057" s="4">
        <v>0</v>
      </c>
    </row>
    <row r="1058" spans="1:10" x14ac:dyDescent="0.35">
      <c r="A1058" t="s">
        <v>18</v>
      </c>
      <c r="B1058" t="s">
        <v>37</v>
      </c>
      <c r="C1058" t="s">
        <v>93</v>
      </c>
      <c r="D1058" t="s">
        <v>81</v>
      </c>
      <c r="E1058" t="s">
        <v>104</v>
      </c>
      <c r="F1058" t="s">
        <v>73</v>
      </c>
      <c r="G1058" t="s">
        <v>74</v>
      </c>
      <c r="H1058" t="s">
        <v>123</v>
      </c>
      <c r="I1058" t="s">
        <v>84</v>
      </c>
      <c r="J1058" s="4">
        <v>0</v>
      </c>
    </row>
    <row r="1059" spans="1:10" x14ac:dyDescent="0.35">
      <c r="A1059" t="s">
        <v>18</v>
      </c>
      <c r="B1059" t="s">
        <v>37</v>
      </c>
      <c r="C1059" t="s">
        <v>93</v>
      </c>
      <c r="D1059" t="s">
        <v>81</v>
      </c>
      <c r="E1059" t="s">
        <v>106</v>
      </c>
      <c r="F1059" t="s">
        <v>73</v>
      </c>
      <c r="G1059" t="s">
        <v>74</v>
      </c>
      <c r="H1059" t="s">
        <v>123</v>
      </c>
      <c r="I1059" t="s">
        <v>84</v>
      </c>
      <c r="J1059" s="4">
        <v>0</v>
      </c>
    </row>
    <row r="1060" spans="1:10" x14ac:dyDescent="0.35">
      <c r="A1060" t="s">
        <v>18</v>
      </c>
      <c r="B1060" t="s">
        <v>37</v>
      </c>
      <c r="C1060" t="s">
        <v>73</v>
      </c>
      <c r="D1060" t="s">
        <v>81</v>
      </c>
      <c r="E1060" t="s">
        <v>119</v>
      </c>
      <c r="F1060" t="s">
        <v>73</v>
      </c>
      <c r="G1060" t="s">
        <v>74</v>
      </c>
      <c r="H1060" t="s">
        <v>127</v>
      </c>
      <c r="I1060" t="s">
        <v>84</v>
      </c>
      <c r="J1060" s="76">
        <f>'SUT_EU27 total'!$M$22</f>
        <v>1.9500181678711294E-2</v>
      </c>
    </row>
    <row r="1061" spans="1:10" x14ac:dyDescent="0.35">
      <c r="A1061" t="s">
        <v>18</v>
      </c>
      <c r="B1061" t="s">
        <v>37</v>
      </c>
      <c r="C1061" t="s">
        <v>73</v>
      </c>
      <c r="D1061" t="s">
        <v>81</v>
      </c>
      <c r="E1061" t="s">
        <v>124</v>
      </c>
      <c r="F1061" t="s">
        <v>73</v>
      </c>
      <c r="G1061" t="s">
        <v>74</v>
      </c>
      <c r="H1061" t="s">
        <v>127</v>
      </c>
      <c r="I1061" t="s">
        <v>84</v>
      </c>
      <c r="J1061" s="76" cm="1">
        <f t="array" ref="J1061:J1069">'SUT_EU27 total'!$M$26:$M$34</f>
        <v>1.9404661061278542E-3</v>
      </c>
    </row>
    <row r="1062" spans="1:10" x14ac:dyDescent="0.35">
      <c r="A1062" t="s">
        <v>18</v>
      </c>
      <c r="B1062" t="s">
        <v>37</v>
      </c>
      <c r="C1062" t="s">
        <v>73</v>
      </c>
      <c r="D1062" t="s">
        <v>81</v>
      </c>
      <c r="E1062" t="s">
        <v>117</v>
      </c>
      <c r="F1062" t="s">
        <v>73</v>
      </c>
      <c r="G1062" t="s">
        <v>74</v>
      </c>
      <c r="H1062" t="s">
        <v>127</v>
      </c>
      <c r="I1062" t="s">
        <v>84</v>
      </c>
      <c r="J1062" s="4">
        <v>5.8423628191201782E-3</v>
      </c>
    </row>
    <row r="1063" spans="1:10" x14ac:dyDescent="0.35">
      <c r="A1063" t="s">
        <v>18</v>
      </c>
      <c r="B1063" t="s">
        <v>37</v>
      </c>
      <c r="C1063" t="s">
        <v>73</v>
      </c>
      <c r="D1063" t="s">
        <v>81</v>
      </c>
      <c r="E1063" t="s">
        <v>82</v>
      </c>
      <c r="F1063" t="s">
        <v>73</v>
      </c>
      <c r="G1063" t="s">
        <v>74</v>
      </c>
      <c r="H1063" t="s">
        <v>127</v>
      </c>
      <c r="I1063" t="s">
        <v>84</v>
      </c>
      <c r="J1063" s="4">
        <v>4.8981233243967828E-4</v>
      </c>
    </row>
    <row r="1064" spans="1:10" x14ac:dyDescent="0.35">
      <c r="A1064" t="s">
        <v>18</v>
      </c>
      <c r="B1064" t="s">
        <v>37</v>
      </c>
      <c r="C1064" t="s">
        <v>73</v>
      </c>
      <c r="D1064" t="s">
        <v>81</v>
      </c>
      <c r="E1064" t="s">
        <v>125</v>
      </c>
      <c r="F1064" t="s">
        <v>73</v>
      </c>
      <c r="G1064" t="s">
        <v>74</v>
      </c>
      <c r="H1064" t="s">
        <v>127</v>
      </c>
      <c r="I1064" t="s">
        <v>84</v>
      </c>
      <c r="J1064" s="4">
        <v>2.4658201215687387E-3</v>
      </c>
    </row>
    <row r="1065" spans="1:10" x14ac:dyDescent="0.35">
      <c r="A1065" t="s">
        <v>18</v>
      </c>
      <c r="B1065" t="s">
        <v>37</v>
      </c>
      <c r="C1065" t="s">
        <v>73</v>
      </c>
      <c r="D1065" t="s">
        <v>81</v>
      </c>
      <c r="E1065" t="s">
        <v>122</v>
      </c>
      <c r="F1065" t="s">
        <v>73</v>
      </c>
      <c r="G1065" t="s">
        <v>74</v>
      </c>
      <c r="H1065" t="s">
        <v>127</v>
      </c>
      <c r="I1065" t="s">
        <v>84</v>
      </c>
      <c r="J1065" s="4">
        <v>4.922711058263972E-4</v>
      </c>
    </row>
    <row r="1066" spans="1:10" x14ac:dyDescent="0.35">
      <c r="A1066" t="s">
        <v>18</v>
      </c>
      <c r="B1066" t="s">
        <v>37</v>
      </c>
      <c r="C1066" t="s">
        <v>73</v>
      </c>
      <c r="D1066" t="s">
        <v>81</v>
      </c>
      <c r="E1066" t="s">
        <v>126</v>
      </c>
      <c r="F1066" t="s">
        <v>73</v>
      </c>
      <c r="G1066" t="s">
        <v>74</v>
      </c>
      <c r="H1066" t="s">
        <v>127</v>
      </c>
      <c r="I1066" t="s">
        <v>84</v>
      </c>
      <c r="J1066" s="4">
        <v>0</v>
      </c>
    </row>
    <row r="1067" spans="1:10" x14ac:dyDescent="0.35">
      <c r="A1067" t="s">
        <v>18</v>
      </c>
      <c r="B1067" t="s">
        <v>37</v>
      </c>
      <c r="C1067" t="s">
        <v>73</v>
      </c>
      <c r="D1067" t="s">
        <v>81</v>
      </c>
      <c r="E1067" t="s">
        <v>101</v>
      </c>
      <c r="F1067" t="s">
        <v>73</v>
      </c>
      <c r="G1067" t="s">
        <v>74</v>
      </c>
      <c r="H1067" t="s">
        <v>127</v>
      </c>
      <c r="I1067" t="s">
        <v>84</v>
      </c>
      <c r="J1067" s="4">
        <v>3.6586167200000007E-4</v>
      </c>
    </row>
    <row r="1068" spans="1:10" x14ac:dyDescent="0.35">
      <c r="A1068" t="s">
        <v>18</v>
      </c>
      <c r="B1068" t="s">
        <v>37</v>
      </c>
      <c r="C1068" t="s">
        <v>73</v>
      </c>
      <c r="D1068" t="s">
        <v>81</v>
      </c>
      <c r="E1068" t="s">
        <v>104</v>
      </c>
      <c r="F1068" t="s">
        <v>73</v>
      </c>
      <c r="G1068" t="s">
        <v>74</v>
      </c>
      <c r="H1068" t="s">
        <v>127</v>
      </c>
      <c r="I1068" t="s">
        <v>84</v>
      </c>
      <c r="J1068" s="4">
        <v>6.9272632800000005E-4</v>
      </c>
    </row>
    <row r="1069" spans="1:10" x14ac:dyDescent="0.35">
      <c r="A1069" t="s">
        <v>18</v>
      </c>
      <c r="B1069" t="s">
        <v>37</v>
      </c>
      <c r="C1069" t="s">
        <v>73</v>
      </c>
      <c r="D1069" t="s">
        <v>81</v>
      </c>
      <c r="E1069" t="s">
        <v>106</v>
      </c>
      <c r="F1069" t="s">
        <v>73</v>
      </c>
      <c r="G1069" t="s">
        <v>74</v>
      </c>
      <c r="H1069" t="s">
        <v>127</v>
      </c>
      <c r="I1069" t="s">
        <v>84</v>
      </c>
      <c r="J1069" s="4">
        <v>2.3562119999999999E-3</v>
      </c>
    </row>
    <row r="1070" spans="1:10" x14ac:dyDescent="0.35">
      <c r="A1070" t="s">
        <v>18</v>
      </c>
      <c r="B1070" t="s">
        <v>37</v>
      </c>
      <c r="C1070" t="s">
        <v>88</v>
      </c>
      <c r="D1070" t="s">
        <v>81</v>
      </c>
      <c r="E1070" t="s">
        <v>119</v>
      </c>
      <c r="F1070" t="s">
        <v>73</v>
      </c>
      <c r="G1070" t="s">
        <v>74</v>
      </c>
      <c r="H1070" t="s">
        <v>127</v>
      </c>
      <c r="I1070" t="s">
        <v>84</v>
      </c>
      <c r="J1070" s="76">
        <f>'SUT_EU27 total'!$M$39</f>
        <v>0.16108845734587587</v>
      </c>
    </row>
    <row r="1071" spans="1:10" x14ac:dyDescent="0.35">
      <c r="A1071" t="s">
        <v>18</v>
      </c>
      <c r="B1071" t="s">
        <v>37</v>
      </c>
      <c r="C1071" t="s">
        <v>88</v>
      </c>
      <c r="D1071" t="s">
        <v>81</v>
      </c>
      <c r="E1071" t="s">
        <v>124</v>
      </c>
      <c r="F1071" t="s">
        <v>73</v>
      </c>
      <c r="G1071" t="s">
        <v>74</v>
      </c>
      <c r="H1071" t="s">
        <v>127</v>
      </c>
      <c r="I1071" t="s">
        <v>84</v>
      </c>
      <c r="J1071" s="76" cm="1">
        <f t="array" ref="J1071:J1079">'SUT_EU27 total'!$L$43:$L$51</f>
        <v>5.0558836222750793E-4</v>
      </c>
    </row>
    <row r="1072" spans="1:10" x14ac:dyDescent="0.35">
      <c r="A1072" t="s">
        <v>18</v>
      </c>
      <c r="B1072" t="s">
        <v>37</v>
      </c>
      <c r="C1072" t="s">
        <v>88</v>
      </c>
      <c r="D1072" t="s">
        <v>81</v>
      </c>
      <c r="E1072" t="s">
        <v>117</v>
      </c>
      <c r="F1072" t="s">
        <v>73</v>
      </c>
      <c r="G1072" t="s">
        <v>74</v>
      </c>
      <c r="H1072" t="s">
        <v>127</v>
      </c>
      <c r="I1072" t="s">
        <v>84</v>
      </c>
      <c r="J1072" s="4">
        <v>4.8514464106651379E-3</v>
      </c>
    </row>
    <row r="1073" spans="1:10" x14ac:dyDescent="0.35">
      <c r="A1073" t="s">
        <v>18</v>
      </c>
      <c r="B1073" t="s">
        <v>37</v>
      </c>
      <c r="C1073" t="s">
        <v>88</v>
      </c>
      <c r="D1073" t="s">
        <v>81</v>
      </c>
      <c r="E1073" t="s">
        <v>82</v>
      </c>
      <c r="F1073" t="s">
        <v>73</v>
      </c>
      <c r="G1073" t="s">
        <v>74</v>
      </c>
      <c r="H1073" t="s">
        <v>127</v>
      </c>
      <c r="I1073" t="s">
        <v>84</v>
      </c>
      <c r="J1073" s="4">
        <v>1.109418436791091E-2</v>
      </c>
    </row>
    <row r="1074" spans="1:10" x14ac:dyDescent="0.35">
      <c r="A1074" t="s">
        <v>18</v>
      </c>
      <c r="B1074" t="s">
        <v>37</v>
      </c>
      <c r="C1074" t="s">
        <v>88</v>
      </c>
      <c r="D1074" t="s">
        <v>81</v>
      </c>
      <c r="E1074" t="s">
        <v>125</v>
      </c>
      <c r="F1074" t="s">
        <v>73</v>
      </c>
      <c r="G1074" t="s">
        <v>74</v>
      </c>
      <c r="H1074" t="s">
        <v>127</v>
      </c>
      <c r="I1074" t="s">
        <v>84</v>
      </c>
      <c r="J1074" s="4">
        <v>2.890870278990243E-5</v>
      </c>
    </row>
    <row r="1075" spans="1:10" x14ac:dyDescent="0.35">
      <c r="A1075" t="s">
        <v>18</v>
      </c>
      <c r="B1075" t="s">
        <v>37</v>
      </c>
      <c r="C1075" t="s">
        <v>88</v>
      </c>
      <c r="D1075" t="s">
        <v>81</v>
      </c>
      <c r="E1075" t="s">
        <v>122</v>
      </c>
      <c r="F1075" t="s">
        <v>73</v>
      </c>
      <c r="G1075" t="s">
        <v>74</v>
      </c>
      <c r="H1075" t="s">
        <v>127</v>
      </c>
      <c r="I1075" t="s">
        <v>84</v>
      </c>
      <c r="J1075" s="4">
        <v>0</v>
      </c>
    </row>
    <row r="1076" spans="1:10" x14ac:dyDescent="0.35">
      <c r="A1076" t="s">
        <v>18</v>
      </c>
      <c r="B1076" t="s">
        <v>37</v>
      </c>
      <c r="C1076" t="s">
        <v>88</v>
      </c>
      <c r="D1076" t="s">
        <v>81</v>
      </c>
      <c r="E1076" t="s">
        <v>126</v>
      </c>
      <c r="F1076" t="s">
        <v>73</v>
      </c>
      <c r="G1076" t="s">
        <v>74</v>
      </c>
      <c r="H1076" t="s">
        <v>127</v>
      </c>
      <c r="I1076" t="s">
        <v>84</v>
      </c>
      <c r="J1076" s="4">
        <v>2.8514320987501449E-3</v>
      </c>
    </row>
    <row r="1077" spans="1:10" x14ac:dyDescent="0.35">
      <c r="A1077" t="s">
        <v>18</v>
      </c>
      <c r="B1077" t="s">
        <v>37</v>
      </c>
      <c r="C1077" t="s">
        <v>88</v>
      </c>
      <c r="D1077" t="s">
        <v>81</v>
      </c>
      <c r="E1077" t="s">
        <v>101</v>
      </c>
      <c r="F1077" t="s">
        <v>73</v>
      </c>
      <c r="G1077" t="s">
        <v>74</v>
      </c>
      <c r="H1077" t="s">
        <v>127</v>
      </c>
      <c r="I1077" t="s">
        <v>84</v>
      </c>
      <c r="J1077" s="4">
        <v>0</v>
      </c>
    </row>
    <row r="1078" spans="1:10" x14ac:dyDescent="0.35">
      <c r="A1078" t="s">
        <v>18</v>
      </c>
      <c r="B1078" t="s">
        <v>37</v>
      </c>
      <c r="C1078" t="s">
        <v>88</v>
      </c>
      <c r="D1078" t="s">
        <v>81</v>
      </c>
      <c r="E1078" t="s">
        <v>104</v>
      </c>
      <c r="F1078" t="s">
        <v>73</v>
      </c>
      <c r="G1078" t="s">
        <v>74</v>
      </c>
      <c r="H1078" t="s">
        <v>127</v>
      </c>
      <c r="I1078" t="s">
        <v>84</v>
      </c>
      <c r="J1078" s="4">
        <v>0</v>
      </c>
    </row>
    <row r="1079" spans="1:10" x14ac:dyDescent="0.35">
      <c r="A1079" t="s">
        <v>18</v>
      </c>
      <c r="B1079" t="s">
        <v>37</v>
      </c>
      <c r="C1079" t="s">
        <v>88</v>
      </c>
      <c r="D1079" t="s">
        <v>81</v>
      </c>
      <c r="E1079" t="s">
        <v>106</v>
      </c>
      <c r="F1079" t="s">
        <v>73</v>
      </c>
      <c r="G1079" t="s">
        <v>74</v>
      </c>
      <c r="H1079" t="s">
        <v>127</v>
      </c>
      <c r="I1079" t="s">
        <v>84</v>
      </c>
      <c r="J1079" s="4">
        <v>0</v>
      </c>
    </row>
    <row r="1080" spans="1:10" x14ac:dyDescent="0.35">
      <c r="A1080" t="s">
        <v>18</v>
      </c>
      <c r="B1080" t="s">
        <v>37</v>
      </c>
      <c r="C1080" t="s">
        <v>90</v>
      </c>
      <c r="D1080" t="s">
        <v>81</v>
      </c>
      <c r="E1080" t="s">
        <v>119</v>
      </c>
      <c r="F1080" t="s">
        <v>73</v>
      </c>
      <c r="G1080" t="s">
        <v>74</v>
      </c>
      <c r="H1080" t="s">
        <v>127</v>
      </c>
      <c r="I1080" t="s">
        <v>84</v>
      </c>
      <c r="J1080" s="76">
        <f>'SUT_EU27 total'!$M$56</f>
        <v>2.949251079979006E-2</v>
      </c>
    </row>
    <row r="1081" spans="1:10" x14ac:dyDescent="0.35">
      <c r="A1081" t="s">
        <v>18</v>
      </c>
      <c r="B1081" t="s">
        <v>37</v>
      </c>
      <c r="C1081" t="s">
        <v>90</v>
      </c>
      <c r="D1081" t="s">
        <v>81</v>
      </c>
      <c r="E1081" t="s">
        <v>124</v>
      </c>
      <c r="F1081" t="s">
        <v>73</v>
      </c>
      <c r="G1081" t="s">
        <v>74</v>
      </c>
      <c r="H1081" t="s">
        <v>127</v>
      </c>
      <c r="I1081" t="s">
        <v>84</v>
      </c>
      <c r="J1081" s="76" cm="1">
        <f t="array" ref="J1081:J1089">'SUT_EU27 total'!$M$60:$M$68</f>
        <v>2.1047443073980527E-5</v>
      </c>
    </row>
    <row r="1082" spans="1:10" x14ac:dyDescent="0.35">
      <c r="A1082" t="s">
        <v>18</v>
      </c>
      <c r="B1082" t="s">
        <v>37</v>
      </c>
      <c r="C1082" t="s">
        <v>90</v>
      </c>
      <c r="D1082" t="s">
        <v>81</v>
      </c>
      <c r="E1082" t="s">
        <v>117</v>
      </c>
      <c r="F1082" t="s">
        <v>73</v>
      </c>
      <c r="G1082" t="s">
        <v>74</v>
      </c>
      <c r="H1082" t="s">
        <v>127</v>
      </c>
      <c r="I1082" t="s">
        <v>84</v>
      </c>
      <c r="J1082" s="4">
        <v>5.8414015621608938E-3</v>
      </c>
    </row>
    <row r="1083" spans="1:10" x14ac:dyDescent="0.35">
      <c r="A1083" t="s">
        <v>18</v>
      </c>
      <c r="B1083" t="s">
        <v>37</v>
      </c>
      <c r="C1083" t="s">
        <v>90</v>
      </c>
      <c r="D1083" t="s">
        <v>81</v>
      </c>
      <c r="E1083" t="s">
        <v>82</v>
      </c>
      <c r="F1083" t="s">
        <v>73</v>
      </c>
      <c r="G1083" t="s">
        <v>74</v>
      </c>
      <c r="H1083" t="s">
        <v>127</v>
      </c>
      <c r="I1083" t="s">
        <v>84</v>
      </c>
      <c r="J1083" s="4">
        <v>1.4521138379047227E-3</v>
      </c>
    </row>
    <row r="1084" spans="1:10" x14ac:dyDescent="0.35">
      <c r="A1084" t="s">
        <v>18</v>
      </c>
      <c r="B1084" t="s">
        <v>37</v>
      </c>
      <c r="C1084" t="s">
        <v>90</v>
      </c>
      <c r="D1084" t="s">
        <v>81</v>
      </c>
      <c r="E1084" t="s">
        <v>125</v>
      </c>
      <c r="F1084" t="s">
        <v>73</v>
      </c>
      <c r="G1084" t="s">
        <v>74</v>
      </c>
      <c r="H1084" t="s">
        <v>127</v>
      </c>
      <c r="I1084" t="s">
        <v>84</v>
      </c>
      <c r="J1084" s="4">
        <v>6.5130870114372285E-5</v>
      </c>
    </row>
    <row r="1085" spans="1:10" x14ac:dyDescent="0.35">
      <c r="A1085" t="s">
        <v>18</v>
      </c>
      <c r="B1085" t="s">
        <v>37</v>
      </c>
      <c r="C1085" t="s">
        <v>90</v>
      </c>
      <c r="D1085" t="s">
        <v>81</v>
      </c>
      <c r="E1085" t="s">
        <v>122</v>
      </c>
      <c r="F1085" t="s">
        <v>73</v>
      </c>
      <c r="G1085" t="s">
        <v>74</v>
      </c>
      <c r="H1085" t="s">
        <v>127</v>
      </c>
      <c r="I1085" t="s">
        <v>84</v>
      </c>
      <c r="J1085" s="4">
        <v>7.9476813317479189E-4</v>
      </c>
    </row>
    <row r="1086" spans="1:10" x14ac:dyDescent="0.35">
      <c r="A1086" t="s">
        <v>18</v>
      </c>
      <c r="B1086" t="s">
        <v>37</v>
      </c>
      <c r="C1086" t="s">
        <v>90</v>
      </c>
      <c r="D1086" t="s">
        <v>81</v>
      </c>
      <c r="E1086" t="s">
        <v>126</v>
      </c>
      <c r="F1086" t="s">
        <v>73</v>
      </c>
      <c r="G1086" t="s">
        <v>74</v>
      </c>
      <c r="H1086" t="s">
        <v>127</v>
      </c>
      <c r="I1086" t="s">
        <v>84</v>
      </c>
      <c r="J1086" s="4">
        <v>8.4821183458843076E-3</v>
      </c>
    </row>
    <row r="1087" spans="1:10" x14ac:dyDescent="0.35">
      <c r="A1087" t="s">
        <v>18</v>
      </c>
      <c r="B1087" t="s">
        <v>37</v>
      </c>
      <c r="C1087" t="s">
        <v>90</v>
      </c>
      <c r="D1087" t="s">
        <v>81</v>
      </c>
      <c r="E1087" t="s">
        <v>101</v>
      </c>
      <c r="F1087" t="s">
        <v>73</v>
      </c>
      <c r="G1087" t="s">
        <v>74</v>
      </c>
      <c r="H1087" t="s">
        <v>127</v>
      </c>
      <c r="I1087" t="s">
        <v>84</v>
      </c>
      <c r="J1087" s="4">
        <v>0</v>
      </c>
    </row>
    <row r="1088" spans="1:10" x14ac:dyDescent="0.35">
      <c r="A1088" t="s">
        <v>18</v>
      </c>
      <c r="B1088" t="s">
        <v>37</v>
      </c>
      <c r="C1088" t="s">
        <v>90</v>
      </c>
      <c r="D1088" t="s">
        <v>81</v>
      </c>
      <c r="E1088" t="s">
        <v>104</v>
      </c>
      <c r="F1088" t="s">
        <v>73</v>
      </c>
      <c r="G1088" t="s">
        <v>74</v>
      </c>
      <c r="H1088" t="s">
        <v>127</v>
      </c>
      <c r="I1088" t="s">
        <v>84</v>
      </c>
      <c r="J1088" s="4">
        <v>0</v>
      </c>
    </row>
    <row r="1089" spans="1:10" x14ac:dyDescent="0.35">
      <c r="A1089" t="s">
        <v>18</v>
      </c>
      <c r="B1089" t="s">
        <v>37</v>
      </c>
      <c r="C1089" t="s">
        <v>90</v>
      </c>
      <c r="D1089" t="s">
        <v>81</v>
      </c>
      <c r="E1089" t="s">
        <v>106</v>
      </c>
      <c r="F1089" t="s">
        <v>73</v>
      </c>
      <c r="G1089" t="s">
        <v>74</v>
      </c>
      <c r="H1089" t="s">
        <v>127</v>
      </c>
      <c r="I1089" t="s">
        <v>84</v>
      </c>
      <c r="J1089" s="4">
        <v>0</v>
      </c>
    </row>
    <row r="1090" spans="1:10" x14ac:dyDescent="0.35">
      <c r="A1090" t="s">
        <v>18</v>
      </c>
      <c r="B1090" t="s">
        <v>37</v>
      </c>
      <c r="C1090" t="s">
        <v>91</v>
      </c>
      <c r="D1090" t="s">
        <v>81</v>
      </c>
      <c r="E1090" t="s">
        <v>119</v>
      </c>
      <c r="F1090" t="s">
        <v>73</v>
      </c>
      <c r="G1090" t="s">
        <v>74</v>
      </c>
      <c r="H1090" t="s">
        <v>127</v>
      </c>
      <c r="I1090" t="s">
        <v>84</v>
      </c>
      <c r="J1090" s="76">
        <f>'SUT_EU27 total'!$M$73</f>
        <v>0.15097500908393557</v>
      </c>
    </row>
    <row r="1091" spans="1:10" x14ac:dyDescent="0.35">
      <c r="A1091" t="s">
        <v>18</v>
      </c>
      <c r="B1091" t="s">
        <v>37</v>
      </c>
      <c r="C1091" t="s">
        <v>91</v>
      </c>
      <c r="D1091" t="s">
        <v>81</v>
      </c>
      <c r="E1091" t="s">
        <v>124</v>
      </c>
      <c r="F1091" t="s">
        <v>73</v>
      </c>
      <c r="G1091" t="s">
        <v>74</v>
      </c>
      <c r="H1091" t="s">
        <v>127</v>
      </c>
      <c r="I1091" t="s">
        <v>84</v>
      </c>
      <c r="J1091" s="76" cm="1">
        <f t="array" ref="J1091:J1099">'SUT_EU27 total'!$M$77:$M$85</f>
        <v>6.7728942399646885E-5</v>
      </c>
    </row>
    <row r="1092" spans="1:10" x14ac:dyDescent="0.35">
      <c r="A1092" t="s">
        <v>18</v>
      </c>
      <c r="B1092" t="s">
        <v>37</v>
      </c>
      <c r="C1092" t="s">
        <v>91</v>
      </c>
      <c r="D1092" t="s">
        <v>81</v>
      </c>
      <c r="E1092" t="s">
        <v>117</v>
      </c>
      <c r="F1092" t="s">
        <v>73</v>
      </c>
      <c r="G1092" t="s">
        <v>74</v>
      </c>
      <c r="H1092" t="s">
        <v>127</v>
      </c>
      <c r="I1092" t="s">
        <v>84</v>
      </c>
      <c r="J1092" s="4">
        <v>5.6233849622410815E-3</v>
      </c>
    </row>
    <row r="1093" spans="1:10" x14ac:dyDescent="0.35">
      <c r="A1093" t="s">
        <v>18</v>
      </c>
      <c r="B1093" t="s">
        <v>37</v>
      </c>
      <c r="C1093" t="s">
        <v>91</v>
      </c>
      <c r="D1093" t="s">
        <v>81</v>
      </c>
      <c r="E1093" t="s">
        <v>82</v>
      </c>
      <c r="F1093" t="s">
        <v>73</v>
      </c>
      <c r="G1093" t="s">
        <v>74</v>
      </c>
      <c r="H1093" t="s">
        <v>127</v>
      </c>
      <c r="I1093" t="s">
        <v>84</v>
      </c>
      <c r="J1093" s="4">
        <v>1.8068055269127655E-3</v>
      </c>
    </row>
    <row r="1094" spans="1:10" x14ac:dyDescent="0.35">
      <c r="A1094" t="s">
        <v>18</v>
      </c>
      <c r="B1094" t="s">
        <v>37</v>
      </c>
      <c r="C1094" t="s">
        <v>91</v>
      </c>
      <c r="D1094" t="s">
        <v>81</v>
      </c>
      <c r="E1094" t="s">
        <v>125</v>
      </c>
      <c r="F1094" t="s">
        <v>73</v>
      </c>
      <c r="G1094" t="s">
        <v>74</v>
      </c>
      <c r="H1094" t="s">
        <v>127</v>
      </c>
      <c r="I1094" t="s">
        <v>84</v>
      </c>
      <c r="J1094" s="4">
        <v>5.6492118062760293E-6</v>
      </c>
    </row>
    <row r="1095" spans="1:10" x14ac:dyDescent="0.35">
      <c r="A1095" t="s">
        <v>18</v>
      </c>
      <c r="B1095" t="s">
        <v>37</v>
      </c>
      <c r="C1095" t="s">
        <v>91</v>
      </c>
      <c r="D1095" t="s">
        <v>81</v>
      </c>
      <c r="E1095" t="s">
        <v>122</v>
      </c>
      <c r="F1095" t="s">
        <v>73</v>
      </c>
      <c r="G1095" t="s">
        <v>74</v>
      </c>
      <c r="H1095" t="s">
        <v>127</v>
      </c>
      <c r="I1095" t="s">
        <v>84</v>
      </c>
      <c r="J1095" s="4">
        <v>0</v>
      </c>
    </row>
    <row r="1096" spans="1:10" x14ac:dyDescent="0.35">
      <c r="A1096" t="s">
        <v>18</v>
      </c>
      <c r="B1096" t="s">
        <v>37</v>
      </c>
      <c r="C1096" t="s">
        <v>91</v>
      </c>
      <c r="D1096" t="s">
        <v>81</v>
      </c>
      <c r="E1096" t="s">
        <v>126</v>
      </c>
      <c r="F1096" t="s">
        <v>73</v>
      </c>
      <c r="G1096" t="s">
        <v>74</v>
      </c>
      <c r="H1096" t="s">
        <v>127</v>
      </c>
      <c r="I1096" t="s">
        <v>84</v>
      </c>
      <c r="J1096" s="4">
        <v>8.1093795177776388E-4</v>
      </c>
    </row>
    <row r="1097" spans="1:10" x14ac:dyDescent="0.35">
      <c r="A1097" t="s">
        <v>18</v>
      </c>
      <c r="B1097" t="s">
        <v>37</v>
      </c>
      <c r="C1097" t="s">
        <v>91</v>
      </c>
      <c r="D1097" t="s">
        <v>81</v>
      </c>
      <c r="E1097" t="s">
        <v>101</v>
      </c>
      <c r="F1097" t="s">
        <v>73</v>
      </c>
      <c r="G1097" t="s">
        <v>74</v>
      </c>
      <c r="H1097" t="s">
        <v>127</v>
      </c>
      <c r="I1097" t="s">
        <v>84</v>
      </c>
      <c r="J1097" s="4">
        <v>0</v>
      </c>
    </row>
    <row r="1098" spans="1:10" x14ac:dyDescent="0.35">
      <c r="A1098" t="s">
        <v>18</v>
      </c>
      <c r="B1098" t="s">
        <v>37</v>
      </c>
      <c r="C1098" t="s">
        <v>91</v>
      </c>
      <c r="D1098" t="s">
        <v>81</v>
      </c>
      <c r="E1098" t="s">
        <v>104</v>
      </c>
      <c r="F1098" t="s">
        <v>73</v>
      </c>
      <c r="G1098" t="s">
        <v>74</v>
      </c>
      <c r="H1098" t="s">
        <v>127</v>
      </c>
      <c r="I1098" t="s">
        <v>84</v>
      </c>
      <c r="J1098" s="4">
        <v>0</v>
      </c>
    </row>
    <row r="1099" spans="1:10" x14ac:dyDescent="0.35">
      <c r="A1099" t="s">
        <v>18</v>
      </c>
      <c r="B1099" t="s">
        <v>37</v>
      </c>
      <c r="C1099" t="s">
        <v>91</v>
      </c>
      <c r="D1099" t="s">
        <v>81</v>
      </c>
      <c r="E1099" t="s">
        <v>106</v>
      </c>
      <c r="F1099" t="s">
        <v>73</v>
      </c>
      <c r="G1099" t="s">
        <v>74</v>
      </c>
      <c r="H1099" t="s">
        <v>127</v>
      </c>
      <c r="I1099" t="s">
        <v>84</v>
      </c>
      <c r="J1099" s="4">
        <v>0</v>
      </c>
    </row>
    <row r="1100" spans="1:10" x14ac:dyDescent="0.35">
      <c r="A1100" t="s">
        <v>18</v>
      </c>
      <c r="B1100" t="s">
        <v>37</v>
      </c>
      <c r="C1100" t="s">
        <v>92</v>
      </c>
      <c r="D1100" t="s">
        <v>81</v>
      </c>
      <c r="E1100" t="s">
        <v>119</v>
      </c>
      <c r="F1100" t="s">
        <v>73</v>
      </c>
      <c r="G1100" t="s">
        <v>74</v>
      </c>
      <c r="H1100" t="s">
        <v>127</v>
      </c>
      <c r="I1100" t="s">
        <v>84</v>
      </c>
      <c r="J1100" s="76">
        <f>'SUT_EU27 total'!$M$90</f>
        <v>0.13886309499777949</v>
      </c>
    </row>
    <row r="1101" spans="1:10" x14ac:dyDescent="0.35">
      <c r="A1101" t="s">
        <v>18</v>
      </c>
      <c r="B1101" t="s">
        <v>37</v>
      </c>
      <c r="C1101" t="s">
        <v>92</v>
      </c>
      <c r="D1101" t="s">
        <v>81</v>
      </c>
      <c r="E1101" t="s">
        <v>124</v>
      </c>
      <c r="F1101" t="s">
        <v>73</v>
      </c>
      <c r="G1101" t="s">
        <v>74</v>
      </c>
      <c r="H1101" t="s">
        <v>127</v>
      </c>
      <c r="I1101" t="s">
        <v>84</v>
      </c>
      <c r="J1101" s="76" cm="1">
        <f t="array" ref="J1101:J1109">'SUT_EU27 total'!$M$94:$M$102</f>
        <v>9.2968907089085616E-5</v>
      </c>
    </row>
    <row r="1102" spans="1:10" x14ac:dyDescent="0.35">
      <c r="A1102" t="s">
        <v>18</v>
      </c>
      <c r="B1102" t="s">
        <v>37</v>
      </c>
      <c r="C1102" t="s">
        <v>92</v>
      </c>
      <c r="D1102" t="s">
        <v>81</v>
      </c>
      <c r="E1102" t="s">
        <v>117</v>
      </c>
      <c r="F1102" t="s">
        <v>73</v>
      </c>
      <c r="G1102" t="s">
        <v>74</v>
      </c>
      <c r="H1102" t="s">
        <v>127</v>
      </c>
      <c r="I1102" t="s">
        <v>84</v>
      </c>
      <c r="J1102" s="4">
        <v>0</v>
      </c>
    </row>
    <row r="1103" spans="1:10" x14ac:dyDescent="0.35">
      <c r="A1103" t="s">
        <v>18</v>
      </c>
      <c r="B1103" t="s">
        <v>37</v>
      </c>
      <c r="C1103" t="s">
        <v>92</v>
      </c>
      <c r="D1103" t="s">
        <v>81</v>
      </c>
      <c r="E1103" t="s">
        <v>82</v>
      </c>
      <c r="F1103" t="s">
        <v>73</v>
      </c>
      <c r="G1103" t="s">
        <v>74</v>
      </c>
      <c r="H1103" t="s">
        <v>127</v>
      </c>
      <c r="I1103" t="s">
        <v>84</v>
      </c>
      <c r="J1103" s="4">
        <v>1.1251392039595793E-3</v>
      </c>
    </row>
    <row r="1104" spans="1:10" x14ac:dyDescent="0.35">
      <c r="A1104" t="s">
        <v>18</v>
      </c>
      <c r="B1104" t="s">
        <v>37</v>
      </c>
      <c r="C1104" t="s">
        <v>92</v>
      </c>
      <c r="D1104" t="s">
        <v>81</v>
      </c>
      <c r="E1104" t="s">
        <v>125</v>
      </c>
      <c r="F1104" t="s">
        <v>73</v>
      </c>
      <c r="G1104" t="s">
        <v>74</v>
      </c>
      <c r="H1104" t="s">
        <v>127</v>
      </c>
      <c r="I1104" t="s">
        <v>84</v>
      </c>
      <c r="J1104" s="4">
        <v>5.0048817841215026E-7</v>
      </c>
    </row>
    <row r="1105" spans="1:10" x14ac:dyDescent="0.35">
      <c r="A1105" t="s">
        <v>18</v>
      </c>
      <c r="B1105" t="s">
        <v>37</v>
      </c>
      <c r="C1105" t="s">
        <v>92</v>
      </c>
      <c r="D1105" t="s">
        <v>81</v>
      </c>
      <c r="E1105" t="s">
        <v>122</v>
      </c>
      <c r="F1105" t="s">
        <v>73</v>
      </c>
      <c r="G1105" t="s">
        <v>74</v>
      </c>
      <c r="H1105" t="s">
        <v>127</v>
      </c>
      <c r="I1105" t="s">
        <v>84</v>
      </c>
      <c r="J1105" s="4">
        <v>0</v>
      </c>
    </row>
    <row r="1106" spans="1:10" x14ac:dyDescent="0.35">
      <c r="A1106" t="s">
        <v>18</v>
      </c>
      <c r="B1106" t="s">
        <v>37</v>
      </c>
      <c r="C1106" t="s">
        <v>92</v>
      </c>
      <c r="D1106" t="s">
        <v>81</v>
      </c>
      <c r="E1106" t="s">
        <v>126</v>
      </c>
      <c r="F1106" t="s">
        <v>73</v>
      </c>
      <c r="G1106" t="s">
        <v>74</v>
      </c>
      <c r="H1106" t="s">
        <v>127</v>
      </c>
      <c r="I1106" t="s">
        <v>84</v>
      </c>
      <c r="J1106" s="4">
        <v>0</v>
      </c>
    </row>
    <row r="1107" spans="1:10" x14ac:dyDescent="0.35">
      <c r="A1107" t="s">
        <v>18</v>
      </c>
      <c r="B1107" t="s">
        <v>37</v>
      </c>
      <c r="C1107" t="s">
        <v>92</v>
      </c>
      <c r="D1107" t="s">
        <v>81</v>
      </c>
      <c r="E1107" t="s">
        <v>101</v>
      </c>
      <c r="F1107" t="s">
        <v>73</v>
      </c>
      <c r="G1107" t="s">
        <v>74</v>
      </c>
      <c r="H1107" t="s">
        <v>127</v>
      </c>
      <c r="I1107" t="s">
        <v>84</v>
      </c>
      <c r="J1107" s="4">
        <v>0</v>
      </c>
    </row>
    <row r="1108" spans="1:10" x14ac:dyDescent="0.35">
      <c r="A1108" t="s">
        <v>18</v>
      </c>
      <c r="B1108" t="s">
        <v>37</v>
      </c>
      <c r="C1108" t="s">
        <v>92</v>
      </c>
      <c r="D1108" t="s">
        <v>81</v>
      </c>
      <c r="E1108" t="s">
        <v>104</v>
      </c>
      <c r="F1108" t="s">
        <v>73</v>
      </c>
      <c r="G1108" t="s">
        <v>74</v>
      </c>
      <c r="H1108" t="s">
        <v>127</v>
      </c>
      <c r="I1108" t="s">
        <v>84</v>
      </c>
      <c r="J1108" s="4">
        <v>0</v>
      </c>
    </row>
    <row r="1109" spans="1:10" x14ac:dyDescent="0.35">
      <c r="A1109" t="s">
        <v>18</v>
      </c>
      <c r="B1109" t="s">
        <v>37</v>
      </c>
      <c r="C1109" t="s">
        <v>92</v>
      </c>
      <c r="D1109" t="s">
        <v>81</v>
      </c>
      <c r="E1109" t="s">
        <v>106</v>
      </c>
      <c r="F1109" t="s">
        <v>73</v>
      </c>
      <c r="G1109" t="s">
        <v>74</v>
      </c>
      <c r="H1109" t="s">
        <v>127</v>
      </c>
      <c r="I1109" t="s">
        <v>84</v>
      </c>
      <c r="J1109" s="4">
        <v>0</v>
      </c>
    </row>
    <row r="1110" spans="1:10" x14ac:dyDescent="0.35">
      <c r="A1110" t="s">
        <v>18</v>
      </c>
      <c r="B1110" t="s">
        <v>37</v>
      </c>
      <c r="C1110" t="s">
        <v>93</v>
      </c>
      <c r="D1110" t="s">
        <v>81</v>
      </c>
      <c r="E1110" t="s">
        <v>119</v>
      </c>
      <c r="F1110" t="s">
        <v>73</v>
      </c>
      <c r="G1110" t="s">
        <v>74</v>
      </c>
      <c r="H1110" t="s">
        <v>127</v>
      </c>
      <c r="I1110" t="s">
        <v>84</v>
      </c>
      <c r="J1110" s="76">
        <f>'SUT_EU27 total'!$M$107</f>
        <v>1.0000807460939076</v>
      </c>
    </row>
    <row r="1111" spans="1:10" x14ac:dyDescent="0.35">
      <c r="A1111" t="s">
        <v>18</v>
      </c>
      <c r="B1111" t="s">
        <v>37</v>
      </c>
      <c r="C1111" t="s">
        <v>93</v>
      </c>
      <c r="D1111" t="s">
        <v>81</v>
      </c>
      <c r="E1111" t="s">
        <v>124</v>
      </c>
      <c r="F1111" t="s">
        <v>73</v>
      </c>
      <c r="G1111" t="s">
        <v>74</v>
      </c>
      <c r="H1111" t="s">
        <v>127</v>
      </c>
      <c r="I1111" t="s">
        <v>84</v>
      </c>
      <c r="J1111" s="76" cm="1">
        <f t="array" ref="J1111:J1119">'SUT_EU27 total'!$M$111:$M$119</f>
        <v>3.7052409430862396E-4</v>
      </c>
    </row>
    <row r="1112" spans="1:10" x14ac:dyDescent="0.35">
      <c r="A1112" t="s">
        <v>18</v>
      </c>
      <c r="B1112" t="s">
        <v>37</v>
      </c>
      <c r="C1112" t="s">
        <v>93</v>
      </c>
      <c r="D1112" t="s">
        <v>81</v>
      </c>
      <c r="E1112" t="s">
        <v>117</v>
      </c>
      <c r="F1112" t="s">
        <v>73</v>
      </c>
      <c r="G1112" t="s">
        <v>74</v>
      </c>
      <c r="H1112" t="s">
        <v>127</v>
      </c>
      <c r="I1112" t="s">
        <v>84</v>
      </c>
      <c r="J1112" s="4">
        <v>5.8414042458127093E-3</v>
      </c>
    </row>
    <row r="1113" spans="1:10" x14ac:dyDescent="0.35">
      <c r="A1113" t="s">
        <v>18</v>
      </c>
      <c r="B1113" t="s">
        <v>37</v>
      </c>
      <c r="C1113" t="s">
        <v>93</v>
      </c>
      <c r="D1113" t="s">
        <v>81</v>
      </c>
      <c r="E1113" t="s">
        <v>82</v>
      </c>
      <c r="F1113" t="s">
        <v>73</v>
      </c>
      <c r="G1113" t="s">
        <v>74</v>
      </c>
      <c r="H1113" t="s">
        <v>127</v>
      </c>
      <c r="I1113" t="s">
        <v>84</v>
      </c>
      <c r="J1113" s="4">
        <v>5.0319447308723453E-3</v>
      </c>
    </row>
    <row r="1114" spans="1:10" x14ac:dyDescent="0.35">
      <c r="A1114" t="s">
        <v>18</v>
      </c>
      <c r="B1114" t="s">
        <v>37</v>
      </c>
      <c r="C1114" t="s">
        <v>93</v>
      </c>
      <c r="D1114" t="s">
        <v>81</v>
      </c>
      <c r="E1114" t="s">
        <v>125</v>
      </c>
      <c r="F1114" t="s">
        <v>73</v>
      </c>
      <c r="G1114" t="s">
        <v>74</v>
      </c>
      <c r="H1114" t="s">
        <v>127</v>
      </c>
      <c r="I1114" t="s">
        <v>84</v>
      </c>
      <c r="J1114" s="4">
        <v>4.336096678710085E-4</v>
      </c>
    </row>
    <row r="1115" spans="1:10" x14ac:dyDescent="0.35">
      <c r="A1115" t="s">
        <v>18</v>
      </c>
      <c r="B1115" t="s">
        <v>37</v>
      </c>
      <c r="C1115" t="s">
        <v>93</v>
      </c>
      <c r="D1115" t="s">
        <v>81</v>
      </c>
      <c r="E1115" t="s">
        <v>122</v>
      </c>
      <c r="F1115" t="s">
        <v>73</v>
      </c>
      <c r="G1115" t="s">
        <v>74</v>
      </c>
      <c r="H1115" t="s">
        <v>127</v>
      </c>
      <c r="I1115" t="s">
        <v>84</v>
      </c>
      <c r="J1115" s="4">
        <v>2.7129607609988112E-3</v>
      </c>
    </row>
    <row r="1116" spans="1:10" x14ac:dyDescent="0.35">
      <c r="A1116" t="s">
        <v>18</v>
      </c>
      <c r="B1116" t="s">
        <v>37</v>
      </c>
      <c r="C1116" t="s">
        <v>93</v>
      </c>
      <c r="D1116" t="s">
        <v>81</v>
      </c>
      <c r="E1116" t="s">
        <v>126</v>
      </c>
      <c r="F1116" t="s">
        <v>73</v>
      </c>
      <c r="G1116" t="s">
        <v>74</v>
      </c>
      <c r="H1116" t="s">
        <v>127</v>
      </c>
      <c r="I1116" t="s">
        <v>84</v>
      </c>
      <c r="J1116" s="4">
        <v>4.3855511603587784E-2</v>
      </c>
    </row>
    <row r="1117" spans="1:10" x14ac:dyDescent="0.35">
      <c r="A1117" t="s">
        <v>18</v>
      </c>
      <c r="B1117" t="s">
        <v>37</v>
      </c>
      <c r="C1117" t="s">
        <v>93</v>
      </c>
      <c r="D1117" t="s">
        <v>81</v>
      </c>
      <c r="E1117" t="s">
        <v>101</v>
      </c>
      <c r="F1117" t="s">
        <v>73</v>
      </c>
      <c r="G1117" t="s">
        <v>74</v>
      </c>
      <c r="H1117" t="s">
        <v>127</v>
      </c>
      <c r="I1117" t="s">
        <v>84</v>
      </c>
      <c r="J1117" s="4">
        <v>0</v>
      </c>
    </row>
    <row r="1118" spans="1:10" x14ac:dyDescent="0.35">
      <c r="A1118" t="s">
        <v>18</v>
      </c>
      <c r="B1118" t="s">
        <v>37</v>
      </c>
      <c r="C1118" t="s">
        <v>93</v>
      </c>
      <c r="D1118" t="s">
        <v>81</v>
      </c>
      <c r="E1118" t="s">
        <v>104</v>
      </c>
      <c r="F1118" t="s">
        <v>73</v>
      </c>
      <c r="G1118" t="s">
        <v>74</v>
      </c>
      <c r="H1118" t="s">
        <v>127</v>
      </c>
      <c r="I1118" t="s">
        <v>84</v>
      </c>
      <c r="J1118" s="4">
        <v>0</v>
      </c>
    </row>
    <row r="1119" spans="1:10" x14ac:dyDescent="0.35">
      <c r="A1119" t="s">
        <v>18</v>
      </c>
      <c r="B1119" t="s">
        <v>37</v>
      </c>
      <c r="C1119" t="s">
        <v>93</v>
      </c>
      <c r="D1119" t="s">
        <v>81</v>
      </c>
      <c r="E1119" t="s">
        <v>106</v>
      </c>
      <c r="F1119" t="s">
        <v>73</v>
      </c>
      <c r="G1119" t="s">
        <v>74</v>
      </c>
      <c r="H1119" t="s">
        <v>127</v>
      </c>
      <c r="I1119" t="s">
        <v>84</v>
      </c>
      <c r="J1119" s="4">
        <v>0</v>
      </c>
    </row>
    <row r="1120" spans="1:10" x14ac:dyDescent="0.35">
      <c r="A1120" t="s">
        <v>18</v>
      </c>
      <c r="B1120" t="s">
        <v>37</v>
      </c>
      <c r="C1120" t="s">
        <v>73</v>
      </c>
      <c r="D1120" t="s">
        <v>81</v>
      </c>
      <c r="E1120" t="s">
        <v>82</v>
      </c>
      <c r="F1120" t="s">
        <v>73</v>
      </c>
      <c r="G1120" t="s">
        <v>74</v>
      </c>
      <c r="H1120" t="s">
        <v>128</v>
      </c>
      <c r="I1120" t="s">
        <v>84</v>
      </c>
      <c r="J1120" s="76">
        <f>'SUT_EU27 total'!$N$28</f>
        <v>1.4658301341380521E-2</v>
      </c>
    </row>
    <row r="1121" spans="1:10" x14ac:dyDescent="0.35">
      <c r="A1121" t="s">
        <v>18</v>
      </c>
      <c r="B1121" t="s">
        <v>37</v>
      </c>
      <c r="C1121" t="s">
        <v>73</v>
      </c>
      <c r="D1121" t="s">
        <v>81</v>
      </c>
      <c r="E1121" t="s">
        <v>86</v>
      </c>
      <c r="F1121" t="s">
        <v>73</v>
      </c>
      <c r="G1121" t="s">
        <v>74</v>
      </c>
      <c r="H1121" t="s">
        <v>128</v>
      </c>
      <c r="I1121" t="s">
        <v>84</v>
      </c>
      <c r="J1121" s="76">
        <f>'SUT_EU27 total'!$N$35</f>
        <v>3.0740776778828832E-3</v>
      </c>
    </row>
    <row r="1122" spans="1:10" x14ac:dyDescent="0.35">
      <c r="A1122" t="s">
        <v>18</v>
      </c>
      <c r="B1122" t="s">
        <v>37</v>
      </c>
      <c r="C1122" t="s">
        <v>88</v>
      </c>
      <c r="D1122" t="s">
        <v>81</v>
      </c>
      <c r="E1122" t="s">
        <v>82</v>
      </c>
      <c r="F1122" t="s">
        <v>73</v>
      </c>
      <c r="G1122" t="s">
        <v>74</v>
      </c>
      <c r="H1122" t="s">
        <v>128</v>
      </c>
      <c r="I1122" t="s">
        <v>84</v>
      </c>
      <c r="J1122" s="76">
        <f>'SUT_EU27 total'!$N$45</f>
        <v>9.2276548594747033E-3</v>
      </c>
    </row>
    <row r="1123" spans="1:10" x14ac:dyDescent="0.35">
      <c r="A1123" t="s">
        <v>18</v>
      </c>
      <c r="B1123" t="s">
        <v>37</v>
      </c>
      <c r="C1123" t="s">
        <v>88</v>
      </c>
      <c r="D1123" t="s">
        <v>81</v>
      </c>
      <c r="E1123" t="s">
        <v>86</v>
      </c>
      <c r="F1123" t="s">
        <v>73</v>
      </c>
      <c r="G1123" t="s">
        <v>74</v>
      </c>
      <c r="H1123" t="s">
        <v>128</v>
      </c>
      <c r="I1123" t="s">
        <v>84</v>
      </c>
      <c r="J1123" s="76">
        <f>'SUT_EU27 total'!$N$52</f>
        <v>6.9627451701437512E-2</v>
      </c>
    </row>
    <row r="1124" spans="1:10" x14ac:dyDescent="0.35">
      <c r="A1124" t="s">
        <v>18</v>
      </c>
      <c r="B1124" t="s">
        <v>37</v>
      </c>
      <c r="C1124" t="s">
        <v>90</v>
      </c>
      <c r="D1124" t="s">
        <v>81</v>
      </c>
      <c r="E1124" t="s">
        <v>82</v>
      </c>
      <c r="F1124" t="s">
        <v>73</v>
      </c>
      <c r="G1124" t="s">
        <v>74</v>
      </c>
      <c r="H1124" t="s">
        <v>128</v>
      </c>
      <c r="I1124" t="s">
        <v>84</v>
      </c>
      <c r="J1124" s="76">
        <f>'SUT_EU27 total'!$N$62</f>
        <v>2.2200107734217647E-6</v>
      </c>
    </row>
    <row r="1125" spans="1:10" x14ac:dyDescent="0.35">
      <c r="A1125" t="s">
        <v>18</v>
      </c>
      <c r="B1125" t="s">
        <v>37</v>
      </c>
      <c r="C1125" t="s">
        <v>90</v>
      </c>
      <c r="D1125" t="s">
        <v>81</v>
      </c>
      <c r="E1125" t="s">
        <v>86</v>
      </c>
      <c r="F1125" t="s">
        <v>73</v>
      </c>
      <c r="G1125" t="s">
        <v>74</v>
      </c>
      <c r="H1125" t="s">
        <v>128</v>
      </c>
      <c r="I1125" t="s">
        <v>84</v>
      </c>
      <c r="J1125" s="76">
        <f>'SUT_EU27 total'!$N$69</f>
        <v>9.1135123377023061E-3</v>
      </c>
    </row>
    <row r="1126" spans="1:10" x14ac:dyDescent="0.35">
      <c r="A1126" t="s">
        <v>18</v>
      </c>
      <c r="B1126" t="s">
        <v>37</v>
      </c>
      <c r="C1126" t="s">
        <v>91</v>
      </c>
      <c r="D1126" t="s">
        <v>81</v>
      </c>
      <c r="E1126" t="s">
        <v>82</v>
      </c>
      <c r="F1126" t="s">
        <v>73</v>
      </c>
      <c r="G1126" t="s">
        <v>74</v>
      </c>
      <c r="H1126" t="s">
        <v>128</v>
      </c>
      <c r="I1126" t="s">
        <v>84</v>
      </c>
      <c r="J1126" s="76">
        <f>'SUT_EU27 total'!$N$79</f>
        <v>4.3195382907628159E-4</v>
      </c>
    </row>
    <row r="1127" spans="1:10" x14ac:dyDescent="0.35">
      <c r="A1127" t="s">
        <v>18</v>
      </c>
      <c r="B1127" t="s">
        <v>37</v>
      </c>
      <c r="C1127" t="s">
        <v>91</v>
      </c>
      <c r="D1127" t="s">
        <v>81</v>
      </c>
      <c r="E1127" t="s">
        <v>86</v>
      </c>
      <c r="F1127" t="s">
        <v>73</v>
      </c>
      <c r="G1127" t="s">
        <v>74</v>
      </c>
      <c r="H1127" t="s">
        <v>128</v>
      </c>
      <c r="I1127" t="s">
        <v>84</v>
      </c>
      <c r="J1127" s="76">
        <f>'SUT_EU27 total'!$N$86</f>
        <v>1.1339568587203704E-2</v>
      </c>
    </row>
    <row r="1128" spans="1:10" x14ac:dyDescent="0.35">
      <c r="A1128" t="s">
        <v>18</v>
      </c>
      <c r="B1128" t="s">
        <v>37</v>
      </c>
      <c r="C1128" t="s">
        <v>92</v>
      </c>
      <c r="D1128" t="s">
        <v>81</v>
      </c>
      <c r="E1128" t="s">
        <v>82</v>
      </c>
      <c r="F1128" t="s">
        <v>73</v>
      </c>
      <c r="G1128" t="s">
        <v>74</v>
      </c>
      <c r="H1128" t="s">
        <v>128</v>
      </c>
      <c r="I1128" t="s">
        <v>84</v>
      </c>
      <c r="J1128" s="76">
        <f>'SUT_EU27 total'!$N$96</f>
        <v>5.9963902402539811E-4</v>
      </c>
    </row>
    <row r="1129" spans="1:10" x14ac:dyDescent="0.35">
      <c r="A1129" t="s">
        <v>18</v>
      </c>
      <c r="B1129" t="s">
        <v>37</v>
      </c>
      <c r="C1129" t="s">
        <v>92</v>
      </c>
      <c r="D1129" t="s">
        <v>81</v>
      </c>
      <c r="E1129" t="s">
        <v>86</v>
      </c>
      <c r="F1129" t="s">
        <v>73</v>
      </c>
      <c r="G1129" t="s">
        <v>74</v>
      </c>
      <c r="H1129" t="s">
        <v>128</v>
      </c>
      <c r="I1129" t="s">
        <v>84</v>
      </c>
      <c r="J1129" s="76">
        <f>'SUT_EU27 total'!$N$103</f>
        <v>7.0614092017150581E-3</v>
      </c>
    </row>
    <row r="1130" spans="1:10" x14ac:dyDescent="0.35">
      <c r="A1130" t="s">
        <v>18</v>
      </c>
      <c r="B1130" t="s">
        <v>37</v>
      </c>
      <c r="C1130" t="s">
        <v>93</v>
      </c>
      <c r="D1130" t="s">
        <v>81</v>
      </c>
      <c r="E1130" t="s">
        <v>82</v>
      </c>
      <c r="F1130" t="s">
        <v>73</v>
      </c>
      <c r="G1130" t="s">
        <v>74</v>
      </c>
      <c r="H1130" t="s">
        <v>128</v>
      </c>
      <c r="I1130" t="s">
        <v>84</v>
      </c>
      <c r="J1130" s="76">
        <f>'SUT_EU27 total'!$N$113</f>
        <v>2.4854239602480213E-3</v>
      </c>
    </row>
    <row r="1131" spans="1:10" x14ac:dyDescent="0.35">
      <c r="A1131" t="s">
        <v>18</v>
      </c>
      <c r="B1131" t="s">
        <v>37</v>
      </c>
      <c r="C1131" t="s">
        <v>93</v>
      </c>
      <c r="D1131" t="s">
        <v>81</v>
      </c>
      <c r="E1131" t="s">
        <v>86</v>
      </c>
      <c r="F1131" t="s">
        <v>73</v>
      </c>
      <c r="G1131" t="s">
        <v>74</v>
      </c>
      <c r="H1131" t="s">
        <v>128</v>
      </c>
      <c r="I1131" t="s">
        <v>84</v>
      </c>
      <c r="J1131" s="76">
        <f>'SUT_EU27 total'!$N$120</f>
        <v>3.1580644155014347E-2</v>
      </c>
    </row>
    <row r="1132" spans="1:10" x14ac:dyDescent="0.35">
      <c r="A1132" t="s">
        <v>18</v>
      </c>
      <c r="B1132" t="s">
        <v>37</v>
      </c>
      <c r="C1132" t="s">
        <v>73</v>
      </c>
      <c r="D1132" t="s">
        <v>81</v>
      </c>
      <c r="E1132" t="s">
        <v>82</v>
      </c>
      <c r="F1132" t="s">
        <v>73</v>
      </c>
      <c r="G1132" t="s">
        <v>74</v>
      </c>
      <c r="H1132" t="s">
        <v>129</v>
      </c>
      <c r="I1132" t="s">
        <v>84</v>
      </c>
      <c r="J1132" s="76">
        <f>'SUT_EU27 total'!$O$28</f>
        <v>1.4658301341380521E-2</v>
      </c>
    </row>
    <row r="1133" spans="1:10" x14ac:dyDescent="0.35">
      <c r="A1133" t="s">
        <v>18</v>
      </c>
      <c r="B1133" t="s">
        <v>37</v>
      </c>
      <c r="C1133" t="s">
        <v>73</v>
      </c>
      <c r="D1133" t="s">
        <v>81</v>
      </c>
      <c r="E1133" t="s">
        <v>86</v>
      </c>
      <c r="F1133" t="s">
        <v>73</v>
      </c>
      <c r="G1133" t="s">
        <v>74</v>
      </c>
      <c r="H1133" t="s">
        <v>129</v>
      </c>
      <c r="I1133" t="s">
        <v>84</v>
      </c>
      <c r="J1133" s="76">
        <f>'SUT_EU27 total'!$O$35</f>
        <v>3.0740776778828832E-3</v>
      </c>
    </row>
    <row r="1134" spans="1:10" x14ac:dyDescent="0.35">
      <c r="A1134" t="s">
        <v>18</v>
      </c>
      <c r="B1134" t="s">
        <v>37</v>
      </c>
      <c r="C1134" t="s">
        <v>88</v>
      </c>
      <c r="D1134" t="s">
        <v>81</v>
      </c>
      <c r="E1134" t="s">
        <v>82</v>
      </c>
      <c r="F1134" t="s">
        <v>73</v>
      </c>
      <c r="G1134" t="s">
        <v>74</v>
      </c>
      <c r="H1134" t="s">
        <v>129</v>
      </c>
      <c r="I1134" t="s">
        <v>84</v>
      </c>
      <c r="J1134" s="76">
        <f>'SUT_EU27 total'!$O$45</f>
        <v>9.2276548594747033E-3</v>
      </c>
    </row>
    <row r="1135" spans="1:10" x14ac:dyDescent="0.35">
      <c r="A1135" t="s">
        <v>18</v>
      </c>
      <c r="B1135" t="s">
        <v>37</v>
      </c>
      <c r="C1135" t="s">
        <v>88</v>
      </c>
      <c r="D1135" t="s">
        <v>81</v>
      </c>
      <c r="E1135" t="s">
        <v>86</v>
      </c>
      <c r="F1135" t="s">
        <v>73</v>
      </c>
      <c r="G1135" t="s">
        <v>74</v>
      </c>
      <c r="H1135" t="s">
        <v>129</v>
      </c>
      <c r="I1135" t="s">
        <v>84</v>
      </c>
      <c r="J1135" s="76">
        <f>'SUT_EU27 total'!$O$52</f>
        <v>6.9627451701437512E-2</v>
      </c>
    </row>
    <row r="1136" spans="1:10" x14ac:dyDescent="0.35">
      <c r="A1136" t="s">
        <v>18</v>
      </c>
      <c r="B1136" t="s">
        <v>37</v>
      </c>
      <c r="C1136" t="s">
        <v>90</v>
      </c>
      <c r="D1136" t="s">
        <v>81</v>
      </c>
      <c r="E1136" t="s">
        <v>82</v>
      </c>
      <c r="F1136" t="s">
        <v>73</v>
      </c>
      <c r="G1136" t="s">
        <v>74</v>
      </c>
      <c r="H1136" t="s">
        <v>129</v>
      </c>
      <c r="I1136" t="s">
        <v>84</v>
      </c>
      <c r="J1136" s="76">
        <f>'SUT_EU27 total'!$O$62</f>
        <v>2.2200107734217647E-6</v>
      </c>
    </row>
    <row r="1137" spans="1:10" x14ac:dyDescent="0.35">
      <c r="A1137" t="s">
        <v>18</v>
      </c>
      <c r="B1137" t="s">
        <v>37</v>
      </c>
      <c r="C1137" t="s">
        <v>90</v>
      </c>
      <c r="D1137" t="s">
        <v>81</v>
      </c>
      <c r="E1137" t="s">
        <v>86</v>
      </c>
      <c r="F1137" t="s">
        <v>73</v>
      </c>
      <c r="G1137" t="s">
        <v>74</v>
      </c>
      <c r="H1137" t="s">
        <v>129</v>
      </c>
      <c r="I1137" t="s">
        <v>84</v>
      </c>
      <c r="J1137" s="76">
        <f>'SUT_EU27 total'!$O$69</f>
        <v>9.1135123377023061E-3</v>
      </c>
    </row>
    <row r="1138" spans="1:10" x14ac:dyDescent="0.35">
      <c r="A1138" t="s">
        <v>18</v>
      </c>
      <c r="B1138" t="s">
        <v>37</v>
      </c>
      <c r="C1138" t="s">
        <v>91</v>
      </c>
      <c r="D1138" t="s">
        <v>81</v>
      </c>
      <c r="E1138" t="s">
        <v>82</v>
      </c>
      <c r="F1138" t="s">
        <v>73</v>
      </c>
      <c r="G1138" t="s">
        <v>74</v>
      </c>
      <c r="H1138" t="s">
        <v>129</v>
      </c>
      <c r="I1138" t="s">
        <v>84</v>
      </c>
      <c r="J1138" s="76">
        <f>'SUT_EU27 total'!$O$79</f>
        <v>4.3195382907628159E-4</v>
      </c>
    </row>
    <row r="1139" spans="1:10" x14ac:dyDescent="0.35">
      <c r="A1139" t="s">
        <v>18</v>
      </c>
      <c r="B1139" t="s">
        <v>37</v>
      </c>
      <c r="C1139" t="s">
        <v>91</v>
      </c>
      <c r="D1139" t="s">
        <v>81</v>
      </c>
      <c r="E1139" t="s">
        <v>86</v>
      </c>
      <c r="F1139" t="s">
        <v>73</v>
      </c>
      <c r="G1139" t="s">
        <v>74</v>
      </c>
      <c r="H1139" t="s">
        <v>129</v>
      </c>
      <c r="I1139" t="s">
        <v>84</v>
      </c>
      <c r="J1139" s="76">
        <f>'SUT_EU27 total'!$O$86</f>
        <v>1.1339568587203704E-2</v>
      </c>
    </row>
    <row r="1140" spans="1:10" x14ac:dyDescent="0.35">
      <c r="A1140" t="s">
        <v>18</v>
      </c>
      <c r="B1140" t="s">
        <v>37</v>
      </c>
      <c r="C1140" t="s">
        <v>92</v>
      </c>
      <c r="D1140" t="s">
        <v>81</v>
      </c>
      <c r="E1140" t="s">
        <v>82</v>
      </c>
      <c r="F1140" t="s">
        <v>73</v>
      </c>
      <c r="G1140" t="s">
        <v>74</v>
      </c>
      <c r="H1140" t="s">
        <v>129</v>
      </c>
      <c r="I1140" t="s">
        <v>84</v>
      </c>
      <c r="J1140" s="76">
        <f>'SUT_EU27 total'!$O$96</f>
        <v>5.9963902402539811E-4</v>
      </c>
    </row>
    <row r="1141" spans="1:10" x14ac:dyDescent="0.35">
      <c r="A1141" t="s">
        <v>18</v>
      </c>
      <c r="B1141" t="s">
        <v>37</v>
      </c>
      <c r="C1141" t="s">
        <v>92</v>
      </c>
      <c r="D1141" t="s">
        <v>81</v>
      </c>
      <c r="E1141" t="s">
        <v>86</v>
      </c>
      <c r="F1141" t="s">
        <v>73</v>
      </c>
      <c r="G1141" t="s">
        <v>74</v>
      </c>
      <c r="H1141" t="s">
        <v>129</v>
      </c>
      <c r="I1141" t="s">
        <v>84</v>
      </c>
      <c r="J1141" s="76">
        <f>'SUT_EU27 total'!$O$103</f>
        <v>7.0614092017150581E-3</v>
      </c>
    </row>
    <row r="1142" spans="1:10" x14ac:dyDescent="0.35">
      <c r="A1142" t="s">
        <v>18</v>
      </c>
      <c r="B1142" t="s">
        <v>37</v>
      </c>
      <c r="C1142" t="s">
        <v>93</v>
      </c>
      <c r="D1142" t="s">
        <v>81</v>
      </c>
      <c r="E1142" t="s">
        <v>82</v>
      </c>
      <c r="F1142" t="s">
        <v>73</v>
      </c>
      <c r="G1142" t="s">
        <v>74</v>
      </c>
      <c r="H1142" t="s">
        <v>129</v>
      </c>
      <c r="I1142" t="s">
        <v>84</v>
      </c>
      <c r="J1142" s="76">
        <f>'SUT_EU27 total'!$O$113</f>
        <v>2.4854239602480213E-3</v>
      </c>
    </row>
    <row r="1143" spans="1:10" x14ac:dyDescent="0.35">
      <c r="A1143" t="s">
        <v>18</v>
      </c>
      <c r="B1143" t="s">
        <v>37</v>
      </c>
      <c r="C1143" t="s">
        <v>93</v>
      </c>
      <c r="D1143" t="s">
        <v>81</v>
      </c>
      <c r="E1143" t="s">
        <v>86</v>
      </c>
      <c r="F1143" t="s">
        <v>73</v>
      </c>
      <c r="G1143" t="s">
        <v>74</v>
      </c>
      <c r="H1143" t="s">
        <v>129</v>
      </c>
      <c r="I1143" t="s">
        <v>84</v>
      </c>
      <c r="J1143" s="76">
        <f>'SUT_EU27 total'!$O$120</f>
        <v>3.1580644155014347E-2</v>
      </c>
    </row>
    <row r="1144" spans="1:10" x14ac:dyDescent="0.35">
      <c r="A1144" t="s">
        <v>18</v>
      </c>
      <c r="B1144" t="s">
        <v>37</v>
      </c>
      <c r="C1144" t="s">
        <v>73</v>
      </c>
      <c r="D1144" t="s">
        <v>81</v>
      </c>
      <c r="E1144" t="s">
        <v>82</v>
      </c>
      <c r="F1144" t="s">
        <v>73</v>
      </c>
      <c r="G1144" t="s">
        <v>74</v>
      </c>
      <c r="H1144" t="s">
        <v>130</v>
      </c>
      <c r="I1144" t="s">
        <v>84</v>
      </c>
      <c r="J1144" s="76">
        <f>'SUT_EU27 total'!$Q$28</f>
        <v>7.0611384178638645E-2</v>
      </c>
    </row>
    <row r="1145" spans="1:10" x14ac:dyDescent="0.35">
      <c r="A1145" t="s">
        <v>18</v>
      </c>
      <c r="B1145" t="s">
        <v>37</v>
      </c>
      <c r="C1145" t="s">
        <v>88</v>
      </c>
      <c r="D1145" t="s">
        <v>81</v>
      </c>
      <c r="E1145" t="s">
        <v>82</v>
      </c>
      <c r="F1145" t="s">
        <v>73</v>
      </c>
      <c r="G1145" t="s">
        <v>74</v>
      </c>
      <c r="H1145" t="s">
        <v>130</v>
      </c>
      <c r="I1145" t="s">
        <v>84</v>
      </c>
      <c r="J1145" s="76">
        <f>'SUT_EU27 total'!$Q$45</f>
        <v>4.4451090694311274E-2</v>
      </c>
    </row>
    <row r="1146" spans="1:10" x14ac:dyDescent="0.35">
      <c r="A1146" t="s">
        <v>18</v>
      </c>
      <c r="B1146" t="s">
        <v>37</v>
      </c>
      <c r="C1146" t="s">
        <v>90</v>
      </c>
      <c r="D1146" t="s">
        <v>81</v>
      </c>
      <c r="E1146" t="s">
        <v>82</v>
      </c>
      <c r="F1146" t="s">
        <v>73</v>
      </c>
      <c r="G1146" t="s">
        <v>74</v>
      </c>
      <c r="H1146" t="s">
        <v>130</v>
      </c>
      <c r="I1146" t="s">
        <v>84</v>
      </c>
      <c r="J1146" s="76">
        <f>'SUT_EU27 total'!$Q$62</f>
        <v>1.0694147292515508E-5</v>
      </c>
    </row>
    <row r="1147" spans="1:10" x14ac:dyDescent="0.35">
      <c r="A1147" t="s">
        <v>18</v>
      </c>
      <c r="B1147" t="s">
        <v>37</v>
      </c>
      <c r="C1147" t="s">
        <v>91</v>
      </c>
      <c r="D1147" t="s">
        <v>81</v>
      </c>
      <c r="E1147" t="s">
        <v>82</v>
      </c>
      <c r="F1147" t="s">
        <v>73</v>
      </c>
      <c r="G1147" t="s">
        <v>74</v>
      </c>
      <c r="H1147" t="s">
        <v>130</v>
      </c>
      <c r="I1147" t="s">
        <v>84</v>
      </c>
      <c r="J1147" s="76">
        <f>'SUT_EU27 total'!$Q$79</f>
        <v>2.0807907452574416E-3</v>
      </c>
    </row>
    <row r="1148" spans="1:10" x14ac:dyDescent="0.35">
      <c r="A1148" t="s">
        <v>18</v>
      </c>
      <c r="B1148" t="s">
        <v>37</v>
      </c>
      <c r="C1148" t="s">
        <v>92</v>
      </c>
      <c r="D1148" t="s">
        <v>81</v>
      </c>
      <c r="E1148" t="s">
        <v>82</v>
      </c>
      <c r="F1148" t="s">
        <v>73</v>
      </c>
      <c r="G1148" t="s">
        <v>74</v>
      </c>
      <c r="H1148" t="s">
        <v>130</v>
      </c>
      <c r="I1148" t="s">
        <v>84</v>
      </c>
      <c r="J1148" s="76">
        <f>'SUT_EU27 total'!$Q$96</f>
        <v>2.8885571737041122E-3</v>
      </c>
    </row>
    <row r="1149" spans="1:10" x14ac:dyDescent="0.35">
      <c r="A1149" t="s">
        <v>18</v>
      </c>
      <c r="B1149" t="s">
        <v>37</v>
      </c>
      <c r="C1149" t="s">
        <v>93</v>
      </c>
      <c r="D1149" t="s">
        <v>81</v>
      </c>
      <c r="E1149" t="s">
        <v>82</v>
      </c>
      <c r="F1149" t="s">
        <v>73</v>
      </c>
      <c r="G1149" t="s">
        <v>74</v>
      </c>
      <c r="H1149" t="s">
        <v>130</v>
      </c>
      <c r="I1149" t="s">
        <v>84</v>
      </c>
      <c r="J1149" s="76">
        <f>'SUT_EU27 total'!$Q$113</f>
        <v>1.1972685102906883E-2</v>
      </c>
    </row>
    <row r="1150" spans="1:10" x14ac:dyDescent="0.35">
      <c r="A1150" t="s">
        <v>18</v>
      </c>
      <c r="B1150" t="s">
        <v>37</v>
      </c>
      <c r="C1150" s="77" t="s">
        <v>73</v>
      </c>
      <c r="D1150" s="77" t="s">
        <v>81</v>
      </c>
      <c r="E1150" s="77" t="s">
        <v>96</v>
      </c>
      <c r="F1150" t="s">
        <v>73</v>
      </c>
      <c r="G1150" t="s">
        <v>74</v>
      </c>
      <c r="H1150" t="s">
        <v>130</v>
      </c>
      <c r="I1150" t="s">
        <v>84</v>
      </c>
      <c r="J1150" s="74" cm="1">
        <f t="array" ref="J1150:J1151">Sensitivity!J82:J83</f>
        <v>9.0622182146077552</v>
      </c>
    </row>
    <row r="1151" spans="1:10" x14ac:dyDescent="0.35">
      <c r="A1151" t="s">
        <v>18</v>
      </c>
      <c r="B1151" t="s">
        <v>37</v>
      </c>
      <c r="C1151" s="77" t="s">
        <v>73</v>
      </c>
      <c r="D1151" s="77" t="s">
        <v>81</v>
      </c>
      <c r="E1151" s="77" t="s">
        <v>99</v>
      </c>
      <c r="F1151" t="s">
        <v>73</v>
      </c>
      <c r="G1151" t="s">
        <v>74</v>
      </c>
      <c r="H1151" t="s">
        <v>130</v>
      </c>
      <c r="I1151" t="s">
        <v>84</v>
      </c>
      <c r="J1151" s="74">
        <v>0</v>
      </c>
    </row>
    <row r="1152" spans="1:10" x14ac:dyDescent="0.35">
      <c r="A1152" t="s">
        <v>18</v>
      </c>
      <c r="B1152" t="s">
        <v>37</v>
      </c>
      <c r="C1152" t="s">
        <v>73</v>
      </c>
      <c r="D1152" t="s">
        <v>81</v>
      </c>
      <c r="E1152" t="s">
        <v>131</v>
      </c>
      <c r="F1152" t="s">
        <v>73</v>
      </c>
      <c r="G1152" t="s">
        <v>74</v>
      </c>
      <c r="H1152" t="s">
        <v>112</v>
      </c>
      <c r="I1152" t="s">
        <v>84</v>
      </c>
      <c r="J1152" s="76">
        <f>'SUT_EU27 total'!$R$24</f>
        <v>4.0146105919003111E-8</v>
      </c>
    </row>
    <row r="1153" spans="1:10" x14ac:dyDescent="0.35">
      <c r="A1153" t="s">
        <v>18</v>
      </c>
      <c r="B1153" t="s">
        <v>37</v>
      </c>
      <c r="C1153" t="s">
        <v>73</v>
      </c>
      <c r="D1153" t="s">
        <v>81</v>
      </c>
      <c r="E1153" t="s">
        <v>122</v>
      </c>
      <c r="F1153" t="s">
        <v>73</v>
      </c>
      <c r="G1153" t="s">
        <v>74</v>
      </c>
      <c r="H1153" t="s">
        <v>112</v>
      </c>
      <c r="I1153" t="s">
        <v>84</v>
      </c>
      <c r="J1153" s="76">
        <f>'SUT_EU27 total'!$R$30</f>
        <v>3.9708116569218732E-4</v>
      </c>
    </row>
    <row r="1154" spans="1:10" x14ac:dyDescent="0.35">
      <c r="A1154" t="s">
        <v>18</v>
      </c>
      <c r="B1154" t="s">
        <v>37</v>
      </c>
      <c r="C1154" t="s">
        <v>73</v>
      </c>
      <c r="D1154" t="s">
        <v>81</v>
      </c>
      <c r="E1154" t="s">
        <v>101</v>
      </c>
      <c r="F1154" t="s">
        <v>73</v>
      </c>
      <c r="G1154" t="s">
        <v>74</v>
      </c>
      <c r="H1154" t="s">
        <v>112</v>
      </c>
      <c r="I1154" t="s">
        <v>84</v>
      </c>
      <c r="J1154" s="76" cm="1">
        <f t="array" ref="J1154:J1156">'SUT_EU27 total'!$R$32:$R$34</f>
        <v>1.2183459827918709E-7</v>
      </c>
    </row>
    <row r="1155" spans="1:10" x14ac:dyDescent="0.35">
      <c r="A1155" t="s">
        <v>18</v>
      </c>
      <c r="B1155" t="s">
        <v>37</v>
      </c>
      <c r="C1155" t="s">
        <v>73</v>
      </c>
      <c r="D1155" t="s">
        <v>81</v>
      </c>
      <c r="E1155" t="s">
        <v>104</v>
      </c>
      <c r="F1155" t="s">
        <v>73</v>
      </c>
      <c r="G1155" t="s">
        <v>74</v>
      </c>
      <c r="H1155" t="s">
        <v>112</v>
      </c>
      <c r="I1155" t="s">
        <v>84</v>
      </c>
      <c r="J1155" s="4">
        <v>2.3068290654205609E-7</v>
      </c>
    </row>
    <row r="1156" spans="1:10" x14ac:dyDescent="0.35">
      <c r="A1156" t="s">
        <v>18</v>
      </c>
      <c r="B1156" t="s">
        <v>37</v>
      </c>
      <c r="C1156" t="s">
        <v>73</v>
      </c>
      <c r="D1156" t="s">
        <v>81</v>
      </c>
      <c r="E1156" t="s">
        <v>106</v>
      </c>
      <c r="F1156" t="s">
        <v>73</v>
      </c>
      <c r="G1156" t="s">
        <v>74</v>
      </c>
      <c r="H1156" t="s">
        <v>112</v>
      </c>
      <c r="I1156" t="s">
        <v>84</v>
      </c>
      <c r="J1156" s="4">
        <v>7.8463573653760568E-7</v>
      </c>
    </row>
    <row r="1157" spans="1:10" x14ac:dyDescent="0.35">
      <c r="A1157" t="s">
        <v>18</v>
      </c>
      <c r="B1157" t="s">
        <v>37</v>
      </c>
      <c r="C1157" t="s">
        <v>88</v>
      </c>
      <c r="D1157" t="s">
        <v>81</v>
      </c>
      <c r="E1157" t="s">
        <v>131</v>
      </c>
      <c r="F1157" t="s">
        <v>73</v>
      </c>
      <c r="G1157" t="s">
        <v>74</v>
      </c>
      <c r="H1157" t="s">
        <v>112</v>
      </c>
      <c r="I1157" t="s">
        <v>84</v>
      </c>
      <c r="J1157" s="4">
        <f>'SUT_EU27 total'!$R$41</f>
        <v>0</v>
      </c>
    </row>
    <row r="1158" spans="1:10" x14ac:dyDescent="0.35">
      <c r="A1158" t="s">
        <v>18</v>
      </c>
      <c r="B1158" t="s">
        <v>37</v>
      </c>
      <c r="C1158" t="s">
        <v>88</v>
      </c>
      <c r="D1158" t="s">
        <v>81</v>
      </c>
      <c r="E1158" t="s">
        <v>122</v>
      </c>
      <c r="F1158" t="s">
        <v>73</v>
      </c>
      <c r="G1158" t="s">
        <v>74</v>
      </c>
      <c r="H1158" t="s">
        <v>112</v>
      </c>
      <c r="I1158" t="s">
        <v>84</v>
      </c>
      <c r="J1158" s="76">
        <f>'SUT_EU27 total'!$R$47</f>
        <v>0</v>
      </c>
    </row>
    <row r="1159" spans="1:10" x14ac:dyDescent="0.35">
      <c r="A1159" t="s">
        <v>18</v>
      </c>
      <c r="B1159" t="s">
        <v>37</v>
      </c>
      <c r="C1159" t="s">
        <v>88</v>
      </c>
      <c r="D1159" t="s">
        <v>81</v>
      </c>
      <c r="E1159" t="s">
        <v>101</v>
      </c>
      <c r="F1159" t="s">
        <v>73</v>
      </c>
      <c r="G1159" t="s">
        <v>74</v>
      </c>
      <c r="H1159" t="s">
        <v>112</v>
      </c>
      <c r="I1159" t="s">
        <v>84</v>
      </c>
      <c r="J1159" s="4" cm="1">
        <f t="array" ref="J1159:J1161">'SUT_EU27 total'!$R$49:$R$51</f>
        <v>0</v>
      </c>
    </row>
    <row r="1160" spans="1:10" x14ac:dyDescent="0.35">
      <c r="A1160" t="s">
        <v>18</v>
      </c>
      <c r="B1160" t="s">
        <v>37</v>
      </c>
      <c r="C1160" t="s">
        <v>88</v>
      </c>
      <c r="D1160" t="s">
        <v>81</v>
      </c>
      <c r="E1160" t="s">
        <v>104</v>
      </c>
      <c r="F1160" t="s">
        <v>73</v>
      </c>
      <c r="G1160" t="s">
        <v>74</v>
      </c>
      <c r="H1160" t="s">
        <v>112</v>
      </c>
      <c r="I1160" t="s">
        <v>84</v>
      </c>
      <c r="J1160" s="4">
        <v>0</v>
      </c>
    </row>
    <row r="1161" spans="1:10" x14ac:dyDescent="0.35">
      <c r="A1161" t="s">
        <v>18</v>
      </c>
      <c r="B1161" t="s">
        <v>37</v>
      </c>
      <c r="C1161" t="s">
        <v>88</v>
      </c>
      <c r="D1161" t="s">
        <v>81</v>
      </c>
      <c r="E1161" t="s">
        <v>106</v>
      </c>
      <c r="F1161" t="s">
        <v>73</v>
      </c>
      <c r="G1161" t="s">
        <v>74</v>
      </c>
      <c r="H1161" t="s">
        <v>112</v>
      </c>
      <c r="I1161" t="s">
        <v>84</v>
      </c>
      <c r="J1161" s="4">
        <v>0</v>
      </c>
    </row>
    <row r="1162" spans="1:10" x14ac:dyDescent="0.35">
      <c r="A1162" t="s">
        <v>18</v>
      </c>
      <c r="B1162" t="s">
        <v>37</v>
      </c>
      <c r="C1162" t="s">
        <v>90</v>
      </c>
      <c r="D1162" t="s">
        <v>81</v>
      </c>
      <c r="E1162" t="s">
        <v>131</v>
      </c>
      <c r="F1162" t="s">
        <v>73</v>
      </c>
      <c r="G1162" t="s">
        <v>74</v>
      </c>
      <c r="H1162" t="s">
        <v>112</v>
      </c>
      <c r="I1162" t="s">
        <v>84</v>
      </c>
      <c r="J1162" s="4">
        <f>'SUT_EU27 total'!$R$58</f>
        <v>0</v>
      </c>
    </row>
    <row r="1163" spans="1:10" x14ac:dyDescent="0.35">
      <c r="A1163" t="s">
        <v>18</v>
      </c>
      <c r="B1163" t="s">
        <v>37</v>
      </c>
      <c r="C1163" t="s">
        <v>90</v>
      </c>
      <c r="D1163" t="s">
        <v>81</v>
      </c>
      <c r="E1163" t="s">
        <v>122</v>
      </c>
      <c r="F1163" t="s">
        <v>73</v>
      </c>
      <c r="G1163" t="s">
        <v>74</v>
      </c>
      <c r="H1163" t="s">
        <v>112</v>
      </c>
      <c r="I1163" t="s">
        <v>84</v>
      </c>
      <c r="J1163" s="76">
        <f>'SUT_EU27 total'!$R$64</f>
        <v>6.4108466461028498E-4</v>
      </c>
    </row>
    <row r="1164" spans="1:10" x14ac:dyDescent="0.35">
      <c r="A1164" t="s">
        <v>18</v>
      </c>
      <c r="B1164" t="s">
        <v>37</v>
      </c>
      <c r="C1164" t="s">
        <v>90</v>
      </c>
      <c r="D1164" t="s">
        <v>81</v>
      </c>
      <c r="E1164" t="s">
        <v>101</v>
      </c>
      <c r="F1164" t="s">
        <v>73</v>
      </c>
      <c r="G1164" t="s">
        <v>74</v>
      </c>
      <c r="H1164" t="s">
        <v>112</v>
      </c>
      <c r="I1164" t="s">
        <v>84</v>
      </c>
      <c r="J1164" s="4" cm="1">
        <f t="array" ref="J1164:J1166">'SUT_EU27 total'!$R$66:$R$68</f>
        <v>0</v>
      </c>
    </row>
    <row r="1165" spans="1:10" x14ac:dyDescent="0.35">
      <c r="A1165" t="s">
        <v>18</v>
      </c>
      <c r="B1165" t="s">
        <v>37</v>
      </c>
      <c r="C1165" t="s">
        <v>90</v>
      </c>
      <c r="D1165" t="s">
        <v>81</v>
      </c>
      <c r="E1165" t="s">
        <v>104</v>
      </c>
      <c r="F1165" t="s">
        <v>73</v>
      </c>
      <c r="G1165" t="s">
        <v>74</v>
      </c>
      <c r="H1165" t="s">
        <v>112</v>
      </c>
      <c r="I1165" t="s">
        <v>84</v>
      </c>
      <c r="J1165" s="4">
        <v>0</v>
      </c>
    </row>
    <row r="1166" spans="1:10" x14ac:dyDescent="0.35">
      <c r="A1166" t="s">
        <v>18</v>
      </c>
      <c r="B1166" t="s">
        <v>37</v>
      </c>
      <c r="C1166" t="s">
        <v>90</v>
      </c>
      <c r="D1166" t="s">
        <v>81</v>
      </c>
      <c r="E1166" t="s">
        <v>106</v>
      </c>
      <c r="F1166" t="s">
        <v>73</v>
      </c>
      <c r="G1166" t="s">
        <v>74</v>
      </c>
      <c r="H1166" t="s">
        <v>112</v>
      </c>
      <c r="I1166" t="s">
        <v>84</v>
      </c>
      <c r="J1166" s="4">
        <v>0</v>
      </c>
    </row>
    <row r="1167" spans="1:10" x14ac:dyDescent="0.35">
      <c r="A1167" t="s">
        <v>18</v>
      </c>
      <c r="B1167" t="s">
        <v>37</v>
      </c>
      <c r="C1167" t="s">
        <v>91</v>
      </c>
      <c r="D1167" t="s">
        <v>81</v>
      </c>
      <c r="E1167" t="s">
        <v>131</v>
      </c>
      <c r="F1167" t="s">
        <v>73</v>
      </c>
      <c r="G1167" t="s">
        <v>74</v>
      </c>
      <c r="H1167" t="s">
        <v>112</v>
      </c>
      <c r="I1167" t="s">
        <v>84</v>
      </c>
      <c r="J1167" s="4">
        <f>'SUT_EU27 total'!$R$75</f>
        <v>0</v>
      </c>
    </row>
    <row r="1168" spans="1:10" x14ac:dyDescent="0.35">
      <c r="A1168" t="s">
        <v>18</v>
      </c>
      <c r="B1168" t="s">
        <v>37</v>
      </c>
      <c r="C1168" t="s">
        <v>91</v>
      </c>
      <c r="D1168" t="s">
        <v>81</v>
      </c>
      <c r="E1168" t="s">
        <v>122</v>
      </c>
      <c r="F1168" t="s">
        <v>73</v>
      </c>
      <c r="G1168" t="s">
        <v>74</v>
      </c>
      <c r="H1168" t="s">
        <v>112</v>
      </c>
      <c r="I1168" t="s">
        <v>84</v>
      </c>
      <c r="J1168" s="76">
        <f>'SUT_EU27 total'!$R$81</f>
        <v>0</v>
      </c>
    </row>
    <row r="1169" spans="1:10" x14ac:dyDescent="0.35">
      <c r="A1169" t="s">
        <v>18</v>
      </c>
      <c r="B1169" t="s">
        <v>37</v>
      </c>
      <c r="C1169" t="s">
        <v>91</v>
      </c>
      <c r="D1169" t="s">
        <v>81</v>
      </c>
      <c r="E1169" t="s">
        <v>101</v>
      </c>
      <c r="F1169" t="s">
        <v>73</v>
      </c>
      <c r="G1169" t="s">
        <v>74</v>
      </c>
      <c r="H1169" t="s">
        <v>112</v>
      </c>
      <c r="I1169" t="s">
        <v>84</v>
      </c>
      <c r="J1169" s="4" cm="1">
        <f t="array" ref="J1169:J1171">'SUT_EU27 total'!$R$83:$R$85</f>
        <v>0</v>
      </c>
    </row>
    <row r="1170" spans="1:10" x14ac:dyDescent="0.35">
      <c r="A1170" t="s">
        <v>18</v>
      </c>
      <c r="B1170" t="s">
        <v>37</v>
      </c>
      <c r="C1170" t="s">
        <v>91</v>
      </c>
      <c r="D1170" t="s">
        <v>81</v>
      </c>
      <c r="E1170" t="s">
        <v>104</v>
      </c>
      <c r="F1170" t="s">
        <v>73</v>
      </c>
      <c r="G1170" t="s">
        <v>74</v>
      </c>
      <c r="H1170" t="s">
        <v>112</v>
      </c>
      <c r="I1170" t="s">
        <v>84</v>
      </c>
      <c r="J1170" s="4">
        <v>0</v>
      </c>
    </row>
    <row r="1171" spans="1:10" x14ac:dyDescent="0.35">
      <c r="A1171" t="s">
        <v>18</v>
      </c>
      <c r="B1171" t="s">
        <v>37</v>
      </c>
      <c r="C1171" t="s">
        <v>91</v>
      </c>
      <c r="D1171" t="s">
        <v>81</v>
      </c>
      <c r="E1171" t="s">
        <v>106</v>
      </c>
      <c r="F1171" t="s">
        <v>73</v>
      </c>
      <c r="G1171" t="s">
        <v>74</v>
      </c>
      <c r="H1171" t="s">
        <v>112</v>
      </c>
      <c r="I1171" t="s">
        <v>84</v>
      </c>
      <c r="J1171" s="4">
        <v>0</v>
      </c>
    </row>
    <row r="1172" spans="1:10" x14ac:dyDescent="0.35">
      <c r="A1172" t="s">
        <v>18</v>
      </c>
      <c r="B1172" t="s">
        <v>37</v>
      </c>
      <c r="C1172" t="s">
        <v>92</v>
      </c>
      <c r="D1172" t="s">
        <v>81</v>
      </c>
      <c r="E1172" t="s">
        <v>131</v>
      </c>
      <c r="F1172" t="s">
        <v>73</v>
      </c>
      <c r="G1172" t="s">
        <v>74</v>
      </c>
      <c r="H1172" t="s">
        <v>112</v>
      </c>
      <c r="I1172" t="s">
        <v>84</v>
      </c>
      <c r="J1172" s="4">
        <f>'SUT_EU27 total'!$R$92</f>
        <v>0</v>
      </c>
    </row>
    <row r="1173" spans="1:10" x14ac:dyDescent="0.35">
      <c r="A1173" t="s">
        <v>18</v>
      </c>
      <c r="B1173" t="s">
        <v>37</v>
      </c>
      <c r="C1173" t="s">
        <v>92</v>
      </c>
      <c r="D1173" t="s">
        <v>81</v>
      </c>
      <c r="E1173" t="s">
        <v>122</v>
      </c>
      <c r="F1173" t="s">
        <v>73</v>
      </c>
      <c r="G1173" t="s">
        <v>74</v>
      </c>
      <c r="H1173" t="s">
        <v>112</v>
      </c>
      <c r="I1173" t="s">
        <v>84</v>
      </c>
      <c r="J1173" s="76">
        <f>'SUT_EU27 total'!$R$98</f>
        <v>0</v>
      </c>
    </row>
    <row r="1174" spans="1:10" x14ac:dyDescent="0.35">
      <c r="A1174" t="s">
        <v>18</v>
      </c>
      <c r="B1174" t="s">
        <v>37</v>
      </c>
      <c r="C1174" t="s">
        <v>92</v>
      </c>
      <c r="D1174" t="s">
        <v>81</v>
      </c>
      <c r="E1174" t="s">
        <v>101</v>
      </c>
      <c r="F1174" t="s">
        <v>73</v>
      </c>
      <c r="G1174" t="s">
        <v>74</v>
      </c>
      <c r="H1174" t="s">
        <v>112</v>
      </c>
      <c r="I1174" t="s">
        <v>84</v>
      </c>
      <c r="J1174" s="4" cm="1">
        <f t="array" ref="J1174:J1176">'SUT_EU27 total'!$R$100:$R$102</f>
        <v>0</v>
      </c>
    </row>
    <row r="1175" spans="1:10" x14ac:dyDescent="0.35">
      <c r="A1175" t="s">
        <v>18</v>
      </c>
      <c r="B1175" t="s">
        <v>37</v>
      </c>
      <c r="C1175" t="s">
        <v>92</v>
      </c>
      <c r="D1175" t="s">
        <v>81</v>
      </c>
      <c r="E1175" t="s">
        <v>104</v>
      </c>
      <c r="F1175" t="s">
        <v>73</v>
      </c>
      <c r="G1175" t="s">
        <v>74</v>
      </c>
      <c r="H1175" t="s">
        <v>112</v>
      </c>
      <c r="I1175" t="s">
        <v>84</v>
      </c>
      <c r="J1175" s="4">
        <v>0</v>
      </c>
    </row>
    <row r="1176" spans="1:10" x14ac:dyDescent="0.35">
      <c r="A1176" t="s">
        <v>18</v>
      </c>
      <c r="B1176" t="s">
        <v>37</v>
      </c>
      <c r="C1176" t="s">
        <v>92</v>
      </c>
      <c r="D1176" t="s">
        <v>81</v>
      </c>
      <c r="E1176" t="s">
        <v>106</v>
      </c>
      <c r="F1176" t="s">
        <v>73</v>
      </c>
      <c r="G1176" t="s">
        <v>74</v>
      </c>
      <c r="H1176" t="s">
        <v>112</v>
      </c>
      <c r="I1176" t="s">
        <v>84</v>
      </c>
      <c r="J1176" s="4">
        <v>0</v>
      </c>
    </row>
    <row r="1177" spans="1:10" x14ac:dyDescent="0.35">
      <c r="A1177" t="s">
        <v>18</v>
      </c>
      <c r="B1177" t="s">
        <v>37</v>
      </c>
      <c r="C1177" t="s">
        <v>93</v>
      </c>
      <c r="D1177" t="s">
        <v>81</v>
      </c>
      <c r="E1177" t="s">
        <v>131</v>
      </c>
      <c r="F1177" t="s">
        <v>73</v>
      </c>
      <c r="G1177" t="s">
        <v>74</v>
      </c>
      <c r="H1177" t="s">
        <v>112</v>
      </c>
      <c r="I1177" t="s">
        <v>84</v>
      </c>
      <c r="J1177" s="4">
        <f>'SUT_EU27 total'!$R$109</f>
        <v>0</v>
      </c>
    </row>
    <row r="1178" spans="1:10" x14ac:dyDescent="0.35">
      <c r="A1178" t="s">
        <v>18</v>
      </c>
      <c r="B1178" t="s">
        <v>37</v>
      </c>
      <c r="C1178" t="s">
        <v>93</v>
      </c>
      <c r="D1178" t="s">
        <v>81</v>
      </c>
      <c r="E1178" t="s">
        <v>122</v>
      </c>
      <c r="F1178" t="s">
        <v>73</v>
      </c>
      <c r="G1178" t="s">
        <v>74</v>
      </c>
      <c r="H1178" t="s">
        <v>112</v>
      </c>
      <c r="I1178" t="s">
        <v>84</v>
      </c>
      <c r="J1178" s="76">
        <f>'SUT_EU27 total'!$R$115</f>
        <v>2.188358424259166E-3</v>
      </c>
    </row>
    <row r="1179" spans="1:10" x14ac:dyDescent="0.35">
      <c r="A1179" t="s">
        <v>18</v>
      </c>
      <c r="B1179" t="s">
        <v>37</v>
      </c>
      <c r="C1179" t="s">
        <v>93</v>
      </c>
      <c r="D1179" t="s">
        <v>81</v>
      </c>
      <c r="E1179" t="s">
        <v>101</v>
      </c>
      <c r="F1179" t="s">
        <v>73</v>
      </c>
      <c r="G1179" t="s">
        <v>74</v>
      </c>
      <c r="H1179" t="s">
        <v>112</v>
      </c>
      <c r="I1179" t="s">
        <v>84</v>
      </c>
      <c r="J1179" s="4" cm="1">
        <f t="array" ref="J1179:J1181">'SUT_EU27 total'!$R$117:$R$119</f>
        <v>0</v>
      </c>
    </row>
    <row r="1180" spans="1:10" x14ac:dyDescent="0.35">
      <c r="A1180" t="s">
        <v>18</v>
      </c>
      <c r="B1180" t="s">
        <v>37</v>
      </c>
      <c r="C1180" t="s">
        <v>93</v>
      </c>
      <c r="D1180" t="s">
        <v>81</v>
      </c>
      <c r="E1180" t="s">
        <v>104</v>
      </c>
      <c r="F1180" t="s">
        <v>73</v>
      </c>
      <c r="G1180" t="s">
        <v>74</v>
      </c>
      <c r="H1180" t="s">
        <v>112</v>
      </c>
      <c r="I1180" t="s">
        <v>84</v>
      </c>
      <c r="J1180" s="4">
        <v>0</v>
      </c>
    </row>
    <row r="1181" spans="1:10" x14ac:dyDescent="0.35">
      <c r="A1181" t="s">
        <v>18</v>
      </c>
      <c r="B1181" t="s">
        <v>37</v>
      </c>
      <c r="C1181" t="s">
        <v>93</v>
      </c>
      <c r="D1181" t="s">
        <v>81</v>
      </c>
      <c r="E1181" t="s">
        <v>106</v>
      </c>
      <c r="F1181" t="s">
        <v>73</v>
      </c>
      <c r="G1181" t="s">
        <v>74</v>
      </c>
      <c r="H1181" t="s">
        <v>112</v>
      </c>
      <c r="I1181" t="s">
        <v>84</v>
      </c>
      <c r="J1181" s="4">
        <v>0</v>
      </c>
    </row>
    <row r="1182" spans="1:10" x14ac:dyDescent="0.35">
      <c r="A1182" t="s">
        <v>18</v>
      </c>
      <c r="B1182" t="s">
        <v>37</v>
      </c>
      <c r="C1182" t="s">
        <v>73</v>
      </c>
      <c r="D1182" t="s">
        <v>81</v>
      </c>
      <c r="E1182" t="s">
        <v>131</v>
      </c>
      <c r="F1182" t="s">
        <v>73</v>
      </c>
      <c r="G1182" t="s">
        <v>74</v>
      </c>
      <c r="H1182" t="s">
        <v>113</v>
      </c>
      <c r="I1182" t="s">
        <v>84</v>
      </c>
      <c r="J1182" s="76">
        <f>'SUT_EU27 total'!$S$24</f>
        <v>5.0294789999999994E-8</v>
      </c>
    </row>
    <row r="1183" spans="1:10" x14ac:dyDescent="0.35">
      <c r="A1183" t="s">
        <v>18</v>
      </c>
      <c r="B1183" t="s">
        <v>37</v>
      </c>
      <c r="C1183" t="s">
        <v>73</v>
      </c>
      <c r="D1183" t="s">
        <v>81</v>
      </c>
      <c r="E1183" t="s">
        <v>101</v>
      </c>
      <c r="F1183" t="s">
        <v>73</v>
      </c>
      <c r="G1183" t="s">
        <v>74</v>
      </c>
      <c r="H1183" t="s">
        <v>113</v>
      </c>
      <c r="I1183" t="s">
        <v>84</v>
      </c>
      <c r="J1183" s="76" cm="1">
        <f t="array" ref="J1183:J1185">'SUT_EU27 total'!$S$32:$S$34</f>
        <v>1.7883556705882356E-5</v>
      </c>
    </row>
    <row r="1184" spans="1:10" x14ac:dyDescent="0.35">
      <c r="A1184" t="s">
        <v>18</v>
      </c>
      <c r="B1184" t="s">
        <v>37</v>
      </c>
      <c r="C1184" t="s">
        <v>73</v>
      </c>
      <c r="D1184" t="s">
        <v>81</v>
      </c>
      <c r="E1184" t="s">
        <v>104</v>
      </c>
      <c r="F1184" t="s">
        <v>73</v>
      </c>
      <c r="G1184" t="s">
        <v>74</v>
      </c>
      <c r="H1184" t="s">
        <v>113</v>
      </c>
      <c r="I1184" t="s">
        <v>84</v>
      </c>
      <c r="J1184" s="4">
        <v>3.3860913882352942E-5</v>
      </c>
    </row>
    <row r="1185" spans="1:10" x14ac:dyDescent="0.35">
      <c r="A1185" t="s">
        <v>18</v>
      </c>
      <c r="B1185" t="s">
        <v>37</v>
      </c>
      <c r="C1185" t="s">
        <v>73</v>
      </c>
      <c r="D1185" t="s">
        <v>81</v>
      </c>
      <c r="E1185" t="s">
        <v>106</v>
      </c>
      <c r="F1185" t="s">
        <v>73</v>
      </c>
      <c r="G1185" t="s">
        <v>74</v>
      </c>
      <c r="H1185" t="s">
        <v>113</v>
      </c>
      <c r="I1185" t="s">
        <v>84</v>
      </c>
      <c r="J1185" s="4">
        <v>1.1517317647058823E-4</v>
      </c>
    </row>
    <row r="1186" spans="1:10" x14ac:dyDescent="0.35">
      <c r="A1186" t="s">
        <v>18</v>
      </c>
      <c r="B1186" t="s">
        <v>37</v>
      </c>
      <c r="C1186" t="s">
        <v>88</v>
      </c>
      <c r="D1186" t="s">
        <v>81</v>
      </c>
      <c r="E1186" t="s">
        <v>131</v>
      </c>
      <c r="F1186" t="s">
        <v>73</v>
      </c>
      <c r="G1186" t="s">
        <v>74</v>
      </c>
      <c r="H1186" t="s">
        <v>113</v>
      </c>
      <c r="I1186" t="s">
        <v>84</v>
      </c>
      <c r="J1186" s="4">
        <f>'SUT_EU27 total'!$S$41</f>
        <v>0</v>
      </c>
    </row>
    <row r="1187" spans="1:10" x14ac:dyDescent="0.35">
      <c r="A1187" t="s">
        <v>18</v>
      </c>
      <c r="B1187" t="s">
        <v>37</v>
      </c>
      <c r="C1187" t="s">
        <v>88</v>
      </c>
      <c r="D1187" t="s">
        <v>81</v>
      </c>
      <c r="E1187" t="s">
        <v>101</v>
      </c>
      <c r="F1187" t="s">
        <v>73</v>
      </c>
      <c r="G1187" t="s">
        <v>74</v>
      </c>
      <c r="H1187" t="s">
        <v>113</v>
      </c>
      <c r="I1187" t="s">
        <v>84</v>
      </c>
      <c r="J1187" s="4" cm="1">
        <f t="array" ref="J1187:J1189">'SUT_EU27 total'!$S$49:$S$51</f>
        <v>0</v>
      </c>
    </row>
    <row r="1188" spans="1:10" x14ac:dyDescent="0.35">
      <c r="A1188" t="s">
        <v>18</v>
      </c>
      <c r="B1188" t="s">
        <v>37</v>
      </c>
      <c r="C1188" t="s">
        <v>88</v>
      </c>
      <c r="D1188" t="s">
        <v>81</v>
      </c>
      <c r="E1188" t="s">
        <v>104</v>
      </c>
      <c r="F1188" t="s">
        <v>73</v>
      </c>
      <c r="G1188" t="s">
        <v>74</v>
      </c>
      <c r="H1188" t="s">
        <v>113</v>
      </c>
      <c r="I1188" t="s">
        <v>84</v>
      </c>
      <c r="J1188" s="4">
        <v>0</v>
      </c>
    </row>
    <row r="1189" spans="1:10" x14ac:dyDescent="0.35">
      <c r="A1189" t="s">
        <v>18</v>
      </c>
      <c r="B1189" t="s">
        <v>37</v>
      </c>
      <c r="C1189" t="s">
        <v>88</v>
      </c>
      <c r="D1189" t="s">
        <v>81</v>
      </c>
      <c r="E1189" t="s">
        <v>106</v>
      </c>
      <c r="F1189" t="s">
        <v>73</v>
      </c>
      <c r="G1189" t="s">
        <v>74</v>
      </c>
      <c r="H1189" t="s">
        <v>113</v>
      </c>
      <c r="I1189" t="s">
        <v>84</v>
      </c>
      <c r="J1189" s="4">
        <v>0</v>
      </c>
    </row>
    <row r="1190" spans="1:10" x14ac:dyDescent="0.35">
      <c r="A1190" t="s">
        <v>18</v>
      </c>
      <c r="B1190" t="s">
        <v>37</v>
      </c>
      <c r="C1190" t="s">
        <v>90</v>
      </c>
      <c r="D1190" t="s">
        <v>81</v>
      </c>
      <c r="E1190" t="s">
        <v>131</v>
      </c>
      <c r="F1190" t="s">
        <v>73</v>
      </c>
      <c r="G1190" t="s">
        <v>74</v>
      </c>
      <c r="H1190" t="s">
        <v>113</v>
      </c>
      <c r="I1190" t="s">
        <v>84</v>
      </c>
      <c r="J1190" s="4">
        <f>'SUT_EU27 total'!$S$58</f>
        <v>0</v>
      </c>
    </row>
    <row r="1191" spans="1:10" x14ac:dyDescent="0.35">
      <c r="A1191" t="s">
        <v>18</v>
      </c>
      <c r="B1191" t="s">
        <v>37</v>
      </c>
      <c r="C1191" t="s">
        <v>90</v>
      </c>
      <c r="D1191" t="s">
        <v>81</v>
      </c>
      <c r="E1191" t="s">
        <v>101</v>
      </c>
      <c r="F1191" t="s">
        <v>73</v>
      </c>
      <c r="G1191" t="s">
        <v>74</v>
      </c>
      <c r="H1191" t="s">
        <v>113</v>
      </c>
      <c r="I1191" t="s">
        <v>84</v>
      </c>
      <c r="J1191" s="4" cm="1">
        <f t="array" ref="J1191:J1193">'SUT_EU27 total'!$S$66:$S$68</f>
        <v>0</v>
      </c>
    </row>
    <row r="1192" spans="1:10" x14ac:dyDescent="0.35">
      <c r="A1192" t="s">
        <v>18</v>
      </c>
      <c r="B1192" t="s">
        <v>37</v>
      </c>
      <c r="C1192" t="s">
        <v>90</v>
      </c>
      <c r="D1192" t="s">
        <v>81</v>
      </c>
      <c r="E1192" t="s">
        <v>104</v>
      </c>
      <c r="F1192" t="s">
        <v>73</v>
      </c>
      <c r="G1192" t="s">
        <v>74</v>
      </c>
      <c r="H1192" t="s">
        <v>113</v>
      </c>
      <c r="I1192" t="s">
        <v>84</v>
      </c>
      <c r="J1192" s="4">
        <v>0</v>
      </c>
    </row>
    <row r="1193" spans="1:10" x14ac:dyDescent="0.35">
      <c r="A1193" t="s">
        <v>18</v>
      </c>
      <c r="B1193" t="s">
        <v>37</v>
      </c>
      <c r="C1193" t="s">
        <v>90</v>
      </c>
      <c r="D1193" t="s">
        <v>81</v>
      </c>
      <c r="E1193" t="s">
        <v>106</v>
      </c>
      <c r="F1193" t="s">
        <v>73</v>
      </c>
      <c r="G1193" t="s">
        <v>74</v>
      </c>
      <c r="H1193" t="s">
        <v>113</v>
      </c>
      <c r="I1193" t="s">
        <v>84</v>
      </c>
      <c r="J1193" s="4">
        <v>0</v>
      </c>
    </row>
    <row r="1194" spans="1:10" x14ac:dyDescent="0.35">
      <c r="A1194" t="s">
        <v>18</v>
      </c>
      <c r="B1194" t="s">
        <v>37</v>
      </c>
      <c r="C1194" t="s">
        <v>91</v>
      </c>
      <c r="D1194" t="s">
        <v>81</v>
      </c>
      <c r="E1194" t="s">
        <v>131</v>
      </c>
      <c r="F1194" t="s">
        <v>73</v>
      </c>
      <c r="G1194" t="s">
        <v>74</v>
      </c>
      <c r="H1194" t="s">
        <v>113</v>
      </c>
      <c r="I1194" t="s">
        <v>84</v>
      </c>
      <c r="J1194" s="4">
        <f>'SUT_EU27 total'!$S$75</f>
        <v>0</v>
      </c>
    </row>
    <row r="1195" spans="1:10" x14ac:dyDescent="0.35">
      <c r="A1195" t="s">
        <v>18</v>
      </c>
      <c r="B1195" t="s">
        <v>37</v>
      </c>
      <c r="C1195" t="s">
        <v>91</v>
      </c>
      <c r="D1195" t="s">
        <v>81</v>
      </c>
      <c r="E1195" t="s">
        <v>101</v>
      </c>
      <c r="F1195" t="s">
        <v>73</v>
      </c>
      <c r="G1195" t="s">
        <v>74</v>
      </c>
      <c r="H1195" t="s">
        <v>113</v>
      </c>
      <c r="I1195" t="s">
        <v>84</v>
      </c>
      <c r="J1195" s="4" cm="1">
        <f t="array" ref="J1195:J1197">'SUT_EU27 total'!$S$83:$S$85</f>
        <v>0</v>
      </c>
    </row>
    <row r="1196" spans="1:10" x14ac:dyDescent="0.35">
      <c r="A1196" t="s">
        <v>18</v>
      </c>
      <c r="B1196" t="s">
        <v>37</v>
      </c>
      <c r="C1196" t="s">
        <v>91</v>
      </c>
      <c r="D1196" t="s">
        <v>81</v>
      </c>
      <c r="E1196" t="s">
        <v>104</v>
      </c>
      <c r="F1196" t="s">
        <v>73</v>
      </c>
      <c r="G1196" t="s">
        <v>74</v>
      </c>
      <c r="H1196" t="s">
        <v>113</v>
      </c>
      <c r="I1196" t="s">
        <v>84</v>
      </c>
      <c r="J1196" s="4">
        <v>0</v>
      </c>
    </row>
    <row r="1197" spans="1:10" x14ac:dyDescent="0.35">
      <c r="A1197" t="s">
        <v>18</v>
      </c>
      <c r="B1197" t="s">
        <v>37</v>
      </c>
      <c r="C1197" t="s">
        <v>91</v>
      </c>
      <c r="D1197" t="s">
        <v>81</v>
      </c>
      <c r="E1197" t="s">
        <v>106</v>
      </c>
      <c r="F1197" t="s">
        <v>73</v>
      </c>
      <c r="G1197" t="s">
        <v>74</v>
      </c>
      <c r="H1197" t="s">
        <v>113</v>
      </c>
      <c r="I1197" t="s">
        <v>84</v>
      </c>
      <c r="J1197" s="4">
        <v>0</v>
      </c>
    </row>
    <row r="1198" spans="1:10" x14ac:dyDescent="0.35">
      <c r="A1198" t="s">
        <v>18</v>
      </c>
      <c r="B1198" t="s">
        <v>37</v>
      </c>
      <c r="C1198" t="s">
        <v>92</v>
      </c>
      <c r="D1198" t="s">
        <v>81</v>
      </c>
      <c r="E1198" t="s">
        <v>131</v>
      </c>
      <c r="F1198" t="s">
        <v>73</v>
      </c>
      <c r="G1198" t="s">
        <v>74</v>
      </c>
      <c r="H1198" t="s">
        <v>113</v>
      </c>
      <c r="I1198" t="s">
        <v>84</v>
      </c>
      <c r="J1198" s="4">
        <f>'SUT_EU27 total'!$S$92</f>
        <v>0</v>
      </c>
    </row>
    <row r="1199" spans="1:10" x14ac:dyDescent="0.35">
      <c r="A1199" t="s">
        <v>18</v>
      </c>
      <c r="B1199" t="s">
        <v>37</v>
      </c>
      <c r="C1199" t="s">
        <v>92</v>
      </c>
      <c r="D1199" t="s">
        <v>81</v>
      </c>
      <c r="E1199" t="s">
        <v>101</v>
      </c>
      <c r="F1199" t="s">
        <v>73</v>
      </c>
      <c r="G1199" t="s">
        <v>74</v>
      </c>
      <c r="H1199" t="s">
        <v>113</v>
      </c>
      <c r="I1199" t="s">
        <v>84</v>
      </c>
      <c r="J1199" s="4" cm="1">
        <f t="array" ref="J1199:J1201">'SUT_EU27 total'!$S$100:$S$102</f>
        <v>0</v>
      </c>
    </row>
    <row r="1200" spans="1:10" x14ac:dyDescent="0.35">
      <c r="A1200" t="s">
        <v>18</v>
      </c>
      <c r="B1200" t="s">
        <v>37</v>
      </c>
      <c r="C1200" t="s">
        <v>92</v>
      </c>
      <c r="D1200" t="s">
        <v>81</v>
      </c>
      <c r="E1200" t="s">
        <v>104</v>
      </c>
      <c r="F1200" t="s">
        <v>73</v>
      </c>
      <c r="G1200" t="s">
        <v>74</v>
      </c>
      <c r="H1200" t="s">
        <v>113</v>
      </c>
      <c r="I1200" t="s">
        <v>84</v>
      </c>
      <c r="J1200" s="4">
        <v>0</v>
      </c>
    </row>
    <row r="1201" spans="1:10" x14ac:dyDescent="0.35">
      <c r="A1201" t="s">
        <v>18</v>
      </c>
      <c r="B1201" t="s">
        <v>37</v>
      </c>
      <c r="C1201" t="s">
        <v>92</v>
      </c>
      <c r="D1201" t="s">
        <v>81</v>
      </c>
      <c r="E1201" t="s">
        <v>106</v>
      </c>
      <c r="F1201" t="s">
        <v>73</v>
      </c>
      <c r="G1201" t="s">
        <v>74</v>
      </c>
      <c r="H1201" t="s">
        <v>113</v>
      </c>
      <c r="I1201" t="s">
        <v>84</v>
      </c>
      <c r="J1201" s="4">
        <v>0</v>
      </c>
    </row>
    <row r="1202" spans="1:10" x14ac:dyDescent="0.35">
      <c r="A1202" t="s">
        <v>18</v>
      </c>
      <c r="B1202" t="s">
        <v>37</v>
      </c>
      <c r="C1202" t="s">
        <v>93</v>
      </c>
      <c r="D1202" t="s">
        <v>81</v>
      </c>
      <c r="E1202" t="s">
        <v>131</v>
      </c>
      <c r="F1202" t="s">
        <v>73</v>
      </c>
      <c r="G1202" t="s">
        <v>74</v>
      </c>
      <c r="H1202" t="s">
        <v>113</v>
      </c>
      <c r="I1202" t="s">
        <v>84</v>
      </c>
      <c r="J1202" s="4">
        <f>'SUT_EU27 total'!$S$109</f>
        <v>0</v>
      </c>
    </row>
    <row r="1203" spans="1:10" x14ac:dyDescent="0.35">
      <c r="A1203" t="s">
        <v>18</v>
      </c>
      <c r="B1203" t="s">
        <v>37</v>
      </c>
      <c r="C1203" t="s">
        <v>93</v>
      </c>
      <c r="D1203" t="s">
        <v>81</v>
      </c>
      <c r="E1203" t="s">
        <v>101</v>
      </c>
      <c r="F1203" t="s">
        <v>73</v>
      </c>
      <c r="G1203" t="s">
        <v>74</v>
      </c>
      <c r="H1203" t="s">
        <v>113</v>
      </c>
      <c r="I1203" t="s">
        <v>84</v>
      </c>
      <c r="J1203" s="4" cm="1">
        <f t="array" ref="J1203:J1205">'SUT_EU27 total'!$S$117:$S$119</f>
        <v>0</v>
      </c>
    </row>
    <row r="1204" spans="1:10" x14ac:dyDescent="0.35">
      <c r="A1204" t="s">
        <v>18</v>
      </c>
      <c r="B1204" t="s">
        <v>37</v>
      </c>
      <c r="C1204" t="s">
        <v>93</v>
      </c>
      <c r="D1204" t="s">
        <v>81</v>
      </c>
      <c r="E1204" t="s">
        <v>104</v>
      </c>
      <c r="F1204" t="s">
        <v>73</v>
      </c>
      <c r="G1204" t="s">
        <v>74</v>
      </c>
      <c r="H1204" t="s">
        <v>113</v>
      </c>
      <c r="I1204" t="s">
        <v>84</v>
      </c>
      <c r="J1204" s="4">
        <v>0</v>
      </c>
    </row>
    <row r="1205" spans="1:10" x14ac:dyDescent="0.35">
      <c r="A1205" t="s">
        <v>18</v>
      </c>
      <c r="B1205" t="s">
        <v>37</v>
      </c>
      <c r="C1205" t="s">
        <v>93</v>
      </c>
      <c r="D1205" t="s">
        <v>81</v>
      </c>
      <c r="E1205" t="s">
        <v>106</v>
      </c>
      <c r="F1205" t="s">
        <v>73</v>
      </c>
      <c r="G1205" t="s">
        <v>74</v>
      </c>
      <c r="H1205" t="s">
        <v>113</v>
      </c>
      <c r="I1205" t="s">
        <v>84</v>
      </c>
      <c r="J1205" s="4">
        <v>0</v>
      </c>
    </row>
    <row r="1206" spans="1:10" x14ac:dyDescent="0.35">
      <c r="A1206" t="s">
        <v>18</v>
      </c>
      <c r="B1206" t="s">
        <v>37</v>
      </c>
      <c r="C1206" t="s">
        <v>73</v>
      </c>
      <c r="D1206" t="s">
        <v>74</v>
      </c>
      <c r="E1206" t="s">
        <v>123</v>
      </c>
      <c r="F1206" t="s">
        <v>73</v>
      </c>
      <c r="G1206" t="s">
        <v>81</v>
      </c>
      <c r="H1206" t="s">
        <v>115</v>
      </c>
      <c r="I1206" t="s">
        <v>84</v>
      </c>
      <c r="J1206" s="4" cm="1">
        <f t="array" ref="J1206:J1212">TRANSPOSE('2030 pathways'!$C$17:$I$17)</f>
        <v>0.1003</v>
      </c>
    </row>
    <row r="1207" spans="1:10" x14ac:dyDescent="0.35">
      <c r="A1207" t="s">
        <v>18</v>
      </c>
      <c r="B1207" t="s">
        <v>37</v>
      </c>
      <c r="C1207" t="s">
        <v>73</v>
      </c>
      <c r="D1207" t="s">
        <v>74</v>
      </c>
      <c r="E1207" t="s">
        <v>127</v>
      </c>
      <c r="F1207" t="s">
        <v>73</v>
      </c>
      <c r="G1207" t="s">
        <v>81</v>
      </c>
      <c r="H1207" t="s">
        <v>115</v>
      </c>
      <c r="I1207" t="s">
        <v>84</v>
      </c>
      <c r="J1207" s="4">
        <v>0.17699999999999999</v>
      </c>
    </row>
    <row r="1208" spans="1:10" x14ac:dyDescent="0.35">
      <c r="A1208" t="s">
        <v>18</v>
      </c>
      <c r="B1208" t="s">
        <v>37</v>
      </c>
      <c r="C1208" t="s">
        <v>73</v>
      </c>
      <c r="D1208" t="s">
        <v>74</v>
      </c>
      <c r="E1208" t="s">
        <v>128</v>
      </c>
      <c r="F1208" t="s">
        <v>73</v>
      </c>
      <c r="G1208" t="s">
        <v>81</v>
      </c>
      <c r="H1208" t="s">
        <v>115</v>
      </c>
      <c r="I1208" t="s">
        <v>84</v>
      </c>
      <c r="J1208" s="4">
        <v>8.8499999999999995E-2</v>
      </c>
    </row>
    <row r="1209" spans="1:10" x14ac:dyDescent="0.35">
      <c r="A1209" t="s">
        <v>18</v>
      </c>
      <c r="B1209" t="s">
        <v>37</v>
      </c>
      <c r="C1209" t="s">
        <v>73</v>
      </c>
      <c r="D1209" t="s">
        <v>74</v>
      </c>
      <c r="E1209" t="s">
        <v>129</v>
      </c>
      <c r="F1209" t="s">
        <v>73</v>
      </c>
      <c r="G1209" t="s">
        <v>81</v>
      </c>
      <c r="H1209" t="s">
        <v>115</v>
      </c>
      <c r="I1209" t="s">
        <v>84</v>
      </c>
      <c r="J1209" s="4">
        <v>5.8999999999999999E-3</v>
      </c>
    </row>
    <row r="1210" spans="1:10" x14ac:dyDescent="0.35">
      <c r="A1210" t="s">
        <v>18</v>
      </c>
      <c r="B1210" t="s">
        <v>37</v>
      </c>
      <c r="C1210" t="s">
        <v>73</v>
      </c>
      <c r="D1210" t="s">
        <v>74</v>
      </c>
      <c r="E1210" t="s">
        <v>77</v>
      </c>
      <c r="F1210" t="s">
        <v>73</v>
      </c>
      <c r="G1210" t="s">
        <v>81</v>
      </c>
      <c r="H1210" t="s">
        <v>115</v>
      </c>
      <c r="I1210" t="s">
        <v>84</v>
      </c>
      <c r="J1210" s="4">
        <v>5.8999999999999999E-3</v>
      </c>
    </row>
    <row r="1211" spans="1:10" x14ac:dyDescent="0.35">
      <c r="A1211" t="s">
        <v>18</v>
      </c>
      <c r="B1211" t="s">
        <v>37</v>
      </c>
      <c r="C1211" t="s">
        <v>73</v>
      </c>
      <c r="D1211" t="s">
        <v>74</v>
      </c>
      <c r="E1211" t="s">
        <v>130</v>
      </c>
      <c r="F1211" t="s">
        <v>73</v>
      </c>
      <c r="G1211" t="s">
        <v>81</v>
      </c>
      <c r="H1211" t="s">
        <v>115</v>
      </c>
      <c r="I1211" t="s">
        <v>84</v>
      </c>
      <c r="J1211" s="4">
        <v>0.21239999999999992</v>
      </c>
    </row>
    <row r="1212" spans="1:10" x14ac:dyDescent="0.35">
      <c r="A1212" t="s">
        <v>18</v>
      </c>
      <c r="B1212" t="s">
        <v>37</v>
      </c>
      <c r="C1212" t="s">
        <v>73</v>
      </c>
      <c r="D1212" t="s">
        <v>74</v>
      </c>
      <c r="E1212" t="s">
        <v>132</v>
      </c>
      <c r="F1212" t="s">
        <v>73</v>
      </c>
      <c r="G1212" t="s">
        <v>81</v>
      </c>
      <c r="H1212" t="s">
        <v>115</v>
      </c>
      <c r="I1212" t="s">
        <v>84</v>
      </c>
      <c r="J1212" s="4">
        <v>0.41</v>
      </c>
    </row>
    <row r="1213" spans="1:10" x14ac:dyDescent="0.35">
      <c r="A1213" t="s">
        <v>18</v>
      </c>
      <c r="B1213" t="s">
        <v>37</v>
      </c>
      <c r="C1213" t="s">
        <v>73</v>
      </c>
      <c r="D1213" t="s">
        <v>74</v>
      </c>
      <c r="E1213" t="s">
        <v>133</v>
      </c>
      <c r="F1213" t="s">
        <v>73</v>
      </c>
      <c r="G1213" t="s">
        <v>81</v>
      </c>
      <c r="H1213" t="s">
        <v>115</v>
      </c>
      <c r="I1213" t="s">
        <v>84</v>
      </c>
      <c r="J1213" s="4">
        <v>0</v>
      </c>
    </row>
    <row r="1214" spans="1:10" x14ac:dyDescent="0.35">
      <c r="A1214" s="470" t="s">
        <v>18</v>
      </c>
      <c r="B1214" s="470" t="s">
        <v>38</v>
      </c>
      <c r="C1214" s="470" t="s">
        <v>73</v>
      </c>
      <c r="D1214" s="470" t="s">
        <v>81</v>
      </c>
      <c r="E1214" s="470" t="s">
        <v>115</v>
      </c>
      <c r="F1214" s="470" t="s">
        <v>73</v>
      </c>
      <c r="G1214" s="470" t="s">
        <v>74</v>
      </c>
      <c r="H1214" s="470" t="s">
        <v>102</v>
      </c>
      <c r="I1214" s="470" t="s">
        <v>84</v>
      </c>
      <c r="J1214" s="483" cm="1">
        <f t="array" ref="J1214:J1215">'SUT_EU27 total'!$J$19:$J$20</f>
        <v>11.828571428571427</v>
      </c>
    </row>
    <row r="1215" spans="1:10" x14ac:dyDescent="0.35">
      <c r="A1215" t="s">
        <v>18</v>
      </c>
      <c r="B1215" t="s">
        <v>38</v>
      </c>
      <c r="C1215" t="s">
        <v>73</v>
      </c>
      <c r="D1215" t="s">
        <v>81</v>
      </c>
      <c r="E1215" t="s">
        <v>116</v>
      </c>
      <c r="F1215" t="s">
        <v>73</v>
      </c>
      <c r="G1215" t="s">
        <v>74</v>
      </c>
      <c r="H1215" t="s">
        <v>102</v>
      </c>
      <c r="I1215" t="s">
        <v>84</v>
      </c>
      <c r="J1215" s="4">
        <v>3.3421988920214002E-2</v>
      </c>
    </row>
    <row r="1216" spans="1:10" x14ac:dyDescent="0.35">
      <c r="A1216" t="s">
        <v>18</v>
      </c>
      <c r="B1216" t="s">
        <v>38</v>
      </c>
      <c r="C1216" t="s">
        <v>73</v>
      </c>
      <c r="D1216" t="s">
        <v>81</v>
      </c>
      <c r="E1216" t="s">
        <v>117</v>
      </c>
      <c r="F1216" t="s">
        <v>73</v>
      </c>
      <c r="G1216" t="s">
        <v>74</v>
      </c>
      <c r="H1216" t="s">
        <v>102</v>
      </c>
      <c r="I1216" t="s">
        <v>84</v>
      </c>
      <c r="J1216" s="76">
        <f>'SUT_EU27 total'!$J$27</f>
        <v>20.996100000000002</v>
      </c>
    </row>
    <row r="1217" spans="1:10" x14ac:dyDescent="0.35">
      <c r="A1217" t="s">
        <v>18</v>
      </c>
      <c r="B1217" t="s">
        <v>38</v>
      </c>
      <c r="C1217" t="s">
        <v>73</v>
      </c>
      <c r="D1217" t="s">
        <v>81</v>
      </c>
      <c r="E1217" t="s">
        <v>101</v>
      </c>
      <c r="F1217" t="s">
        <v>73</v>
      </c>
      <c r="G1217" t="s">
        <v>74</v>
      </c>
      <c r="H1217" t="s">
        <v>102</v>
      </c>
      <c r="I1217" t="s">
        <v>84</v>
      </c>
      <c r="J1217" s="76" cm="1">
        <f t="array" ref="J1217:J1219">'SUT_EU27 total'!$J$32:$J$34</f>
        <v>0.13437998483817604</v>
      </c>
    </row>
    <row r="1218" spans="1:10" x14ac:dyDescent="0.35">
      <c r="A1218" t="s">
        <v>18</v>
      </c>
      <c r="B1218" t="s">
        <v>38</v>
      </c>
      <c r="C1218" t="s">
        <v>73</v>
      </c>
      <c r="D1218" t="s">
        <v>81</v>
      </c>
      <c r="E1218" t="s">
        <v>104</v>
      </c>
      <c r="F1218" t="s">
        <v>73</v>
      </c>
      <c r="G1218" t="s">
        <v>74</v>
      </c>
      <c r="H1218" t="s">
        <v>102</v>
      </c>
      <c r="I1218" t="s">
        <v>84</v>
      </c>
      <c r="J1218" s="4">
        <v>0.25443647306582401</v>
      </c>
    </row>
    <row r="1219" spans="1:10" x14ac:dyDescent="0.35">
      <c r="A1219" t="s">
        <v>18</v>
      </c>
      <c r="B1219" t="s">
        <v>38</v>
      </c>
      <c r="C1219" t="s">
        <v>73</v>
      </c>
      <c r="D1219" t="s">
        <v>81</v>
      </c>
      <c r="E1219" t="s">
        <v>106</v>
      </c>
      <c r="F1219" t="s">
        <v>73</v>
      </c>
      <c r="G1219" t="s">
        <v>74</v>
      </c>
      <c r="H1219" t="s">
        <v>102</v>
      </c>
      <c r="I1219" t="s">
        <v>84</v>
      </c>
      <c r="J1219" s="4">
        <v>0.86543018049599985</v>
      </c>
    </row>
    <row r="1220" spans="1:10" x14ac:dyDescent="0.35">
      <c r="A1220" t="s">
        <v>18</v>
      </c>
      <c r="B1220" t="s">
        <v>38</v>
      </c>
      <c r="C1220" t="s">
        <v>88</v>
      </c>
      <c r="D1220" t="s">
        <v>81</v>
      </c>
      <c r="E1220" t="s">
        <v>115</v>
      </c>
      <c r="F1220" t="s">
        <v>73</v>
      </c>
      <c r="G1220" t="s">
        <v>74</v>
      </c>
      <c r="H1220" t="s">
        <v>102</v>
      </c>
      <c r="I1220" t="s">
        <v>84</v>
      </c>
      <c r="J1220" s="76" cm="1">
        <f t="array" ref="J1220:J1221">'SUT_EU27 total'!$J$36:$J$37</f>
        <v>78.857142857142847</v>
      </c>
    </row>
    <row r="1221" spans="1:10" x14ac:dyDescent="0.35">
      <c r="A1221" t="s">
        <v>18</v>
      </c>
      <c r="B1221" t="s">
        <v>38</v>
      </c>
      <c r="C1221" t="s">
        <v>88</v>
      </c>
      <c r="D1221" t="s">
        <v>81</v>
      </c>
      <c r="E1221" t="s">
        <v>116</v>
      </c>
      <c r="F1221" t="s">
        <v>73</v>
      </c>
      <c r="G1221" t="s">
        <v>74</v>
      </c>
      <c r="H1221" t="s">
        <v>102</v>
      </c>
      <c r="I1221" t="s">
        <v>84</v>
      </c>
      <c r="J1221" s="4">
        <v>0.7862213561563367</v>
      </c>
    </row>
    <row r="1222" spans="1:10" x14ac:dyDescent="0.35">
      <c r="A1222" t="s">
        <v>18</v>
      </c>
      <c r="B1222" t="s">
        <v>38</v>
      </c>
      <c r="C1222" t="s">
        <v>88</v>
      </c>
      <c r="D1222" t="s">
        <v>81</v>
      </c>
      <c r="E1222" t="s">
        <v>117</v>
      </c>
      <c r="F1222" t="s">
        <v>73</v>
      </c>
      <c r="G1222" t="s">
        <v>74</v>
      </c>
      <c r="H1222" t="s">
        <v>102</v>
      </c>
      <c r="I1222" t="s">
        <v>84</v>
      </c>
      <c r="J1222" s="76">
        <f>'SUT_EU27 total'!$J$44</f>
        <v>286.26390000000004</v>
      </c>
    </row>
    <row r="1223" spans="1:10" x14ac:dyDescent="0.35">
      <c r="A1223" t="s">
        <v>18</v>
      </c>
      <c r="B1223" t="s">
        <v>38</v>
      </c>
      <c r="C1223" t="s">
        <v>88</v>
      </c>
      <c r="D1223" t="s">
        <v>81</v>
      </c>
      <c r="E1223" t="s">
        <v>101</v>
      </c>
      <c r="F1223" t="s">
        <v>73</v>
      </c>
      <c r="G1223" t="s">
        <v>74</v>
      </c>
      <c r="H1223" t="s">
        <v>102</v>
      </c>
      <c r="I1223" t="s">
        <v>84</v>
      </c>
      <c r="J1223" s="4" cm="1">
        <f t="array" ref="J1223:J1225">'SUT_EU27 total'!$J$49:$J$51</f>
        <v>0</v>
      </c>
    </row>
    <row r="1224" spans="1:10" x14ac:dyDescent="0.35">
      <c r="A1224" t="s">
        <v>18</v>
      </c>
      <c r="B1224" t="s">
        <v>38</v>
      </c>
      <c r="C1224" t="s">
        <v>88</v>
      </c>
      <c r="D1224" t="s">
        <v>81</v>
      </c>
      <c r="E1224" t="s">
        <v>104</v>
      </c>
      <c r="F1224" t="s">
        <v>73</v>
      </c>
      <c r="G1224" t="s">
        <v>74</v>
      </c>
      <c r="H1224" t="s">
        <v>102</v>
      </c>
      <c r="I1224" t="s">
        <v>84</v>
      </c>
      <c r="J1224" s="4">
        <v>0</v>
      </c>
    </row>
    <row r="1225" spans="1:10" x14ac:dyDescent="0.35">
      <c r="A1225" t="s">
        <v>18</v>
      </c>
      <c r="B1225" t="s">
        <v>38</v>
      </c>
      <c r="C1225" t="s">
        <v>88</v>
      </c>
      <c r="D1225" t="s">
        <v>81</v>
      </c>
      <c r="E1225" t="s">
        <v>106</v>
      </c>
      <c r="F1225" t="s">
        <v>73</v>
      </c>
      <c r="G1225" t="s">
        <v>74</v>
      </c>
      <c r="H1225" t="s">
        <v>102</v>
      </c>
      <c r="I1225" t="s">
        <v>84</v>
      </c>
      <c r="J1225" s="4">
        <v>0</v>
      </c>
    </row>
    <row r="1226" spans="1:10" x14ac:dyDescent="0.35">
      <c r="A1226" t="s">
        <v>18</v>
      </c>
      <c r="B1226" t="s">
        <v>38</v>
      </c>
      <c r="C1226" t="s">
        <v>90</v>
      </c>
      <c r="D1226" t="s">
        <v>81</v>
      </c>
      <c r="E1226" t="s">
        <v>115</v>
      </c>
      <c r="F1226" t="s">
        <v>73</v>
      </c>
      <c r="G1226" t="s">
        <v>74</v>
      </c>
      <c r="H1226" t="s">
        <v>102</v>
      </c>
      <c r="I1226" t="s">
        <v>84</v>
      </c>
      <c r="J1226" s="76" cm="1">
        <f t="array" ref="J1226:J1227">'SUT_EU27 total'!$J$53:$J$54</f>
        <v>7.7904761904761894</v>
      </c>
    </row>
    <row r="1227" spans="1:10" x14ac:dyDescent="0.35">
      <c r="A1227" t="s">
        <v>18</v>
      </c>
      <c r="B1227" t="s">
        <v>38</v>
      </c>
      <c r="C1227" t="s">
        <v>90</v>
      </c>
      <c r="D1227" t="s">
        <v>81</v>
      </c>
      <c r="E1227" t="s">
        <v>116</v>
      </c>
      <c r="F1227" t="s">
        <v>73</v>
      </c>
      <c r="G1227" t="s">
        <v>74</v>
      </c>
      <c r="H1227" t="s">
        <v>102</v>
      </c>
      <c r="I1227" t="s">
        <v>84</v>
      </c>
      <c r="J1227" s="4">
        <v>1.5473889063756709E-2</v>
      </c>
    </row>
    <row r="1228" spans="1:10" x14ac:dyDescent="0.35">
      <c r="A1228" t="s">
        <v>18</v>
      </c>
      <c r="B1228" t="s">
        <v>38</v>
      </c>
      <c r="C1228" t="s">
        <v>90</v>
      </c>
      <c r="D1228" t="s">
        <v>81</v>
      </c>
      <c r="E1228" t="s">
        <v>117</v>
      </c>
      <c r="F1228" t="s">
        <v>73</v>
      </c>
      <c r="G1228" t="s">
        <v>74</v>
      </c>
      <c r="H1228" t="s">
        <v>102</v>
      </c>
      <c r="I1228" t="s">
        <v>84</v>
      </c>
      <c r="J1228" s="76">
        <f>'SUT_EU27 total'!$J$61</f>
        <v>11.2662</v>
      </c>
    </row>
    <row r="1229" spans="1:10" x14ac:dyDescent="0.35">
      <c r="A1229" t="s">
        <v>18</v>
      </c>
      <c r="B1229" t="s">
        <v>38</v>
      </c>
      <c r="C1229" t="s">
        <v>90</v>
      </c>
      <c r="D1229" t="s">
        <v>81</v>
      </c>
      <c r="E1229" t="s">
        <v>101</v>
      </c>
      <c r="F1229" t="s">
        <v>73</v>
      </c>
      <c r="G1229" t="s">
        <v>74</v>
      </c>
      <c r="H1229" t="s">
        <v>102</v>
      </c>
      <c r="I1229" t="s">
        <v>84</v>
      </c>
      <c r="J1229" s="4" cm="1">
        <f t="array" ref="J1229:J1231">'SUT_EU27 total'!$J$66:$J$68</f>
        <v>0</v>
      </c>
    </row>
    <row r="1230" spans="1:10" x14ac:dyDescent="0.35">
      <c r="A1230" t="s">
        <v>18</v>
      </c>
      <c r="B1230" t="s">
        <v>38</v>
      </c>
      <c r="C1230" t="s">
        <v>90</v>
      </c>
      <c r="D1230" t="s">
        <v>81</v>
      </c>
      <c r="E1230" t="s">
        <v>104</v>
      </c>
      <c r="F1230" t="s">
        <v>73</v>
      </c>
      <c r="G1230" t="s">
        <v>74</v>
      </c>
      <c r="H1230" t="s">
        <v>102</v>
      </c>
      <c r="I1230" t="s">
        <v>84</v>
      </c>
      <c r="J1230" s="4">
        <v>0</v>
      </c>
    </row>
    <row r="1231" spans="1:10" x14ac:dyDescent="0.35">
      <c r="A1231" t="s">
        <v>18</v>
      </c>
      <c r="B1231" t="s">
        <v>38</v>
      </c>
      <c r="C1231" t="s">
        <v>90</v>
      </c>
      <c r="D1231" t="s">
        <v>81</v>
      </c>
      <c r="E1231" t="s">
        <v>106</v>
      </c>
      <c r="F1231" t="s">
        <v>73</v>
      </c>
      <c r="G1231" t="s">
        <v>74</v>
      </c>
      <c r="H1231" t="s">
        <v>102</v>
      </c>
      <c r="I1231" t="s">
        <v>84</v>
      </c>
      <c r="J1231" s="4">
        <v>0</v>
      </c>
    </row>
    <row r="1232" spans="1:10" x14ac:dyDescent="0.35">
      <c r="A1232" t="s">
        <v>18</v>
      </c>
      <c r="B1232" t="s">
        <v>38</v>
      </c>
      <c r="C1232" t="s">
        <v>91</v>
      </c>
      <c r="D1232" t="s">
        <v>81</v>
      </c>
      <c r="E1232" t="s">
        <v>115</v>
      </c>
      <c r="F1232" t="s">
        <v>73</v>
      </c>
      <c r="G1232" t="s">
        <v>74</v>
      </c>
      <c r="H1232" t="s">
        <v>102</v>
      </c>
      <c r="I1232" t="s">
        <v>84</v>
      </c>
      <c r="J1232" s="76" cm="1">
        <f t="array" ref="J1232:J1233">'SUT_EU27 total'!$J$70:$J$71</f>
        <v>15.771428571428569</v>
      </c>
    </row>
    <row r="1233" spans="1:10" x14ac:dyDescent="0.35">
      <c r="A1233" t="s">
        <v>18</v>
      </c>
      <c r="B1233" t="s">
        <v>38</v>
      </c>
      <c r="C1233" t="s">
        <v>91</v>
      </c>
      <c r="D1233" t="s">
        <v>81</v>
      </c>
      <c r="E1233" t="s">
        <v>116</v>
      </c>
      <c r="F1233" t="s">
        <v>73</v>
      </c>
      <c r="G1233" t="s">
        <v>74</v>
      </c>
      <c r="H1233" t="s">
        <v>102</v>
      </c>
      <c r="I1233" t="s">
        <v>84</v>
      </c>
      <c r="J1233" s="4">
        <v>8.7507175559917313E-2</v>
      </c>
    </row>
    <row r="1234" spans="1:10" x14ac:dyDescent="0.35">
      <c r="A1234" t="s">
        <v>18</v>
      </c>
      <c r="B1234" t="s">
        <v>38</v>
      </c>
      <c r="C1234" t="s">
        <v>91</v>
      </c>
      <c r="D1234" t="s">
        <v>81</v>
      </c>
      <c r="E1234" t="s">
        <v>117</v>
      </c>
      <c r="F1234" t="s">
        <v>73</v>
      </c>
      <c r="G1234" t="s">
        <v>74</v>
      </c>
      <c r="H1234" t="s">
        <v>102</v>
      </c>
      <c r="I1234" t="s">
        <v>84</v>
      </c>
      <c r="J1234" s="76">
        <f>'SUT_EU27 total'!$J$78</f>
        <v>41.4801</v>
      </c>
    </row>
    <row r="1235" spans="1:10" x14ac:dyDescent="0.35">
      <c r="A1235" t="s">
        <v>18</v>
      </c>
      <c r="B1235" t="s">
        <v>38</v>
      </c>
      <c r="C1235" t="s">
        <v>91</v>
      </c>
      <c r="D1235" t="s">
        <v>81</v>
      </c>
      <c r="E1235" t="s">
        <v>101</v>
      </c>
      <c r="F1235" t="s">
        <v>73</v>
      </c>
      <c r="G1235" t="s">
        <v>74</v>
      </c>
      <c r="H1235" t="s">
        <v>102</v>
      </c>
      <c r="I1235" t="s">
        <v>84</v>
      </c>
      <c r="J1235" s="4" cm="1">
        <f t="array" ref="J1235:J1237">'SUT_EU27 total'!$J$83:$J$85</f>
        <v>0</v>
      </c>
    </row>
    <row r="1236" spans="1:10" x14ac:dyDescent="0.35">
      <c r="A1236" t="s">
        <v>18</v>
      </c>
      <c r="B1236" t="s">
        <v>38</v>
      </c>
      <c r="C1236" t="s">
        <v>91</v>
      </c>
      <c r="D1236" t="s">
        <v>81</v>
      </c>
      <c r="E1236" t="s">
        <v>104</v>
      </c>
      <c r="F1236" t="s">
        <v>73</v>
      </c>
      <c r="G1236" t="s">
        <v>74</v>
      </c>
      <c r="H1236" t="s">
        <v>102</v>
      </c>
      <c r="I1236" t="s">
        <v>84</v>
      </c>
      <c r="J1236" s="4">
        <v>0</v>
      </c>
    </row>
    <row r="1237" spans="1:10" x14ac:dyDescent="0.35">
      <c r="A1237" t="s">
        <v>18</v>
      </c>
      <c r="B1237" t="s">
        <v>38</v>
      </c>
      <c r="C1237" t="s">
        <v>91</v>
      </c>
      <c r="D1237" t="s">
        <v>81</v>
      </c>
      <c r="E1237" t="s">
        <v>106</v>
      </c>
      <c r="F1237" t="s">
        <v>73</v>
      </c>
      <c r="G1237" t="s">
        <v>74</v>
      </c>
      <c r="H1237" t="s">
        <v>102</v>
      </c>
      <c r="I1237" t="s">
        <v>84</v>
      </c>
      <c r="J1237" s="4">
        <v>0</v>
      </c>
    </row>
    <row r="1238" spans="1:10" x14ac:dyDescent="0.35">
      <c r="A1238" t="s">
        <v>18</v>
      </c>
      <c r="B1238" t="s">
        <v>38</v>
      </c>
      <c r="C1238" t="s">
        <v>92</v>
      </c>
      <c r="D1238" t="s">
        <v>81</v>
      </c>
      <c r="E1238" t="s">
        <v>115</v>
      </c>
      <c r="F1238" t="s">
        <v>73</v>
      </c>
      <c r="G1238" t="s">
        <v>74</v>
      </c>
      <c r="H1238" t="s">
        <v>102</v>
      </c>
      <c r="I1238" t="s">
        <v>84</v>
      </c>
      <c r="J1238" s="76" cm="1">
        <f t="array" ref="J1238:J1239">'SUT_EU27 total'!$J$87:$J$88</f>
        <v>6.6239999999999997</v>
      </c>
    </row>
    <row r="1239" spans="1:10" x14ac:dyDescent="0.35">
      <c r="A1239" t="s">
        <v>18</v>
      </c>
      <c r="B1239" t="s">
        <v>38</v>
      </c>
      <c r="C1239" t="s">
        <v>92</v>
      </c>
      <c r="D1239" t="s">
        <v>81</v>
      </c>
      <c r="E1239" t="s">
        <v>116</v>
      </c>
      <c r="F1239" t="s">
        <v>73</v>
      </c>
      <c r="G1239" t="s">
        <v>74</v>
      </c>
      <c r="H1239" t="s">
        <v>102</v>
      </c>
      <c r="I1239" t="s">
        <v>84</v>
      </c>
      <c r="J1239" s="4">
        <v>6.0040746268656714E-2</v>
      </c>
    </row>
    <row r="1240" spans="1:10" x14ac:dyDescent="0.35">
      <c r="A1240" t="s">
        <v>18</v>
      </c>
      <c r="B1240" t="s">
        <v>38</v>
      </c>
      <c r="C1240" t="s">
        <v>92</v>
      </c>
      <c r="D1240" t="s">
        <v>81</v>
      </c>
      <c r="E1240" t="s">
        <v>117</v>
      </c>
      <c r="F1240" t="s">
        <v>73</v>
      </c>
      <c r="G1240" t="s">
        <v>74</v>
      </c>
      <c r="H1240" t="s">
        <v>102</v>
      </c>
      <c r="I1240" t="s">
        <v>84</v>
      </c>
      <c r="J1240" s="76">
        <f>'SUT_EU27 total'!$J$95</f>
        <v>13.3146</v>
      </c>
    </row>
    <row r="1241" spans="1:10" x14ac:dyDescent="0.35">
      <c r="A1241" t="s">
        <v>18</v>
      </c>
      <c r="B1241" t="s">
        <v>38</v>
      </c>
      <c r="C1241" t="s">
        <v>92</v>
      </c>
      <c r="D1241" t="s">
        <v>81</v>
      </c>
      <c r="E1241" t="s">
        <v>101</v>
      </c>
      <c r="F1241" t="s">
        <v>73</v>
      </c>
      <c r="G1241" t="s">
        <v>74</v>
      </c>
      <c r="H1241" t="s">
        <v>102</v>
      </c>
      <c r="I1241" t="s">
        <v>84</v>
      </c>
      <c r="J1241" s="4" cm="1">
        <f t="array" ref="J1241:J1243">'SUT_EU27 total'!$J$100:$J$102</f>
        <v>0</v>
      </c>
    </row>
    <row r="1242" spans="1:10" x14ac:dyDescent="0.35">
      <c r="A1242" t="s">
        <v>18</v>
      </c>
      <c r="B1242" t="s">
        <v>38</v>
      </c>
      <c r="C1242" t="s">
        <v>92</v>
      </c>
      <c r="D1242" t="s">
        <v>81</v>
      </c>
      <c r="E1242" t="s">
        <v>104</v>
      </c>
      <c r="F1242" t="s">
        <v>73</v>
      </c>
      <c r="G1242" t="s">
        <v>74</v>
      </c>
      <c r="H1242" t="s">
        <v>102</v>
      </c>
      <c r="I1242" t="s">
        <v>84</v>
      </c>
      <c r="J1242" s="4">
        <v>0</v>
      </c>
    </row>
    <row r="1243" spans="1:10" x14ac:dyDescent="0.35">
      <c r="A1243" t="s">
        <v>18</v>
      </c>
      <c r="B1243" t="s">
        <v>38</v>
      </c>
      <c r="C1243" t="s">
        <v>92</v>
      </c>
      <c r="D1243" t="s">
        <v>81</v>
      </c>
      <c r="E1243" t="s">
        <v>106</v>
      </c>
      <c r="F1243" t="s">
        <v>73</v>
      </c>
      <c r="G1243" t="s">
        <v>74</v>
      </c>
      <c r="H1243" t="s">
        <v>102</v>
      </c>
      <c r="I1243" t="s">
        <v>84</v>
      </c>
      <c r="J1243" s="4">
        <v>0</v>
      </c>
    </row>
    <row r="1244" spans="1:10" x14ac:dyDescent="0.35">
      <c r="A1244" t="s">
        <v>18</v>
      </c>
      <c r="B1244" t="s">
        <v>38</v>
      </c>
      <c r="C1244" t="s">
        <v>93</v>
      </c>
      <c r="D1244" t="s">
        <v>81</v>
      </c>
      <c r="E1244" t="s">
        <v>115</v>
      </c>
      <c r="F1244" t="s">
        <v>73</v>
      </c>
      <c r="G1244" t="s">
        <v>74</v>
      </c>
      <c r="H1244" t="s">
        <v>102</v>
      </c>
      <c r="I1244" t="s">
        <v>84</v>
      </c>
      <c r="J1244" s="76" cm="1">
        <f t="array" ref="J1244:J1245">'SUT_EU27 total'!$J$104:$J$105</f>
        <v>44.633142857142865</v>
      </c>
    </row>
    <row r="1245" spans="1:10" x14ac:dyDescent="0.35">
      <c r="A1245" t="s">
        <v>18</v>
      </c>
      <c r="B1245" t="s">
        <v>38</v>
      </c>
      <c r="C1245" t="s">
        <v>93</v>
      </c>
      <c r="D1245" t="s">
        <v>81</v>
      </c>
      <c r="E1245" t="s">
        <v>116</v>
      </c>
      <c r="F1245" t="s">
        <v>73</v>
      </c>
      <c r="G1245" t="s">
        <v>74</v>
      </c>
      <c r="H1245" t="s">
        <v>102</v>
      </c>
      <c r="I1245" t="s">
        <v>84</v>
      </c>
      <c r="J1245" s="4">
        <v>0.3673348440311186</v>
      </c>
    </row>
    <row r="1246" spans="1:10" x14ac:dyDescent="0.35">
      <c r="A1246" t="s">
        <v>18</v>
      </c>
      <c r="B1246" t="s">
        <v>38</v>
      </c>
      <c r="C1246" t="s">
        <v>93</v>
      </c>
      <c r="D1246" t="s">
        <v>81</v>
      </c>
      <c r="E1246" t="s">
        <v>117</v>
      </c>
      <c r="F1246" t="s">
        <v>73</v>
      </c>
      <c r="G1246" t="s">
        <v>74</v>
      </c>
      <c r="H1246" t="s">
        <v>102</v>
      </c>
      <c r="I1246" t="s">
        <v>84</v>
      </c>
      <c r="J1246" s="76">
        <f>'SUT_EU27 total'!$J$112</f>
        <v>138.77909999999997</v>
      </c>
    </row>
    <row r="1247" spans="1:10" x14ac:dyDescent="0.35">
      <c r="A1247" t="s">
        <v>18</v>
      </c>
      <c r="B1247" t="s">
        <v>38</v>
      </c>
      <c r="C1247" t="s">
        <v>93</v>
      </c>
      <c r="D1247" t="s">
        <v>81</v>
      </c>
      <c r="E1247" t="s">
        <v>101</v>
      </c>
      <c r="F1247" t="s">
        <v>73</v>
      </c>
      <c r="G1247" t="s">
        <v>74</v>
      </c>
      <c r="H1247" t="s">
        <v>102</v>
      </c>
      <c r="I1247" t="s">
        <v>84</v>
      </c>
      <c r="J1247" s="4" cm="1">
        <f t="array" ref="J1247:J1249">'SUT_EU27 total'!$J$117:$J$119</f>
        <v>0</v>
      </c>
    </row>
    <row r="1248" spans="1:10" x14ac:dyDescent="0.35">
      <c r="A1248" t="s">
        <v>18</v>
      </c>
      <c r="B1248" t="s">
        <v>38</v>
      </c>
      <c r="C1248" t="s">
        <v>93</v>
      </c>
      <c r="D1248" t="s">
        <v>81</v>
      </c>
      <c r="E1248" t="s">
        <v>104</v>
      </c>
      <c r="F1248" t="s">
        <v>73</v>
      </c>
      <c r="G1248" t="s">
        <v>74</v>
      </c>
      <c r="H1248" t="s">
        <v>102</v>
      </c>
      <c r="I1248" t="s">
        <v>84</v>
      </c>
      <c r="J1248" s="4">
        <v>0</v>
      </c>
    </row>
    <row r="1249" spans="1:10" x14ac:dyDescent="0.35">
      <c r="A1249" t="s">
        <v>18</v>
      </c>
      <c r="B1249" t="s">
        <v>38</v>
      </c>
      <c r="C1249" t="s">
        <v>93</v>
      </c>
      <c r="D1249" t="s">
        <v>81</v>
      </c>
      <c r="E1249" t="s">
        <v>106</v>
      </c>
      <c r="F1249" t="s">
        <v>73</v>
      </c>
      <c r="G1249" t="s">
        <v>74</v>
      </c>
      <c r="H1249" t="s">
        <v>102</v>
      </c>
      <c r="I1249" t="s">
        <v>84</v>
      </c>
      <c r="J1249" s="4">
        <v>0</v>
      </c>
    </row>
    <row r="1250" spans="1:10" x14ac:dyDescent="0.35">
      <c r="A1250" t="s">
        <v>18</v>
      </c>
      <c r="B1250" t="s">
        <v>38</v>
      </c>
      <c r="C1250" t="s">
        <v>73</v>
      </c>
      <c r="D1250" t="s">
        <v>81</v>
      </c>
      <c r="E1250" t="s">
        <v>118</v>
      </c>
      <c r="F1250" t="s">
        <v>73</v>
      </c>
      <c r="G1250" t="s">
        <v>74</v>
      </c>
      <c r="H1250" t="s">
        <v>108</v>
      </c>
      <c r="I1250" t="s">
        <v>84</v>
      </c>
      <c r="J1250" s="76" cm="1">
        <f t="array" ref="J1250:J1252">'SUT_EU27 total'!$K$21:$K$23</f>
        <v>1.4582562144772118E-3</v>
      </c>
    </row>
    <row r="1251" spans="1:10" x14ac:dyDescent="0.35">
      <c r="A1251" t="s">
        <v>18</v>
      </c>
      <c r="B1251" t="s">
        <v>38</v>
      </c>
      <c r="C1251" t="s">
        <v>73</v>
      </c>
      <c r="D1251" t="s">
        <v>81</v>
      </c>
      <c r="E1251" t="s">
        <v>119</v>
      </c>
      <c r="F1251" t="s">
        <v>73</v>
      </c>
      <c r="G1251" t="s">
        <v>74</v>
      </c>
      <c r="H1251" t="s">
        <v>108</v>
      </c>
      <c r="I1251" t="s">
        <v>84</v>
      </c>
      <c r="J1251" s="4">
        <v>8.4634636521458274E-4</v>
      </c>
    </row>
    <row r="1252" spans="1:10" x14ac:dyDescent="0.35">
      <c r="A1252" t="s">
        <v>18</v>
      </c>
      <c r="B1252" t="s">
        <v>38</v>
      </c>
      <c r="C1252" t="s">
        <v>73</v>
      </c>
      <c r="D1252" t="s">
        <v>81</v>
      </c>
      <c r="E1252" t="s">
        <v>120</v>
      </c>
      <c r="F1252" t="s">
        <v>73</v>
      </c>
      <c r="G1252" t="s">
        <v>74</v>
      </c>
      <c r="H1252" t="s">
        <v>108</v>
      </c>
      <c r="I1252" t="s">
        <v>84</v>
      </c>
      <c r="J1252" s="4">
        <v>1.2517329093179335E-4</v>
      </c>
    </row>
    <row r="1253" spans="1:10" x14ac:dyDescent="0.35">
      <c r="A1253" t="s">
        <v>18</v>
      </c>
      <c r="B1253" t="s">
        <v>38</v>
      </c>
      <c r="C1253" t="s">
        <v>73</v>
      </c>
      <c r="D1253" t="s">
        <v>81</v>
      </c>
      <c r="E1253" s="77" t="s">
        <v>121</v>
      </c>
      <c r="F1253" t="s">
        <v>73</v>
      </c>
      <c r="G1253" t="s">
        <v>74</v>
      </c>
      <c r="H1253" t="s">
        <v>108</v>
      </c>
      <c r="I1253" t="s">
        <v>84</v>
      </c>
      <c r="J1253" s="76">
        <f>'SUT_EU27 total'!$K$25</f>
        <v>6.9749679999999994E-2</v>
      </c>
    </row>
    <row r="1254" spans="1:10" x14ac:dyDescent="0.35">
      <c r="A1254" t="s">
        <v>18</v>
      </c>
      <c r="B1254" t="s">
        <v>38</v>
      </c>
      <c r="C1254" t="s">
        <v>73</v>
      </c>
      <c r="D1254" t="s">
        <v>81</v>
      </c>
      <c r="E1254" t="s">
        <v>117</v>
      </c>
      <c r="F1254" t="s">
        <v>73</v>
      </c>
      <c r="G1254" t="s">
        <v>74</v>
      </c>
      <c r="H1254" t="s">
        <v>108</v>
      </c>
      <c r="I1254" t="s">
        <v>84</v>
      </c>
      <c r="J1254" s="76">
        <f>'SUT_EU27 total'!$K$27</f>
        <v>1.1932942595726979E-3</v>
      </c>
    </row>
    <row r="1255" spans="1:10" x14ac:dyDescent="0.35">
      <c r="A1255" t="s">
        <v>18</v>
      </c>
      <c r="B1255" t="s">
        <v>38</v>
      </c>
      <c r="C1255" t="s">
        <v>73</v>
      </c>
      <c r="D1255" t="s">
        <v>81</v>
      </c>
      <c r="E1255" t="s">
        <v>122</v>
      </c>
      <c r="F1255" t="s">
        <v>73</v>
      </c>
      <c r="G1255" t="s">
        <v>74</v>
      </c>
      <c r="H1255" t="s">
        <v>108</v>
      </c>
      <c r="I1255" t="s">
        <v>84</v>
      </c>
      <c r="J1255" s="76">
        <f>'SUT_EU27 total'!$K$30</f>
        <v>1.5965533412604042E-3</v>
      </c>
    </row>
    <row r="1256" spans="1:10" x14ac:dyDescent="0.35">
      <c r="A1256" t="s">
        <v>18</v>
      </c>
      <c r="B1256" t="s">
        <v>38</v>
      </c>
      <c r="C1256" t="s">
        <v>73</v>
      </c>
      <c r="D1256" t="s">
        <v>81</v>
      </c>
      <c r="E1256" t="s">
        <v>101</v>
      </c>
      <c r="F1256" t="s">
        <v>73</v>
      </c>
      <c r="G1256" t="s">
        <v>74</v>
      </c>
      <c r="H1256" t="s">
        <v>108</v>
      </c>
      <c r="I1256" t="s">
        <v>84</v>
      </c>
      <c r="J1256" s="76" cm="1">
        <f t="array" ref="J1256:J1258">'SUT_EU27 total'!$K$32:$K$34</f>
        <v>2.4335351040000001E-4</v>
      </c>
    </row>
    <row r="1257" spans="1:10" x14ac:dyDescent="0.35">
      <c r="A1257" t="s">
        <v>18</v>
      </c>
      <c r="B1257" t="s">
        <v>38</v>
      </c>
      <c r="C1257" t="s">
        <v>73</v>
      </c>
      <c r="D1257" t="s">
        <v>81</v>
      </c>
      <c r="E1257" t="s">
        <v>104</v>
      </c>
      <c r="F1257" t="s">
        <v>73</v>
      </c>
      <c r="G1257" t="s">
        <v>74</v>
      </c>
      <c r="H1257" t="s">
        <v>108</v>
      </c>
      <c r="I1257" t="s">
        <v>84</v>
      </c>
      <c r="J1257" s="4">
        <v>4.6076808959999996E-4</v>
      </c>
    </row>
    <row r="1258" spans="1:10" x14ac:dyDescent="0.35">
      <c r="A1258" t="s">
        <v>18</v>
      </c>
      <c r="B1258" t="s">
        <v>38</v>
      </c>
      <c r="C1258" t="s">
        <v>73</v>
      </c>
      <c r="D1258" t="s">
        <v>81</v>
      </c>
      <c r="E1258" t="s">
        <v>106</v>
      </c>
      <c r="F1258" t="s">
        <v>73</v>
      </c>
      <c r="G1258" t="s">
        <v>74</v>
      </c>
      <c r="H1258" t="s">
        <v>108</v>
      </c>
      <c r="I1258" t="s">
        <v>84</v>
      </c>
      <c r="J1258" s="4">
        <v>1.5672383999999996E-3</v>
      </c>
    </row>
    <row r="1259" spans="1:10" x14ac:dyDescent="0.35">
      <c r="A1259" t="s">
        <v>18</v>
      </c>
      <c r="B1259" t="s">
        <v>38</v>
      </c>
      <c r="C1259" t="s">
        <v>88</v>
      </c>
      <c r="D1259" t="s">
        <v>81</v>
      </c>
      <c r="E1259" t="s">
        <v>118</v>
      </c>
      <c r="F1259" t="s">
        <v>73</v>
      </c>
      <c r="G1259" t="s">
        <v>74</v>
      </c>
      <c r="H1259" t="s">
        <v>108</v>
      </c>
      <c r="I1259" t="s">
        <v>84</v>
      </c>
      <c r="J1259" s="76" cm="1">
        <f t="array" ref="J1259:J1261">'SUT_EU27 total'!$K$38:$K$40</f>
        <v>3.3029309855227888E-2</v>
      </c>
    </row>
    <row r="1260" spans="1:10" x14ac:dyDescent="0.35">
      <c r="A1260" t="s">
        <v>18</v>
      </c>
      <c r="B1260" t="s">
        <v>38</v>
      </c>
      <c r="C1260" t="s">
        <v>88</v>
      </c>
      <c r="D1260" t="s">
        <v>81</v>
      </c>
      <c r="E1260" t="s">
        <v>119</v>
      </c>
      <c r="F1260" t="s">
        <v>73</v>
      </c>
      <c r="G1260" t="s">
        <v>74</v>
      </c>
      <c r="H1260" t="s">
        <v>108</v>
      </c>
      <c r="I1260" t="s">
        <v>84</v>
      </c>
      <c r="J1260" s="4">
        <v>6.9915569300335089E-3</v>
      </c>
    </row>
    <row r="1261" spans="1:10" x14ac:dyDescent="0.35">
      <c r="A1261" t="s">
        <v>18</v>
      </c>
      <c r="B1261" t="s">
        <v>38</v>
      </c>
      <c r="C1261" t="s">
        <v>88</v>
      </c>
      <c r="D1261" t="s">
        <v>81</v>
      </c>
      <c r="E1261" t="s">
        <v>120</v>
      </c>
      <c r="F1261" t="s">
        <v>73</v>
      </c>
      <c r="G1261" t="s">
        <v>74</v>
      </c>
      <c r="H1261" t="s">
        <v>108</v>
      </c>
      <c r="I1261" t="s">
        <v>84</v>
      </c>
      <c r="J1261" s="4">
        <v>1.5283979779928203E-3</v>
      </c>
    </row>
    <row r="1262" spans="1:10" x14ac:dyDescent="0.35">
      <c r="A1262" t="s">
        <v>18</v>
      </c>
      <c r="B1262" t="s">
        <v>38</v>
      </c>
      <c r="C1262" t="s">
        <v>88</v>
      </c>
      <c r="D1262" t="s">
        <v>81</v>
      </c>
      <c r="E1262" s="77" t="s">
        <v>121</v>
      </c>
      <c r="F1262" t="s">
        <v>73</v>
      </c>
      <c r="G1262" t="s">
        <v>74</v>
      </c>
      <c r="H1262" t="s">
        <v>108</v>
      </c>
      <c r="I1262" t="s">
        <v>84</v>
      </c>
      <c r="J1262" s="4">
        <f>'SUT_EU27 total'!$K$42</f>
        <v>0</v>
      </c>
    </row>
    <row r="1263" spans="1:10" x14ac:dyDescent="0.35">
      <c r="A1263" t="s">
        <v>18</v>
      </c>
      <c r="B1263" t="s">
        <v>38</v>
      </c>
      <c r="C1263" t="s">
        <v>88</v>
      </c>
      <c r="D1263" t="s">
        <v>81</v>
      </c>
      <c r="E1263" t="s">
        <v>117</v>
      </c>
      <c r="F1263" t="s">
        <v>73</v>
      </c>
      <c r="G1263" t="s">
        <v>74</v>
      </c>
      <c r="H1263" t="s">
        <v>108</v>
      </c>
      <c r="I1263" t="s">
        <v>84</v>
      </c>
      <c r="J1263" s="76">
        <f>'SUT_EU27 total'!$K$44</f>
        <v>9.9090099874062521E-4</v>
      </c>
    </row>
    <row r="1264" spans="1:10" x14ac:dyDescent="0.35">
      <c r="A1264" t="s">
        <v>18</v>
      </c>
      <c r="B1264" t="s">
        <v>38</v>
      </c>
      <c r="C1264" t="s">
        <v>88</v>
      </c>
      <c r="D1264" t="s">
        <v>81</v>
      </c>
      <c r="E1264" t="s">
        <v>122</v>
      </c>
      <c r="F1264" t="s">
        <v>73</v>
      </c>
      <c r="G1264" t="s">
        <v>74</v>
      </c>
      <c r="H1264" t="s">
        <v>108</v>
      </c>
      <c r="I1264" t="s">
        <v>84</v>
      </c>
      <c r="J1264" s="76">
        <f>'SUT_EU27 total'!$K$47</f>
        <v>0</v>
      </c>
    </row>
    <row r="1265" spans="1:10" x14ac:dyDescent="0.35">
      <c r="A1265" t="s">
        <v>18</v>
      </c>
      <c r="B1265" t="s">
        <v>38</v>
      </c>
      <c r="C1265" t="s">
        <v>88</v>
      </c>
      <c r="D1265" t="s">
        <v>81</v>
      </c>
      <c r="E1265" t="s">
        <v>101</v>
      </c>
      <c r="F1265" t="s">
        <v>73</v>
      </c>
      <c r="G1265" t="s">
        <v>74</v>
      </c>
      <c r="H1265" t="s">
        <v>108</v>
      </c>
      <c r="I1265" t="s">
        <v>84</v>
      </c>
      <c r="J1265" s="4" cm="1">
        <f t="array" ref="J1265:J1267">'SUT_EU27 total'!$K$49:$K$51</f>
        <v>0</v>
      </c>
    </row>
    <row r="1266" spans="1:10" x14ac:dyDescent="0.35">
      <c r="A1266" t="s">
        <v>18</v>
      </c>
      <c r="B1266" t="s">
        <v>38</v>
      </c>
      <c r="C1266" t="s">
        <v>88</v>
      </c>
      <c r="D1266" t="s">
        <v>81</v>
      </c>
      <c r="E1266" t="s">
        <v>104</v>
      </c>
      <c r="F1266" t="s">
        <v>73</v>
      </c>
      <c r="G1266" t="s">
        <v>74</v>
      </c>
      <c r="H1266" t="s">
        <v>108</v>
      </c>
      <c r="I1266" t="s">
        <v>84</v>
      </c>
      <c r="J1266" s="4">
        <v>0</v>
      </c>
    </row>
    <row r="1267" spans="1:10" x14ac:dyDescent="0.35">
      <c r="A1267" t="s">
        <v>18</v>
      </c>
      <c r="B1267" t="s">
        <v>38</v>
      </c>
      <c r="C1267" t="s">
        <v>88</v>
      </c>
      <c r="D1267" t="s">
        <v>81</v>
      </c>
      <c r="E1267" t="s">
        <v>106</v>
      </c>
      <c r="F1267" t="s">
        <v>73</v>
      </c>
      <c r="G1267" t="s">
        <v>74</v>
      </c>
      <c r="H1267" t="s">
        <v>108</v>
      </c>
      <c r="I1267" t="s">
        <v>84</v>
      </c>
      <c r="J1267" s="4">
        <v>0</v>
      </c>
    </row>
    <row r="1268" spans="1:10" x14ac:dyDescent="0.35">
      <c r="A1268" t="s">
        <v>18</v>
      </c>
      <c r="B1268" t="s">
        <v>38</v>
      </c>
      <c r="C1268" t="s">
        <v>90</v>
      </c>
      <c r="D1268" t="s">
        <v>81</v>
      </c>
      <c r="E1268" t="s">
        <v>118</v>
      </c>
      <c r="F1268" t="s">
        <v>73</v>
      </c>
      <c r="G1268" t="s">
        <v>74</v>
      </c>
      <c r="H1268" t="s">
        <v>108</v>
      </c>
      <c r="I1268" t="s">
        <v>84</v>
      </c>
      <c r="J1268" s="76" cm="1">
        <f t="array" ref="J1268:J1270">'SUT_EU27 total'!$K$55:$K$57</f>
        <v>4.323194595174263E-3</v>
      </c>
    </row>
    <row r="1269" spans="1:10" x14ac:dyDescent="0.35">
      <c r="A1269" t="s">
        <v>18</v>
      </c>
      <c r="B1269" t="s">
        <v>38</v>
      </c>
      <c r="C1269" t="s">
        <v>90</v>
      </c>
      <c r="D1269" t="s">
        <v>81</v>
      </c>
      <c r="E1269" t="s">
        <v>119</v>
      </c>
      <c r="F1269" t="s">
        <v>73</v>
      </c>
      <c r="G1269" t="s">
        <v>74</v>
      </c>
      <c r="H1269" t="s">
        <v>108</v>
      </c>
      <c r="I1269" t="s">
        <v>84</v>
      </c>
      <c r="J1269" s="4">
        <v>1.2800331672655335E-3</v>
      </c>
    </row>
    <row r="1270" spans="1:10" x14ac:dyDescent="0.35">
      <c r="A1270" t="s">
        <v>18</v>
      </c>
      <c r="B1270" t="s">
        <v>38</v>
      </c>
      <c r="C1270" t="s">
        <v>90</v>
      </c>
      <c r="D1270" t="s">
        <v>81</v>
      </c>
      <c r="E1270" t="s">
        <v>120</v>
      </c>
      <c r="F1270" t="s">
        <v>73</v>
      </c>
      <c r="G1270" t="s">
        <v>74</v>
      </c>
      <c r="H1270" t="s">
        <v>108</v>
      </c>
      <c r="I1270" t="s">
        <v>84</v>
      </c>
      <c r="J1270" s="4">
        <v>5.6700291220540041E-3</v>
      </c>
    </row>
    <row r="1271" spans="1:10" x14ac:dyDescent="0.35">
      <c r="A1271" t="s">
        <v>18</v>
      </c>
      <c r="B1271" t="s">
        <v>38</v>
      </c>
      <c r="C1271" t="s">
        <v>90</v>
      </c>
      <c r="D1271" t="s">
        <v>81</v>
      </c>
      <c r="E1271" s="77" t="s">
        <v>121</v>
      </c>
      <c r="F1271" t="s">
        <v>73</v>
      </c>
      <c r="G1271" t="s">
        <v>74</v>
      </c>
      <c r="H1271" t="s">
        <v>108</v>
      </c>
      <c r="I1271" t="s">
        <v>84</v>
      </c>
      <c r="J1271" s="4">
        <f>'SUT_EU27 total'!$K$59</f>
        <v>0</v>
      </c>
    </row>
    <row r="1272" spans="1:10" x14ac:dyDescent="0.35">
      <c r="A1272" t="s">
        <v>18</v>
      </c>
      <c r="B1272" t="s">
        <v>38</v>
      </c>
      <c r="C1272" t="s">
        <v>90</v>
      </c>
      <c r="D1272" t="s">
        <v>81</v>
      </c>
      <c r="E1272" t="s">
        <v>117</v>
      </c>
      <c r="F1272" t="s">
        <v>73</v>
      </c>
      <c r="G1272" t="s">
        <v>74</v>
      </c>
      <c r="H1272" t="s">
        <v>108</v>
      </c>
      <c r="I1272" t="s">
        <v>84</v>
      </c>
      <c r="J1272" s="76">
        <f>'SUT_EU27 total'!$K$61</f>
        <v>1.1930979242119881E-3</v>
      </c>
    </row>
    <row r="1273" spans="1:10" x14ac:dyDescent="0.35">
      <c r="A1273" t="s">
        <v>18</v>
      </c>
      <c r="B1273" t="s">
        <v>38</v>
      </c>
      <c r="C1273" t="s">
        <v>90</v>
      </c>
      <c r="D1273" t="s">
        <v>81</v>
      </c>
      <c r="E1273" t="s">
        <v>122</v>
      </c>
      <c r="F1273" t="s">
        <v>73</v>
      </c>
      <c r="G1273" t="s">
        <v>74</v>
      </c>
      <c r="H1273" t="s">
        <v>108</v>
      </c>
      <c r="I1273" t="s">
        <v>84</v>
      </c>
      <c r="J1273" s="76">
        <f>'SUT_EU27 total'!$K$64</f>
        <v>2.5776238002378116E-3</v>
      </c>
    </row>
    <row r="1274" spans="1:10" x14ac:dyDescent="0.35">
      <c r="A1274" t="s">
        <v>18</v>
      </c>
      <c r="B1274" t="s">
        <v>38</v>
      </c>
      <c r="C1274" t="s">
        <v>90</v>
      </c>
      <c r="D1274" t="s">
        <v>81</v>
      </c>
      <c r="E1274" t="s">
        <v>101</v>
      </c>
      <c r="F1274" t="s">
        <v>73</v>
      </c>
      <c r="G1274" t="s">
        <v>74</v>
      </c>
      <c r="H1274" t="s">
        <v>108</v>
      </c>
      <c r="I1274" t="s">
        <v>84</v>
      </c>
      <c r="J1274" s="4" cm="1">
        <f t="array" ref="J1274:J1276">'SUT_EU27 total'!$K$66:$K$68</f>
        <v>0</v>
      </c>
    </row>
    <row r="1275" spans="1:10" x14ac:dyDescent="0.35">
      <c r="A1275" t="s">
        <v>18</v>
      </c>
      <c r="B1275" t="s">
        <v>38</v>
      </c>
      <c r="C1275" t="s">
        <v>90</v>
      </c>
      <c r="D1275" t="s">
        <v>81</v>
      </c>
      <c r="E1275" t="s">
        <v>104</v>
      </c>
      <c r="F1275" t="s">
        <v>73</v>
      </c>
      <c r="G1275" t="s">
        <v>74</v>
      </c>
      <c r="H1275" t="s">
        <v>108</v>
      </c>
      <c r="I1275" t="s">
        <v>84</v>
      </c>
      <c r="J1275" s="4">
        <v>0</v>
      </c>
    </row>
    <row r="1276" spans="1:10" x14ac:dyDescent="0.35">
      <c r="A1276" t="s">
        <v>18</v>
      </c>
      <c r="B1276" t="s">
        <v>38</v>
      </c>
      <c r="C1276" t="s">
        <v>90</v>
      </c>
      <c r="D1276" t="s">
        <v>81</v>
      </c>
      <c r="E1276" t="s">
        <v>106</v>
      </c>
      <c r="F1276" t="s">
        <v>73</v>
      </c>
      <c r="G1276" t="s">
        <v>74</v>
      </c>
      <c r="H1276" t="s">
        <v>108</v>
      </c>
      <c r="I1276" t="s">
        <v>84</v>
      </c>
      <c r="J1276" s="4">
        <v>0</v>
      </c>
    </row>
    <row r="1277" spans="1:10" x14ac:dyDescent="0.35">
      <c r="A1277" t="s">
        <v>18</v>
      </c>
      <c r="B1277" t="s">
        <v>38</v>
      </c>
      <c r="C1277" t="s">
        <v>91</v>
      </c>
      <c r="D1277" t="s">
        <v>81</v>
      </c>
      <c r="E1277" t="s">
        <v>118</v>
      </c>
      <c r="F1277" t="s">
        <v>73</v>
      </c>
      <c r="G1277" t="s">
        <v>74</v>
      </c>
      <c r="H1277" t="s">
        <v>108</v>
      </c>
      <c r="I1277" t="s">
        <v>84</v>
      </c>
      <c r="J1277" s="76" cm="1">
        <f t="array" ref="J1277:J1279">'SUT_EU27 total'!$K$72:$K$74</f>
        <v>5.3791732332439677E-3</v>
      </c>
    </row>
    <row r="1278" spans="1:10" x14ac:dyDescent="0.35">
      <c r="A1278" t="s">
        <v>18</v>
      </c>
      <c r="B1278" t="s">
        <v>38</v>
      </c>
      <c r="C1278" t="s">
        <v>91</v>
      </c>
      <c r="D1278" t="s">
        <v>81</v>
      </c>
      <c r="E1278" t="s">
        <v>119</v>
      </c>
      <c r="F1278" t="s">
        <v>73</v>
      </c>
      <c r="G1278" t="s">
        <v>74</v>
      </c>
      <c r="H1278" t="s">
        <v>108</v>
      </c>
      <c r="I1278" t="s">
        <v>84</v>
      </c>
      <c r="J1278" s="4">
        <v>6.5526133182607291E-3</v>
      </c>
    </row>
    <row r="1279" spans="1:10" x14ac:dyDescent="0.35">
      <c r="A1279" t="s">
        <v>18</v>
      </c>
      <c r="B1279" t="s">
        <v>38</v>
      </c>
      <c r="C1279" t="s">
        <v>91</v>
      </c>
      <c r="D1279" t="s">
        <v>81</v>
      </c>
      <c r="E1279" t="s">
        <v>120</v>
      </c>
      <c r="F1279" t="s">
        <v>73</v>
      </c>
      <c r="G1279" t="s">
        <v>74</v>
      </c>
      <c r="H1279" t="s">
        <v>108</v>
      </c>
      <c r="I1279" t="s">
        <v>84</v>
      </c>
      <c r="J1279" s="4">
        <v>2.464950959887623E-4</v>
      </c>
    </row>
    <row r="1280" spans="1:10" x14ac:dyDescent="0.35">
      <c r="A1280" t="s">
        <v>18</v>
      </c>
      <c r="B1280" t="s">
        <v>38</v>
      </c>
      <c r="C1280" t="s">
        <v>91</v>
      </c>
      <c r="D1280" t="s">
        <v>81</v>
      </c>
      <c r="E1280" s="77" t="s">
        <v>121</v>
      </c>
      <c r="F1280" t="s">
        <v>73</v>
      </c>
      <c r="G1280" t="s">
        <v>74</v>
      </c>
      <c r="H1280" t="s">
        <v>108</v>
      </c>
      <c r="I1280" t="s">
        <v>84</v>
      </c>
      <c r="J1280" s="4">
        <f>'SUT_EU27 total'!$K$76</f>
        <v>0</v>
      </c>
    </row>
    <row r="1281" spans="1:10" x14ac:dyDescent="0.35">
      <c r="A1281" t="s">
        <v>18</v>
      </c>
      <c r="B1281" t="s">
        <v>38</v>
      </c>
      <c r="C1281" t="s">
        <v>91</v>
      </c>
      <c r="D1281" t="s">
        <v>81</v>
      </c>
      <c r="E1281" t="s">
        <v>117</v>
      </c>
      <c r="F1281" t="s">
        <v>73</v>
      </c>
      <c r="G1281" t="s">
        <v>74</v>
      </c>
      <c r="H1281" t="s">
        <v>108</v>
      </c>
      <c r="I1281" t="s">
        <v>84</v>
      </c>
      <c r="J1281" s="76">
        <f>'SUT_EU27 total'!$K$78</f>
        <v>1.1485683451306521E-3</v>
      </c>
    </row>
    <row r="1282" spans="1:10" x14ac:dyDescent="0.35">
      <c r="A1282" t="s">
        <v>18</v>
      </c>
      <c r="B1282" t="s">
        <v>38</v>
      </c>
      <c r="C1282" t="s">
        <v>91</v>
      </c>
      <c r="D1282" t="s">
        <v>81</v>
      </c>
      <c r="E1282" t="s">
        <v>122</v>
      </c>
      <c r="F1282" t="s">
        <v>73</v>
      </c>
      <c r="G1282" t="s">
        <v>74</v>
      </c>
      <c r="H1282" t="s">
        <v>108</v>
      </c>
      <c r="I1282" t="s">
        <v>84</v>
      </c>
      <c r="J1282" s="76">
        <f>'SUT_EU27 total'!$K$81</f>
        <v>0</v>
      </c>
    </row>
    <row r="1283" spans="1:10" x14ac:dyDescent="0.35">
      <c r="A1283" t="s">
        <v>18</v>
      </c>
      <c r="B1283" t="s">
        <v>38</v>
      </c>
      <c r="C1283" t="s">
        <v>91</v>
      </c>
      <c r="D1283" t="s">
        <v>81</v>
      </c>
      <c r="E1283" t="s">
        <v>101</v>
      </c>
      <c r="F1283" t="s">
        <v>73</v>
      </c>
      <c r="G1283" t="s">
        <v>74</v>
      </c>
      <c r="H1283" t="s">
        <v>108</v>
      </c>
      <c r="I1283" t="s">
        <v>84</v>
      </c>
      <c r="J1283" s="4" cm="1">
        <f t="array" ref="J1283:J1285">'SUT_EU27 total'!$K$83:$K$85</f>
        <v>0</v>
      </c>
    </row>
    <row r="1284" spans="1:10" x14ac:dyDescent="0.35">
      <c r="A1284" t="s">
        <v>18</v>
      </c>
      <c r="B1284" t="s">
        <v>38</v>
      </c>
      <c r="C1284" t="s">
        <v>91</v>
      </c>
      <c r="D1284" t="s">
        <v>81</v>
      </c>
      <c r="E1284" t="s">
        <v>104</v>
      </c>
      <c r="F1284" t="s">
        <v>73</v>
      </c>
      <c r="G1284" t="s">
        <v>74</v>
      </c>
      <c r="H1284" t="s">
        <v>108</v>
      </c>
      <c r="I1284" t="s">
        <v>84</v>
      </c>
      <c r="J1284" s="4">
        <v>0</v>
      </c>
    </row>
    <row r="1285" spans="1:10" x14ac:dyDescent="0.35">
      <c r="A1285" t="s">
        <v>18</v>
      </c>
      <c r="B1285" t="s">
        <v>38</v>
      </c>
      <c r="C1285" t="s">
        <v>91</v>
      </c>
      <c r="D1285" t="s">
        <v>81</v>
      </c>
      <c r="E1285" t="s">
        <v>106</v>
      </c>
      <c r="F1285" t="s">
        <v>73</v>
      </c>
      <c r="G1285" t="s">
        <v>74</v>
      </c>
      <c r="H1285" t="s">
        <v>108</v>
      </c>
      <c r="I1285" t="s">
        <v>84</v>
      </c>
      <c r="J1285" s="4">
        <v>0</v>
      </c>
    </row>
    <row r="1286" spans="1:10" x14ac:dyDescent="0.35">
      <c r="A1286" t="s">
        <v>18</v>
      </c>
      <c r="B1286" t="s">
        <v>38</v>
      </c>
      <c r="C1286" t="s">
        <v>92</v>
      </c>
      <c r="D1286" t="s">
        <v>81</v>
      </c>
      <c r="E1286" t="s">
        <v>118</v>
      </c>
      <c r="F1286" t="s">
        <v>73</v>
      </c>
      <c r="G1286" t="s">
        <v>74</v>
      </c>
      <c r="H1286" t="s">
        <v>108</v>
      </c>
      <c r="I1286" t="s">
        <v>84</v>
      </c>
      <c r="J1286" s="76" cm="1">
        <f t="array" ref="J1286:J1288">'SUT_EU27 total'!$K$89:$K$91</f>
        <v>3.3497344343163542E-3</v>
      </c>
    </row>
    <row r="1287" spans="1:10" x14ac:dyDescent="0.35">
      <c r="A1287" t="s">
        <v>18</v>
      </c>
      <c r="B1287" t="s">
        <v>38</v>
      </c>
      <c r="C1287" t="s">
        <v>92</v>
      </c>
      <c r="D1287" t="s">
        <v>81</v>
      </c>
      <c r="E1287" t="s">
        <v>119</v>
      </c>
      <c r="F1287" t="s">
        <v>73</v>
      </c>
      <c r="G1287" t="s">
        <v>74</v>
      </c>
      <c r="H1287" t="s">
        <v>108</v>
      </c>
      <c r="I1287" t="s">
        <v>84</v>
      </c>
      <c r="J1287" s="4">
        <v>6.0269323460777589E-3</v>
      </c>
    </row>
    <row r="1288" spans="1:10" x14ac:dyDescent="0.35">
      <c r="A1288" t="s">
        <v>18</v>
      </c>
      <c r="B1288" t="s">
        <v>38</v>
      </c>
      <c r="C1288" t="s">
        <v>92</v>
      </c>
      <c r="D1288" t="s">
        <v>81</v>
      </c>
      <c r="E1288" t="s">
        <v>120</v>
      </c>
      <c r="F1288" t="s">
        <v>73</v>
      </c>
      <c r="G1288" t="s">
        <v>74</v>
      </c>
      <c r="H1288" t="s">
        <v>108</v>
      </c>
      <c r="I1288" t="s">
        <v>84</v>
      </c>
      <c r="J1288" s="4">
        <v>4.0947713992508196E-3</v>
      </c>
    </row>
    <row r="1289" spans="1:10" x14ac:dyDescent="0.35">
      <c r="A1289" t="s">
        <v>18</v>
      </c>
      <c r="B1289" t="s">
        <v>38</v>
      </c>
      <c r="C1289" t="s">
        <v>92</v>
      </c>
      <c r="D1289" t="s">
        <v>81</v>
      </c>
      <c r="E1289" s="77" t="s">
        <v>121</v>
      </c>
      <c r="F1289" t="s">
        <v>73</v>
      </c>
      <c r="G1289" t="s">
        <v>74</v>
      </c>
      <c r="H1289" t="s">
        <v>108</v>
      </c>
      <c r="I1289" t="s">
        <v>84</v>
      </c>
      <c r="J1289" s="4">
        <f>'SUT_EU27 total'!$K$93</f>
        <v>0</v>
      </c>
    </row>
    <row r="1290" spans="1:10" x14ac:dyDescent="0.35">
      <c r="A1290" t="s">
        <v>18</v>
      </c>
      <c r="B1290" t="s">
        <v>38</v>
      </c>
      <c r="C1290" t="s">
        <v>92</v>
      </c>
      <c r="D1290" t="s">
        <v>81</v>
      </c>
      <c r="E1290" t="s">
        <v>117</v>
      </c>
      <c r="F1290" t="s">
        <v>73</v>
      </c>
      <c r="G1290" t="s">
        <v>74</v>
      </c>
      <c r="H1290" t="s">
        <v>108</v>
      </c>
      <c r="I1290" t="s">
        <v>84</v>
      </c>
      <c r="J1290" s="4">
        <f>'SUT_EU27 total'!$K$95</f>
        <v>0</v>
      </c>
    </row>
    <row r="1291" spans="1:10" x14ac:dyDescent="0.35">
      <c r="A1291" t="s">
        <v>18</v>
      </c>
      <c r="B1291" t="s">
        <v>38</v>
      </c>
      <c r="C1291" t="s">
        <v>92</v>
      </c>
      <c r="D1291" t="s">
        <v>81</v>
      </c>
      <c r="E1291" t="s">
        <v>122</v>
      </c>
      <c r="F1291" t="s">
        <v>73</v>
      </c>
      <c r="G1291" t="s">
        <v>74</v>
      </c>
      <c r="H1291" t="s">
        <v>108</v>
      </c>
      <c r="I1291" t="s">
        <v>84</v>
      </c>
      <c r="J1291" s="76">
        <f>'SUT_EU27 total'!$K$98</f>
        <v>0</v>
      </c>
    </row>
    <row r="1292" spans="1:10" x14ac:dyDescent="0.35">
      <c r="A1292" t="s">
        <v>18</v>
      </c>
      <c r="B1292" t="s">
        <v>38</v>
      </c>
      <c r="C1292" t="s">
        <v>92</v>
      </c>
      <c r="D1292" t="s">
        <v>81</v>
      </c>
      <c r="E1292" t="s">
        <v>101</v>
      </c>
      <c r="F1292" t="s">
        <v>73</v>
      </c>
      <c r="G1292" t="s">
        <v>74</v>
      </c>
      <c r="H1292" t="s">
        <v>108</v>
      </c>
      <c r="I1292" t="s">
        <v>84</v>
      </c>
      <c r="J1292" s="4" cm="1">
        <f t="array" ref="J1292:J1294">'SUT_EU27 total'!$K$100:$K$102</f>
        <v>0</v>
      </c>
    </row>
    <row r="1293" spans="1:10" x14ac:dyDescent="0.35">
      <c r="A1293" t="s">
        <v>18</v>
      </c>
      <c r="B1293" t="s">
        <v>38</v>
      </c>
      <c r="C1293" t="s">
        <v>92</v>
      </c>
      <c r="D1293" t="s">
        <v>81</v>
      </c>
      <c r="E1293" t="s">
        <v>104</v>
      </c>
      <c r="F1293" t="s">
        <v>73</v>
      </c>
      <c r="G1293" t="s">
        <v>74</v>
      </c>
      <c r="H1293" t="s">
        <v>108</v>
      </c>
      <c r="I1293" t="s">
        <v>84</v>
      </c>
      <c r="J1293" s="4">
        <v>0</v>
      </c>
    </row>
    <row r="1294" spans="1:10" x14ac:dyDescent="0.35">
      <c r="A1294" t="s">
        <v>18</v>
      </c>
      <c r="B1294" t="s">
        <v>38</v>
      </c>
      <c r="C1294" t="s">
        <v>92</v>
      </c>
      <c r="D1294" t="s">
        <v>81</v>
      </c>
      <c r="E1294" t="s">
        <v>106</v>
      </c>
      <c r="F1294" t="s">
        <v>73</v>
      </c>
      <c r="G1294" t="s">
        <v>74</v>
      </c>
      <c r="H1294" t="s">
        <v>108</v>
      </c>
      <c r="I1294" t="s">
        <v>84</v>
      </c>
      <c r="J1294" s="4">
        <v>0</v>
      </c>
    </row>
    <row r="1295" spans="1:10" x14ac:dyDescent="0.35">
      <c r="A1295" t="s">
        <v>18</v>
      </c>
      <c r="B1295" t="s">
        <v>38</v>
      </c>
      <c r="C1295" t="s">
        <v>93</v>
      </c>
      <c r="D1295" t="s">
        <v>81</v>
      </c>
      <c r="E1295" t="s">
        <v>118</v>
      </c>
      <c r="F1295" t="s">
        <v>73</v>
      </c>
      <c r="G1295" t="s">
        <v>74</v>
      </c>
      <c r="H1295" t="s">
        <v>108</v>
      </c>
      <c r="I1295" t="s">
        <v>84</v>
      </c>
      <c r="J1295" s="76" cm="1">
        <f t="array" ref="J1295:J1297">'SUT_EU27 total'!$K$106:$K$108</f>
        <v>1.4980971667560324E-2</v>
      </c>
    </row>
    <row r="1296" spans="1:10" x14ac:dyDescent="0.35">
      <c r="A1296" t="s">
        <v>18</v>
      </c>
      <c r="B1296" t="s">
        <v>38</v>
      </c>
      <c r="C1296" t="s">
        <v>93</v>
      </c>
      <c r="D1296" t="s">
        <v>81</v>
      </c>
      <c r="E1296" t="s">
        <v>119</v>
      </c>
      <c r="F1296" t="s">
        <v>73</v>
      </c>
      <c r="G1296" t="s">
        <v>74</v>
      </c>
      <c r="H1296" t="s">
        <v>108</v>
      </c>
      <c r="I1296" t="s">
        <v>84</v>
      </c>
      <c r="J1296" s="4">
        <v>4.3405477873147885E-2</v>
      </c>
    </row>
    <row r="1297" spans="1:10" x14ac:dyDescent="0.35">
      <c r="A1297" t="s">
        <v>18</v>
      </c>
      <c r="B1297" t="s">
        <v>38</v>
      </c>
      <c r="C1297" t="s">
        <v>93</v>
      </c>
      <c r="D1297" t="s">
        <v>81</v>
      </c>
      <c r="E1297" t="s">
        <v>120</v>
      </c>
      <c r="F1297" t="s">
        <v>73</v>
      </c>
      <c r="G1297" t="s">
        <v>74</v>
      </c>
      <c r="H1297" t="s">
        <v>108</v>
      </c>
      <c r="I1297" t="s">
        <v>84</v>
      </c>
      <c r="J1297" s="4">
        <v>2.1237093113781802E-2</v>
      </c>
    </row>
    <row r="1298" spans="1:10" x14ac:dyDescent="0.35">
      <c r="A1298" t="s">
        <v>18</v>
      </c>
      <c r="B1298" t="s">
        <v>38</v>
      </c>
      <c r="C1298" t="s">
        <v>93</v>
      </c>
      <c r="D1298" t="s">
        <v>81</v>
      </c>
      <c r="E1298" s="77" t="s">
        <v>121</v>
      </c>
      <c r="F1298" t="s">
        <v>73</v>
      </c>
      <c r="G1298" t="s">
        <v>74</v>
      </c>
      <c r="H1298" t="s">
        <v>108</v>
      </c>
      <c r="I1298" t="s">
        <v>84</v>
      </c>
      <c r="J1298" s="4">
        <f>'SUT_EU27 total'!$K$110</f>
        <v>0</v>
      </c>
    </row>
    <row r="1299" spans="1:10" x14ac:dyDescent="0.35">
      <c r="A1299" t="s">
        <v>18</v>
      </c>
      <c r="B1299" t="s">
        <v>38</v>
      </c>
      <c r="C1299" t="s">
        <v>93</v>
      </c>
      <c r="D1299" t="s">
        <v>81</v>
      </c>
      <c r="E1299" t="s">
        <v>117</v>
      </c>
      <c r="F1299" t="s">
        <v>73</v>
      </c>
      <c r="G1299" t="s">
        <v>74</v>
      </c>
      <c r="H1299" t="s">
        <v>108</v>
      </c>
      <c r="I1299" t="s">
        <v>84</v>
      </c>
      <c r="J1299" s="76">
        <f>'SUT_EU27 total'!$K$112</f>
        <v>1.1930984723440377E-3</v>
      </c>
    </row>
    <row r="1300" spans="1:10" x14ac:dyDescent="0.35">
      <c r="A1300" t="s">
        <v>18</v>
      </c>
      <c r="B1300" t="s">
        <v>38</v>
      </c>
      <c r="C1300" t="s">
        <v>93</v>
      </c>
      <c r="D1300" t="s">
        <v>81</v>
      </c>
      <c r="E1300" t="s">
        <v>122</v>
      </c>
      <c r="F1300" t="s">
        <v>73</v>
      </c>
      <c r="G1300" t="s">
        <v>74</v>
      </c>
      <c r="H1300" t="s">
        <v>108</v>
      </c>
      <c r="I1300" t="s">
        <v>84</v>
      </c>
      <c r="J1300" s="76">
        <f>'SUT_EU27 total'!$K$115</f>
        <v>8.7987828585017833E-3</v>
      </c>
    </row>
    <row r="1301" spans="1:10" x14ac:dyDescent="0.35">
      <c r="A1301" t="s">
        <v>18</v>
      </c>
      <c r="B1301" t="s">
        <v>38</v>
      </c>
      <c r="C1301" t="s">
        <v>93</v>
      </c>
      <c r="D1301" t="s">
        <v>81</v>
      </c>
      <c r="E1301" t="s">
        <v>101</v>
      </c>
      <c r="F1301" t="s">
        <v>73</v>
      </c>
      <c r="G1301" t="s">
        <v>74</v>
      </c>
      <c r="H1301" t="s">
        <v>108</v>
      </c>
      <c r="I1301" t="s">
        <v>84</v>
      </c>
      <c r="J1301" s="4" cm="1">
        <f t="array" ref="J1301:J1303">'SUT_EU27 total'!$K$117:$K$119</f>
        <v>0</v>
      </c>
    </row>
    <row r="1302" spans="1:10" x14ac:dyDescent="0.35">
      <c r="A1302" t="s">
        <v>18</v>
      </c>
      <c r="B1302" t="s">
        <v>38</v>
      </c>
      <c r="C1302" t="s">
        <v>93</v>
      </c>
      <c r="D1302" t="s">
        <v>81</v>
      </c>
      <c r="E1302" t="s">
        <v>104</v>
      </c>
      <c r="F1302" t="s">
        <v>73</v>
      </c>
      <c r="G1302" t="s">
        <v>74</v>
      </c>
      <c r="H1302" t="s">
        <v>108</v>
      </c>
      <c r="I1302" t="s">
        <v>84</v>
      </c>
      <c r="J1302" s="4">
        <v>0</v>
      </c>
    </row>
    <row r="1303" spans="1:10" x14ac:dyDescent="0.35">
      <c r="A1303" t="s">
        <v>18</v>
      </c>
      <c r="B1303" t="s">
        <v>38</v>
      </c>
      <c r="C1303" t="s">
        <v>93</v>
      </c>
      <c r="D1303" t="s">
        <v>81</v>
      </c>
      <c r="E1303" t="s">
        <v>106</v>
      </c>
      <c r="F1303" t="s">
        <v>73</v>
      </c>
      <c r="G1303" t="s">
        <v>74</v>
      </c>
      <c r="H1303" t="s">
        <v>108</v>
      </c>
      <c r="I1303" t="s">
        <v>84</v>
      </c>
      <c r="J1303" s="4">
        <v>0</v>
      </c>
    </row>
    <row r="1304" spans="1:10" x14ac:dyDescent="0.35">
      <c r="A1304" t="s">
        <v>18</v>
      </c>
      <c r="B1304" t="s">
        <v>38</v>
      </c>
      <c r="C1304" t="s">
        <v>73</v>
      </c>
      <c r="D1304" t="s">
        <v>81</v>
      </c>
      <c r="E1304" t="s">
        <v>119</v>
      </c>
      <c r="F1304" t="s">
        <v>73</v>
      </c>
      <c r="G1304" t="s">
        <v>74</v>
      </c>
      <c r="H1304" t="s">
        <v>123</v>
      </c>
      <c r="I1304" t="s">
        <v>84</v>
      </c>
      <c r="J1304" s="76">
        <f>'SUT_EU27 total'!$L$22</f>
        <v>1.9500181678711294E-2</v>
      </c>
    </row>
    <row r="1305" spans="1:10" x14ac:dyDescent="0.35">
      <c r="A1305" t="s">
        <v>18</v>
      </c>
      <c r="B1305" t="s">
        <v>38</v>
      </c>
      <c r="C1305" t="s">
        <v>73</v>
      </c>
      <c r="D1305" t="s">
        <v>81</v>
      </c>
      <c r="E1305" t="s">
        <v>124</v>
      </c>
      <c r="F1305" t="s">
        <v>73</v>
      </c>
      <c r="G1305" t="s">
        <v>74</v>
      </c>
      <c r="H1305" t="s">
        <v>123</v>
      </c>
      <c r="I1305" t="s">
        <v>84</v>
      </c>
      <c r="J1305" s="76" cm="1">
        <f t="array" ref="J1305:J1313">'SUT_EU27 total'!$L$26:$L$34</f>
        <v>1.9404661061278542E-3</v>
      </c>
    </row>
    <row r="1306" spans="1:10" x14ac:dyDescent="0.35">
      <c r="A1306" t="s">
        <v>18</v>
      </c>
      <c r="B1306" t="s">
        <v>38</v>
      </c>
      <c r="C1306" t="s">
        <v>73</v>
      </c>
      <c r="D1306" t="s">
        <v>81</v>
      </c>
      <c r="E1306" t="s">
        <v>117</v>
      </c>
      <c r="F1306" t="s">
        <v>73</v>
      </c>
      <c r="G1306" t="s">
        <v>74</v>
      </c>
      <c r="H1306" t="s">
        <v>123</v>
      </c>
      <c r="I1306" t="s">
        <v>84</v>
      </c>
      <c r="J1306" s="4">
        <v>5.8423628191201782E-3</v>
      </c>
    </row>
    <row r="1307" spans="1:10" x14ac:dyDescent="0.35">
      <c r="A1307" t="s">
        <v>18</v>
      </c>
      <c r="B1307" t="s">
        <v>38</v>
      </c>
      <c r="C1307" t="s">
        <v>73</v>
      </c>
      <c r="D1307" t="s">
        <v>81</v>
      </c>
      <c r="E1307" t="s">
        <v>82</v>
      </c>
      <c r="F1307" t="s">
        <v>73</v>
      </c>
      <c r="G1307" t="s">
        <v>74</v>
      </c>
      <c r="H1307" t="s">
        <v>123</v>
      </c>
      <c r="I1307" t="s">
        <v>84</v>
      </c>
      <c r="J1307" s="4">
        <v>4.8981233243967828E-4</v>
      </c>
    </row>
    <row r="1308" spans="1:10" x14ac:dyDescent="0.35">
      <c r="A1308" t="s">
        <v>18</v>
      </c>
      <c r="B1308" t="s">
        <v>38</v>
      </c>
      <c r="C1308" t="s">
        <v>73</v>
      </c>
      <c r="D1308" t="s">
        <v>81</v>
      </c>
      <c r="E1308" t="s">
        <v>125</v>
      </c>
      <c r="F1308" t="s">
        <v>73</v>
      </c>
      <c r="G1308" t="s">
        <v>74</v>
      </c>
      <c r="H1308" t="s">
        <v>123</v>
      </c>
      <c r="I1308" t="s">
        <v>84</v>
      </c>
      <c r="J1308" s="4">
        <v>2.4658201215687387E-3</v>
      </c>
    </row>
    <row r="1309" spans="1:10" x14ac:dyDescent="0.35">
      <c r="A1309" t="s">
        <v>18</v>
      </c>
      <c r="B1309" t="s">
        <v>38</v>
      </c>
      <c r="C1309" t="s">
        <v>73</v>
      </c>
      <c r="D1309" t="s">
        <v>81</v>
      </c>
      <c r="E1309" t="s">
        <v>122</v>
      </c>
      <c r="F1309" t="s">
        <v>73</v>
      </c>
      <c r="G1309" t="s">
        <v>74</v>
      </c>
      <c r="H1309" t="s">
        <v>123</v>
      </c>
      <c r="I1309" t="s">
        <v>84</v>
      </c>
      <c r="J1309" s="4">
        <v>4.922711058263972E-4</v>
      </c>
    </row>
    <row r="1310" spans="1:10" x14ac:dyDescent="0.35">
      <c r="A1310" t="s">
        <v>18</v>
      </c>
      <c r="B1310" t="s">
        <v>38</v>
      </c>
      <c r="C1310" t="s">
        <v>73</v>
      </c>
      <c r="D1310" t="s">
        <v>81</v>
      </c>
      <c r="E1310" t="s">
        <v>126</v>
      </c>
      <c r="F1310" t="s">
        <v>73</v>
      </c>
      <c r="G1310" t="s">
        <v>74</v>
      </c>
      <c r="H1310" t="s">
        <v>123</v>
      </c>
      <c r="I1310" t="s">
        <v>84</v>
      </c>
      <c r="J1310" s="4">
        <v>0</v>
      </c>
    </row>
    <row r="1311" spans="1:10" x14ac:dyDescent="0.35">
      <c r="A1311" t="s">
        <v>18</v>
      </c>
      <c r="B1311" t="s">
        <v>38</v>
      </c>
      <c r="C1311" t="s">
        <v>73</v>
      </c>
      <c r="D1311" t="s">
        <v>81</v>
      </c>
      <c r="E1311" t="s">
        <v>101</v>
      </c>
      <c r="F1311" t="s">
        <v>73</v>
      </c>
      <c r="G1311" t="s">
        <v>74</v>
      </c>
      <c r="H1311" t="s">
        <v>123</v>
      </c>
      <c r="I1311" t="s">
        <v>84</v>
      </c>
      <c r="J1311" s="76">
        <v>3.7860913795851507E-4</v>
      </c>
    </row>
    <row r="1312" spans="1:10" x14ac:dyDescent="0.35">
      <c r="A1312" t="s">
        <v>18</v>
      </c>
      <c r="B1312" t="s">
        <v>38</v>
      </c>
      <c r="C1312" t="s">
        <v>73</v>
      </c>
      <c r="D1312" t="s">
        <v>81</v>
      </c>
      <c r="E1312" t="s">
        <v>104</v>
      </c>
      <c r="F1312" t="s">
        <v>73</v>
      </c>
      <c r="G1312" t="s">
        <v>74</v>
      </c>
      <c r="H1312" t="s">
        <v>123</v>
      </c>
      <c r="I1312" t="s">
        <v>84</v>
      </c>
      <c r="J1312" s="4">
        <v>7.1686251377883477E-4</v>
      </c>
    </row>
    <row r="1313" spans="1:10" x14ac:dyDescent="0.35">
      <c r="A1313" t="s">
        <v>18</v>
      </c>
      <c r="B1313" t="s">
        <v>38</v>
      </c>
      <c r="C1313" t="s">
        <v>73</v>
      </c>
      <c r="D1313" t="s">
        <v>81</v>
      </c>
      <c r="E1313" t="s">
        <v>106</v>
      </c>
      <c r="F1313" t="s">
        <v>73</v>
      </c>
      <c r="G1313" t="s">
        <v>74</v>
      </c>
      <c r="H1313" t="s">
        <v>123</v>
      </c>
      <c r="I1313" t="s">
        <v>84</v>
      </c>
      <c r="J1313" s="4">
        <v>2.438307869996036E-3</v>
      </c>
    </row>
    <row r="1314" spans="1:10" x14ac:dyDescent="0.35">
      <c r="A1314" t="s">
        <v>18</v>
      </c>
      <c r="B1314" t="s">
        <v>38</v>
      </c>
      <c r="C1314" t="s">
        <v>88</v>
      </c>
      <c r="D1314" t="s">
        <v>81</v>
      </c>
      <c r="E1314" t="s">
        <v>119</v>
      </c>
      <c r="F1314" t="s">
        <v>73</v>
      </c>
      <c r="G1314" t="s">
        <v>74</v>
      </c>
      <c r="H1314" t="s">
        <v>123</v>
      </c>
      <c r="I1314" t="s">
        <v>84</v>
      </c>
      <c r="J1314" s="76">
        <f>'SUT_EU27 total'!$L$39</f>
        <v>0.16108845734587587</v>
      </c>
    </row>
    <row r="1315" spans="1:10" x14ac:dyDescent="0.35">
      <c r="A1315" t="s">
        <v>18</v>
      </c>
      <c r="B1315" t="s">
        <v>38</v>
      </c>
      <c r="C1315" t="s">
        <v>88</v>
      </c>
      <c r="D1315" t="s">
        <v>81</v>
      </c>
      <c r="E1315" t="s">
        <v>124</v>
      </c>
      <c r="F1315" t="s">
        <v>73</v>
      </c>
      <c r="G1315" t="s">
        <v>74</v>
      </c>
      <c r="H1315" t="s">
        <v>123</v>
      </c>
      <c r="I1315" t="s">
        <v>84</v>
      </c>
      <c r="J1315" s="76" cm="1">
        <f t="array" ref="J1315:J1323">'SUT_EU27 total'!$M$43:$M$51</f>
        <v>5.0558836222750793E-4</v>
      </c>
    </row>
    <row r="1316" spans="1:10" x14ac:dyDescent="0.35">
      <c r="A1316" t="s">
        <v>18</v>
      </c>
      <c r="B1316" t="s">
        <v>38</v>
      </c>
      <c r="C1316" t="s">
        <v>88</v>
      </c>
      <c r="D1316" t="s">
        <v>81</v>
      </c>
      <c r="E1316" t="s">
        <v>117</v>
      </c>
      <c r="F1316" t="s">
        <v>73</v>
      </c>
      <c r="G1316" t="s">
        <v>74</v>
      </c>
      <c r="H1316" t="s">
        <v>123</v>
      </c>
      <c r="I1316" t="s">
        <v>84</v>
      </c>
      <c r="J1316" s="4">
        <v>4.8514464106651379E-3</v>
      </c>
    </row>
    <row r="1317" spans="1:10" x14ac:dyDescent="0.35">
      <c r="A1317" t="s">
        <v>18</v>
      </c>
      <c r="B1317" t="s">
        <v>38</v>
      </c>
      <c r="C1317" t="s">
        <v>88</v>
      </c>
      <c r="D1317" t="s">
        <v>81</v>
      </c>
      <c r="E1317" t="s">
        <v>82</v>
      </c>
      <c r="F1317" t="s">
        <v>73</v>
      </c>
      <c r="G1317" t="s">
        <v>74</v>
      </c>
      <c r="H1317" t="s">
        <v>123</v>
      </c>
      <c r="I1317" t="s">
        <v>84</v>
      </c>
      <c r="J1317" s="4">
        <v>1.109418436791091E-2</v>
      </c>
    </row>
    <row r="1318" spans="1:10" x14ac:dyDescent="0.35">
      <c r="A1318" t="s">
        <v>18</v>
      </c>
      <c r="B1318" t="s">
        <v>38</v>
      </c>
      <c r="C1318" t="s">
        <v>88</v>
      </c>
      <c r="D1318" t="s">
        <v>81</v>
      </c>
      <c r="E1318" t="s">
        <v>125</v>
      </c>
      <c r="F1318" t="s">
        <v>73</v>
      </c>
      <c r="G1318" t="s">
        <v>74</v>
      </c>
      <c r="H1318" t="s">
        <v>123</v>
      </c>
      <c r="I1318" t="s">
        <v>84</v>
      </c>
      <c r="J1318" s="4">
        <v>2.890870278990243E-5</v>
      </c>
    </row>
    <row r="1319" spans="1:10" x14ac:dyDescent="0.35">
      <c r="A1319" t="s">
        <v>18</v>
      </c>
      <c r="B1319" t="s">
        <v>38</v>
      </c>
      <c r="C1319" t="s">
        <v>88</v>
      </c>
      <c r="D1319" t="s">
        <v>81</v>
      </c>
      <c r="E1319" t="s">
        <v>122</v>
      </c>
      <c r="F1319" t="s">
        <v>73</v>
      </c>
      <c r="G1319" t="s">
        <v>74</v>
      </c>
      <c r="H1319" t="s">
        <v>123</v>
      </c>
      <c r="I1319" t="s">
        <v>84</v>
      </c>
      <c r="J1319" s="4">
        <v>0</v>
      </c>
    </row>
    <row r="1320" spans="1:10" x14ac:dyDescent="0.35">
      <c r="A1320" t="s">
        <v>18</v>
      </c>
      <c r="B1320" t="s">
        <v>38</v>
      </c>
      <c r="C1320" t="s">
        <v>88</v>
      </c>
      <c r="D1320" t="s">
        <v>81</v>
      </c>
      <c r="E1320" t="s">
        <v>126</v>
      </c>
      <c r="F1320" t="s">
        <v>73</v>
      </c>
      <c r="G1320" t="s">
        <v>74</v>
      </c>
      <c r="H1320" t="s">
        <v>123</v>
      </c>
      <c r="I1320" t="s">
        <v>84</v>
      </c>
      <c r="J1320" s="4">
        <v>2.8514320987501449E-3</v>
      </c>
    </row>
    <row r="1321" spans="1:10" x14ac:dyDescent="0.35">
      <c r="A1321" t="s">
        <v>18</v>
      </c>
      <c r="B1321" t="s">
        <v>38</v>
      </c>
      <c r="C1321" t="s">
        <v>88</v>
      </c>
      <c r="D1321" t="s">
        <v>81</v>
      </c>
      <c r="E1321" t="s">
        <v>101</v>
      </c>
      <c r="F1321" t="s">
        <v>73</v>
      </c>
      <c r="G1321" t="s">
        <v>74</v>
      </c>
      <c r="H1321" t="s">
        <v>123</v>
      </c>
      <c r="I1321" t="s">
        <v>84</v>
      </c>
      <c r="J1321" s="4">
        <v>0</v>
      </c>
    </row>
    <row r="1322" spans="1:10" x14ac:dyDescent="0.35">
      <c r="A1322" t="s">
        <v>18</v>
      </c>
      <c r="B1322" t="s">
        <v>38</v>
      </c>
      <c r="C1322" t="s">
        <v>88</v>
      </c>
      <c r="D1322" t="s">
        <v>81</v>
      </c>
      <c r="E1322" t="s">
        <v>104</v>
      </c>
      <c r="F1322" t="s">
        <v>73</v>
      </c>
      <c r="G1322" t="s">
        <v>74</v>
      </c>
      <c r="H1322" t="s">
        <v>123</v>
      </c>
      <c r="I1322" t="s">
        <v>84</v>
      </c>
      <c r="J1322" s="4">
        <v>0</v>
      </c>
    </row>
    <row r="1323" spans="1:10" x14ac:dyDescent="0.35">
      <c r="A1323" t="s">
        <v>18</v>
      </c>
      <c r="B1323" t="s">
        <v>38</v>
      </c>
      <c r="C1323" t="s">
        <v>88</v>
      </c>
      <c r="D1323" t="s">
        <v>81</v>
      </c>
      <c r="E1323" t="s">
        <v>106</v>
      </c>
      <c r="F1323" t="s">
        <v>73</v>
      </c>
      <c r="G1323" t="s">
        <v>74</v>
      </c>
      <c r="H1323" t="s">
        <v>123</v>
      </c>
      <c r="I1323" t="s">
        <v>84</v>
      </c>
      <c r="J1323" s="4">
        <v>0</v>
      </c>
    </row>
    <row r="1324" spans="1:10" x14ac:dyDescent="0.35">
      <c r="A1324" t="s">
        <v>18</v>
      </c>
      <c r="B1324" t="s">
        <v>38</v>
      </c>
      <c r="C1324" t="s">
        <v>90</v>
      </c>
      <c r="D1324" t="s">
        <v>81</v>
      </c>
      <c r="E1324" t="s">
        <v>119</v>
      </c>
      <c r="F1324" t="s">
        <v>73</v>
      </c>
      <c r="G1324" t="s">
        <v>74</v>
      </c>
      <c r="H1324" t="s">
        <v>123</v>
      </c>
      <c r="I1324" t="s">
        <v>84</v>
      </c>
      <c r="J1324" s="76">
        <f>'SUT_EU27 total'!$M$56</f>
        <v>2.949251079979006E-2</v>
      </c>
    </row>
    <row r="1325" spans="1:10" x14ac:dyDescent="0.35">
      <c r="A1325" t="s">
        <v>18</v>
      </c>
      <c r="B1325" t="s">
        <v>38</v>
      </c>
      <c r="C1325" t="s">
        <v>90</v>
      </c>
      <c r="D1325" t="s">
        <v>81</v>
      </c>
      <c r="E1325" t="s">
        <v>124</v>
      </c>
      <c r="F1325" t="s">
        <v>73</v>
      </c>
      <c r="G1325" t="s">
        <v>74</v>
      </c>
      <c r="H1325" t="s">
        <v>123</v>
      </c>
      <c r="I1325" t="s">
        <v>84</v>
      </c>
      <c r="J1325" s="76" cm="1">
        <f t="array" ref="J1325:J1333">'SUT_EU27 total'!$L$60:$L$68</f>
        <v>2.1047443073980527E-5</v>
      </c>
    </row>
    <row r="1326" spans="1:10" x14ac:dyDescent="0.35">
      <c r="A1326" t="s">
        <v>18</v>
      </c>
      <c r="B1326" t="s">
        <v>38</v>
      </c>
      <c r="C1326" t="s">
        <v>90</v>
      </c>
      <c r="D1326" t="s">
        <v>81</v>
      </c>
      <c r="E1326" t="s">
        <v>117</v>
      </c>
      <c r="F1326" t="s">
        <v>73</v>
      </c>
      <c r="G1326" t="s">
        <v>74</v>
      </c>
      <c r="H1326" t="s">
        <v>123</v>
      </c>
      <c r="I1326" t="s">
        <v>84</v>
      </c>
      <c r="J1326" s="4">
        <v>5.8414015621608938E-3</v>
      </c>
    </row>
    <row r="1327" spans="1:10" x14ac:dyDescent="0.35">
      <c r="A1327" t="s">
        <v>18</v>
      </c>
      <c r="B1327" t="s">
        <v>38</v>
      </c>
      <c r="C1327" t="s">
        <v>90</v>
      </c>
      <c r="D1327" t="s">
        <v>81</v>
      </c>
      <c r="E1327" t="s">
        <v>82</v>
      </c>
      <c r="F1327" t="s">
        <v>73</v>
      </c>
      <c r="G1327" t="s">
        <v>74</v>
      </c>
      <c r="H1327" t="s">
        <v>123</v>
      </c>
      <c r="I1327" t="s">
        <v>84</v>
      </c>
      <c r="J1327" s="4">
        <v>1.4521138379047227E-3</v>
      </c>
    </row>
    <row r="1328" spans="1:10" x14ac:dyDescent="0.35">
      <c r="A1328" t="s">
        <v>18</v>
      </c>
      <c r="B1328" t="s">
        <v>38</v>
      </c>
      <c r="C1328" t="s">
        <v>90</v>
      </c>
      <c r="D1328" t="s">
        <v>81</v>
      </c>
      <c r="E1328" t="s">
        <v>125</v>
      </c>
      <c r="F1328" t="s">
        <v>73</v>
      </c>
      <c r="G1328" t="s">
        <v>74</v>
      </c>
      <c r="H1328" t="s">
        <v>123</v>
      </c>
      <c r="I1328" t="s">
        <v>84</v>
      </c>
      <c r="J1328" s="4">
        <v>6.5130870114372285E-5</v>
      </c>
    </row>
    <row r="1329" spans="1:10" x14ac:dyDescent="0.35">
      <c r="A1329" t="s">
        <v>18</v>
      </c>
      <c r="B1329" t="s">
        <v>38</v>
      </c>
      <c r="C1329" t="s">
        <v>90</v>
      </c>
      <c r="D1329" t="s">
        <v>81</v>
      </c>
      <c r="E1329" t="s">
        <v>122</v>
      </c>
      <c r="F1329" t="s">
        <v>73</v>
      </c>
      <c r="G1329" t="s">
        <v>74</v>
      </c>
      <c r="H1329" t="s">
        <v>123</v>
      </c>
      <c r="I1329" t="s">
        <v>84</v>
      </c>
      <c r="J1329" s="4">
        <v>7.9476813317479189E-4</v>
      </c>
    </row>
    <row r="1330" spans="1:10" x14ac:dyDescent="0.35">
      <c r="A1330" t="s">
        <v>18</v>
      </c>
      <c r="B1330" t="s">
        <v>38</v>
      </c>
      <c r="C1330" t="s">
        <v>90</v>
      </c>
      <c r="D1330" t="s">
        <v>81</v>
      </c>
      <c r="E1330" t="s">
        <v>126</v>
      </c>
      <c r="F1330" t="s">
        <v>73</v>
      </c>
      <c r="G1330" t="s">
        <v>74</v>
      </c>
      <c r="H1330" t="s">
        <v>123</v>
      </c>
      <c r="I1330" t="s">
        <v>84</v>
      </c>
      <c r="J1330" s="4">
        <v>8.4821183458843076E-3</v>
      </c>
    </row>
    <row r="1331" spans="1:10" x14ac:dyDescent="0.35">
      <c r="A1331" t="s">
        <v>18</v>
      </c>
      <c r="B1331" t="s">
        <v>38</v>
      </c>
      <c r="C1331" t="s">
        <v>90</v>
      </c>
      <c r="D1331" t="s">
        <v>81</v>
      </c>
      <c r="E1331" t="s">
        <v>101</v>
      </c>
      <c r="F1331" t="s">
        <v>73</v>
      </c>
      <c r="G1331" t="s">
        <v>74</v>
      </c>
      <c r="H1331" t="s">
        <v>123</v>
      </c>
      <c r="I1331" t="s">
        <v>84</v>
      </c>
      <c r="J1331" s="4">
        <v>0</v>
      </c>
    </row>
    <row r="1332" spans="1:10" x14ac:dyDescent="0.35">
      <c r="A1332" t="s">
        <v>18</v>
      </c>
      <c r="B1332" t="s">
        <v>38</v>
      </c>
      <c r="C1332" t="s">
        <v>90</v>
      </c>
      <c r="D1332" t="s">
        <v>81</v>
      </c>
      <c r="E1332" t="s">
        <v>104</v>
      </c>
      <c r="F1332" t="s">
        <v>73</v>
      </c>
      <c r="G1332" t="s">
        <v>74</v>
      </c>
      <c r="H1332" t="s">
        <v>123</v>
      </c>
      <c r="I1332" t="s">
        <v>84</v>
      </c>
      <c r="J1332" s="4">
        <v>0</v>
      </c>
    </row>
    <row r="1333" spans="1:10" x14ac:dyDescent="0.35">
      <c r="A1333" t="s">
        <v>18</v>
      </c>
      <c r="B1333" t="s">
        <v>38</v>
      </c>
      <c r="C1333" t="s">
        <v>90</v>
      </c>
      <c r="D1333" t="s">
        <v>81</v>
      </c>
      <c r="E1333" t="s">
        <v>106</v>
      </c>
      <c r="F1333" t="s">
        <v>73</v>
      </c>
      <c r="G1333" t="s">
        <v>74</v>
      </c>
      <c r="H1333" t="s">
        <v>123</v>
      </c>
      <c r="I1333" t="s">
        <v>84</v>
      </c>
      <c r="J1333" s="4">
        <v>0</v>
      </c>
    </row>
    <row r="1334" spans="1:10" x14ac:dyDescent="0.35">
      <c r="A1334" t="s">
        <v>18</v>
      </c>
      <c r="B1334" t="s">
        <v>38</v>
      </c>
      <c r="C1334" t="s">
        <v>91</v>
      </c>
      <c r="D1334" t="s">
        <v>81</v>
      </c>
      <c r="E1334" t="s">
        <v>119</v>
      </c>
      <c r="F1334" t="s">
        <v>73</v>
      </c>
      <c r="G1334" t="s">
        <v>74</v>
      </c>
      <c r="H1334" t="s">
        <v>123</v>
      </c>
      <c r="I1334" t="s">
        <v>84</v>
      </c>
      <c r="J1334" s="76">
        <f>'SUT_EU27 total'!$L$73</f>
        <v>0.15097500908393557</v>
      </c>
    </row>
    <row r="1335" spans="1:10" x14ac:dyDescent="0.35">
      <c r="A1335" t="s">
        <v>18</v>
      </c>
      <c r="B1335" t="s">
        <v>38</v>
      </c>
      <c r="C1335" t="s">
        <v>91</v>
      </c>
      <c r="D1335" t="s">
        <v>81</v>
      </c>
      <c r="E1335" t="s">
        <v>124</v>
      </c>
      <c r="F1335" t="s">
        <v>73</v>
      </c>
      <c r="G1335" t="s">
        <v>74</v>
      </c>
      <c r="H1335" t="s">
        <v>123</v>
      </c>
      <c r="I1335" t="s">
        <v>84</v>
      </c>
      <c r="J1335" s="76" cm="1">
        <f t="array" ref="J1335:J1343">'SUT_EU27 total'!$L$77:$L$85</f>
        <v>6.7728942399646885E-5</v>
      </c>
    </row>
    <row r="1336" spans="1:10" x14ac:dyDescent="0.35">
      <c r="A1336" t="s">
        <v>18</v>
      </c>
      <c r="B1336" t="s">
        <v>38</v>
      </c>
      <c r="C1336" t="s">
        <v>91</v>
      </c>
      <c r="D1336" t="s">
        <v>81</v>
      </c>
      <c r="E1336" t="s">
        <v>117</v>
      </c>
      <c r="F1336" t="s">
        <v>73</v>
      </c>
      <c r="G1336" t="s">
        <v>74</v>
      </c>
      <c r="H1336" t="s">
        <v>123</v>
      </c>
      <c r="I1336" t="s">
        <v>84</v>
      </c>
      <c r="J1336" s="4">
        <v>5.6233849622410815E-3</v>
      </c>
    </row>
    <row r="1337" spans="1:10" x14ac:dyDescent="0.35">
      <c r="A1337" t="s">
        <v>18</v>
      </c>
      <c r="B1337" t="s">
        <v>38</v>
      </c>
      <c r="C1337" t="s">
        <v>91</v>
      </c>
      <c r="D1337" t="s">
        <v>81</v>
      </c>
      <c r="E1337" t="s">
        <v>82</v>
      </c>
      <c r="F1337" t="s">
        <v>73</v>
      </c>
      <c r="G1337" t="s">
        <v>74</v>
      </c>
      <c r="H1337" t="s">
        <v>123</v>
      </c>
      <c r="I1337" t="s">
        <v>84</v>
      </c>
      <c r="J1337" s="4">
        <v>1.8068055269127655E-3</v>
      </c>
    </row>
    <row r="1338" spans="1:10" x14ac:dyDescent="0.35">
      <c r="A1338" t="s">
        <v>18</v>
      </c>
      <c r="B1338" t="s">
        <v>38</v>
      </c>
      <c r="C1338" t="s">
        <v>91</v>
      </c>
      <c r="D1338" t="s">
        <v>81</v>
      </c>
      <c r="E1338" t="s">
        <v>125</v>
      </c>
      <c r="F1338" t="s">
        <v>73</v>
      </c>
      <c r="G1338" t="s">
        <v>74</v>
      </c>
      <c r="H1338" t="s">
        <v>123</v>
      </c>
      <c r="I1338" t="s">
        <v>84</v>
      </c>
      <c r="J1338" s="4">
        <v>5.6492118062760293E-6</v>
      </c>
    </row>
    <row r="1339" spans="1:10" x14ac:dyDescent="0.35">
      <c r="A1339" t="s">
        <v>18</v>
      </c>
      <c r="B1339" t="s">
        <v>38</v>
      </c>
      <c r="C1339" t="s">
        <v>91</v>
      </c>
      <c r="D1339" t="s">
        <v>81</v>
      </c>
      <c r="E1339" t="s">
        <v>122</v>
      </c>
      <c r="F1339" t="s">
        <v>73</v>
      </c>
      <c r="G1339" t="s">
        <v>74</v>
      </c>
      <c r="H1339" t="s">
        <v>123</v>
      </c>
      <c r="I1339" t="s">
        <v>84</v>
      </c>
      <c r="J1339" s="4">
        <v>0</v>
      </c>
    </row>
    <row r="1340" spans="1:10" x14ac:dyDescent="0.35">
      <c r="A1340" t="s">
        <v>18</v>
      </c>
      <c r="B1340" t="s">
        <v>38</v>
      </c>
      <c r="C1340" t="s">
        <v>91</v>
      </c>
      <c r="D1340" t="s">
        <v>81</v>
      </c>
      <c r="E1340" t="s">
        <v>126</v>
      </c>
      <c r="F1340" t="s">
        <v>73</v>
      </c>
      <c r="G1340" t="s">
        <v>74</v>
      </c>
      <c r="H1340" t="s">
        <v>123</v>
      </c>
      <c r="I1340" t="s">
        <v>84</v>
      </c>
      <c r="J1340" s="4">
        <v>8.1093795177776388E-4</v>
      </c>
    </row>
    <row r="1341" spans="1:10" x14ac:dyDescent="0.35">
      <c r="A1341" t="s">
        <v>18</v>
      </c>
      <c r="B1341" t="s">
        <v>38</v>
      </c>
      <c r="C1341" t="s">
        <v>91</v>
      </c>
      <c r="D1341" t="s">
        <v>81</v>
      </c>
      <c r="E1341" t="s">
        <v>101</v>
      </c>
      <c r="F1341" t="s">
        <v>73</v>
      </c>
      <c r="G1341" t="s">
        <v>74</v>
      </c>
      <c r="H1341" t="s">
        <v>123</v>
      </c>
      <c r="I1341" t="s">
        <v>84</v>
      </c>
      <c r="J1341" s="4">
        <v>0</v>
      </c>
    </row>
    <row r="1342" spans="1:10" x14ac:dyDescent="0.35">
      <c r="A1342" t="s">
        <v>18</v>
      </c>
      <c r="B1342" t="s">
        <v>38</v>
      </c>
      <c r="C1342" t="s">
        <v>91</v>
      </c>
      <c r="D1342" t="s">
        <v>81</v>
      </c>
      <c r="E1342" t="s">
        <v>104</v>
      </c>
      <c r="F1342" t="s">
        <v>73</v>
      </c>
      <c r="G1342" t="s">
        <v>74</v>
      </c>
      <c r="H1342" t="s">
        <v>123</v>
      </c>
      <c r="I1342" t="s">
        <v>84</v>
      </c>
      <c r="J1342" s="4">
        <v>0</v>
      </c>
    </row>
    <row r="1343" spans="1:10" x14ac:dyDescent="0.35">
      <c r="A1343" t="s">
        <v>18</v>
      </c>
      <c r="B1343" t="s">
        <v>38</v>
      </c>
      <c r="C1343" t="s">
        <v>91</v>
      </c>
      <c r="D1343" t="s">
        <v>81</v>
      </c>
      <c r="E1343" t="s">
        <v>106</v>
      </c>
      <c r="F1343" t="s">
        <v>73</v>
      </c>
      <c r="G1343" t="s">
        <v>74</v>
      </c>
      <c r="H1343" t="s">
        <v>123</v>
      </c>
      <c r="I1343" t="s">
        <v>84</v>
      </c>
      <c r="J1343" s="4">
        <v>0</v>
      </c>
    </row>
    <row r="1344" spans="1:10" x14ac:dyDescent="0.35">
      <c r="A1344" t="s">
        <v>18</v>
      </c>
      <c r="B1344" t="s">
        <v>38</v>
      </c>
      <c r="C1344" t="s">
        <v>92</v>
      </c>
      <c r="D1344" t="s">
        <v>81</v>
      </c>
      <c r="E1344" t="s">
        <v>119</v>
      </c>
      <c r="F1344" t="s">
        <v>73</v>
      </c>
      <c r="G1344" t="s">
        <v>74</v>
      </c>
      <c r="H1344" t="s">
        <v>123</v>
      </c>
      <c r="I1344" t="s">
        <v>84</v>
      </c>
      <c r="J1344" s="76">
        <f>'SUT_EU27 total'!$L$90</f>
        <v>0.13886309499777949</v>
      </c>
    </row>
    <row r="1345" spans="1:10" x14ac:dyDescent="0.35">
      <c r="A1345" t="s">
        <v>18</v>
      </c>
      <c r="B1345" t="s">
        <v>38</v>
      </c>
      <c r="C1345" t="s">
        <v>92</v>
      </c>
      <c r="D1345" t="s">
        <v>81</v>
      </c>
      <c r="E1345" t="s">
        <v>124</v>
      </c>
      <c r="F1345" t="s">
        <v>73</v>
      </c>
      <c r="G1345" t="s">
        <v>74</v>
      </c>
      <c r="H1345" t="s">
        <v>123</v>
      </c>
      <c r="I1345" t="s">
        <v>84</v>
      </c>
      <c r="J1345" s="76" cm="1">
        <f t="array" ref="J1345:J1353">'SUT_EU27 total'!$L$94:$L$102</f>
        <v>9.2968907089085616E-5</v>
      </c>
    </row>
    <row r="1346" spans="1:10" x14ac:dyDescent="0.35">
      <c r="A1346" t="s">
        <v>18</v>
      </c>
      <c r="B1346" t="s">
        <v>38</v>
      </c>
      <c r="C1346" t="s">
        <v>92</v>
      </c>
      <c r="D1346" t="s">
        <v>81</v>
      </c>
      <c r="E1346" t="s">
        <v>117</v>
      </c>
      <c r="F1346" t="s">
        <v>73</v>
      </c>
      <c r="G1346" t="s">
        <v>74</v>
      </c>
      <c r="H1346" t="s">
        <v>123</v>
      </c>
      <c r="I1346" t="s">
        <v>84</v>
      </c>
      <c r="J1346" s="4">
        <v>0</v>
      </c>
    </row>
    <row r="1347" spans="1:10" x14ac:dyDescent="0.35">
      <c r="A1347" t="s">
        <v>18</v>
      </c>
      <c r="B1347" t="s">
        <v>38</v>
      </c>
      <c r="C1347" t="s">
        <v>92</v>
      </c>
      <c r="D1347" t="s">
        <v>81</v>
      </c>
      <c r="E1347" t="s">
        <v>82</v>
      </c>
      <c r="F1347" t="s">
        <v>73</v>
      </c>
      <c r="G1347" t="s">
        <v>74</v>
      </c>
      <c r="H1347" t="s">
        <v>123</v>
      </c>
      <c r="I1347" t="s">
        <v>84</v>
      </c>
      <c r="J1347" s="4">
        <v>1.1251392039595793E-3</v>
      </c>
    </row>
    <row r="1348" spans="1:10" x14ac:dyDescent="0.35">
      <c r="A1348" t="s">
        <v>18</v>
      </c>
      <c r="B1348" t="s">
        <v>38</v>
      </c>
      <c r="C1348" t="s">
        <v>92</v>
      </c>
      <c r="D1348" t="s">
        <v>81</v>
      </c>
      <c r="E1348" t="s">
        <v>125</v>
      </c>
      <c r="F1348" t="s">
        <v>73</v>
      </c>
      <c r="G1348" t="s">
        <v>74</v>
      </c>
      <c r="H1348" t="s">
        <v>123</v>
      </c>
      <c r="I1348" t="s">
        <v>84</v>
      </c>
      <c r="J1348" s="4">
        <v>5.0048817841215026E-7</v>
      </c>
    </row>
    <row r="1349" spans="1:10" x14ac:dyDescent="0.35">
      <c r="A1349" t="s">
        <v>18</v>
      </c>
      <c r="B1349" t="s">
        <v>38</v>
      </c>
      <c r="C1349" t="s">
        <v>92</v>
      </c>
      <c r="D1349" t="s">
        <v>81</v>
      </c>
      <c r="E1349" t="s">
        <v>122</v>
      </c>
      <c r="F1349" t="s">
        <v>73</v>
      </c>
      <c r="G1349" t="s">
        <v>74</v>
      </c>
      <c r="H1349" t="s">
        <v>123</v>
      </c>
      <c r="I1349" t="s">
        <v>84</v>
      </c>
      <c r="J1349" s="4">
        <v>0</v>
      </c>
    </row>
    <row r="1350" spans="1:10" x14ac:dyDescent="0.35">
      <c r="A1350" t="s">
        <v>18</v>
      </c>
      <c r="B1350" t="s">
        <v>38</v>
      </c>
      <c r="C1350" t="s">
        <v>92</v>
      </c>
      <c r="D1350" t="s">
        <v>81</v>
      </c>
      <c r="E1350" t="s">
        <v>126</v>
      </c>
      <c r="F1350" t="s">
        <v>73</v>
      </c>
      <c r="G1350" t="s">
        <v>74</v>
      </c>
      <c r="H1350" t="s">
        <v>123</v>
      </c>
      <c r="I1350" t="s">
        <v>84</v>
      </c>
      <c r="J1350" s="4">
        <v>0</v>
      </c>
    </row>
    <row r="1351" spans="1:10" x14ac:dyDescent="0.35">
      <c r="A1351" t="s">
        <v>18</v>
      </c>
      <c r="B1351" t="s">
        <v>38</v>
      </c>
      <c r="C1351" t="s">
        <v>92</v>
      </c>
      <c r="D1351" t="s">
        <v>81</v>
      </c>
      <c r="E1351" t="s">
        <v>101</v>
      </c>
      <c r="F1351" t="s">
        <v>73</v>
      </c>
      <c r="G1351" t="s">
        <v>74</v>
      </c>
      <c r="H1351" t="s">
        <v>123</v>
      </c>
      <c r="I1351" t="s">
        <v>84</v>
      </c>
      <c r="J1351" s="4">
        <v>0</v>
      </c>
    </row>
    <row r="1352" spans="1:10" x14ac:dyDescent="0.35">
      <c r="A1352" t="s">
        <v>18</v>
      </c>
      <c r="B1352" t="s">
        <v>38</v>
      </c>
      <c r="C1352" t="s">
        <v>92</v>
      </c>
      <c r="D1352" t="s">
        <v>81</v>
      </c>
      <c r="E1352" t="s">
        <v>104</v>
      </c>
      <c r="F1352" t="s">
        <v>73</v>
      </c>
      <c r="G1352" t="s">
        <v>74</v>
      </c>
      <c r="H1352" t="s">
        <v>123</v>
      </c>
      <c r="I1352" t="s">
        <v>84</v>
      </c>
      <c r="J1352" s="4">
        <v>0</v>
      </c>
    </row>
    <row r="1353" spans="1:10" x14ac:dyDescent="0.35">
      <c r="A1353" t="s">
        <v>18</v>
      </c>
      <c r="B1353" t="s">
        <v>38</v>
      </c>
      <c r="C1353" t="s">
        <v>92</v>
      </c>
      <c r="D1353" t="s">
        <v>81</v>
      </c>
      <c r="E1353" t="s">
        <v>106</v>
      </c>
      <c r="F1353" t="s">
        <v>73</v>
      </c>
      <c r="G1353" t="s">
        <v>74</v>
      </c>
      <c r="H1353" t="s">
        <v>123</v>
      </c>
      <c r="I1353" t="s">
        <v>84</v>
      </c>
      <c r="J1353" s="4">
        <v>0</v>
      </c>
    </row>
    <row r="1354" spans="1:10" x14ac:dyDescent="0.35">
      <c r="A1354" t="s">
        <v>18</v>
      </c>
      <c r="B1354" t="s">
        <v>38</v>
      </c>
      <c r="C1354" t="s">
        <v>93</v>
      </c>
      <c r="D1354" t="s">
        <v>81</v>
      </c>
      <c r="E1354" t="s">
        <v>119</v>
      </c>
      <c r="F1354" t="s">
        <v>73</v>
      </c>
      <c r="G1354" t="s">
        <v>74</v>
      </c>
      <c r="H1354" t="s">
        <v>123</v>
      </c>
      <c r="I1354" t="s">
        <v>84</v>
      </c>
      <c r="J1354" s="76">
        <f>'SUT_EU27 total'!$L$107</f>
        <v>1.0000807460939076</v>
      </c>
    </row>
    <row r="1355" spans="1:10" x14ac:dyDescent="0.35">
      <c r="A1355" t="s">
        <v>18</v>
      </c>
      <c r="B1355" t="s">
        <v>38</v>
      </c>
      <c r="C1355" t="s">
        <v>93</v>
      </c>
      <c r="D1355" t="s">
        <v>81</v>
      </c>
      <c r="E1355" t="s">
        <v>124</v>
      </c>
      <c r="F1355" t="s">
        <v>73</v>
      </c>
      <c r="G1355" t="s">
        <v>74</v>
      </c>
      <c r="H1355" t="s">
        <v>123</v>
      </c>
      <c r="I1355" t="s">
        <v>84</v>
      </c>
      <c r="J1355" s="76" cm="1">
        <f t="array" ref="J1355:J1363">'SUT_EU27 total'!$L$111:$L$119</f>
        <v>3.7052409430862396E-4</v>
      </c>
    </row>
    <row r="1356" spans="1:10" x14ac:dyDescent="0.35">
      <c r="A1356" t="s">
        <v>18</v>
      </c>
      <c r="B1356" t="s">
        <v>38</v>
      </c>
      <c r="C1356" t="s">
        <v>93</v>
      </c>
      <c r="D1356" t="s">
        <v>81</v>
      </c>
      <c r="E1356" t="s">
        <v>117</v>
      </c>
      <c r="F1356" t="s">
        <v>73</v>
      </c>
      <c r="G1356" t="s">
        <v>74</v>
      </c>
      <c r="H1356" t="s">
        <v>123</v>
      </c>
      <c r="I1356" t="s">
        <v>84</v>
      </c>
      <c r="J1356" s="4">
        <v>5.8414042458127093E-3</v>
      </c>
    </row>
    <row r="1357" spans="1:10" x14ac:dyDescent="0.35">
      <c r="A1357" t="s">
        <v>18</v>
      </c>
      <c r="B1357" t="s">
        <v>38</v>
      </c>
      <c r="C1357" t="s">
        <v>93</v>
      </c>
      <c r="D1357" t="s">
        <v>81</v>
      </c>
      <c r="E1357" t="s">
        <v>82</v>
      </c>
      <c r="F1357" t="s">
        <v>73</v>
      </c>
      <c r="G1357" t="s">
        <v>74</v>
      </c>
      <c r="H1357" t="s">
        <v>123</v>
      </c>
      <c r="I1357" t="s">
        <v>84</v>
      </c>
      <c r="J1357" s="4">
        <v>5.0319447308723453E-3</v>
      </c>
    </row>
    <row r="1358" spans="1:10" x14ac:dyDescent="0.35">
      <c r="A1358" t="s">
        <v>18</v>
      </c>
      <c r="B1358" t="s">
        <v>38</v>
      </c>
      <c r="C1358" t="s">
        <v>93</v>
      </c>
      <c r="D1358" t="s">
        <v>81</v>
      </c>
      <c r="E1358" t="s">
        <v>125</v>
      </c>
      <c r="F1358" t="s">
        <v>73</v>
      </c>
      <c r="G1358" t="s">
        <v>74</v>
      </c>
      <c r="H1358" t="s">
        <v>123</v>
      </c>
      <c r="I1358" t="s">
        <v>84</v>
      </c>
      <c r="J1358" s="4">
        <v>4.336096678710085E-4</v>
      </c>
    </row>
    <row r="1359" spans="1:10" x14ac:dyDescent="0.35">
      <c r="A1359" t="s">
        <v>18</v>
      </c>
      <c r="B1359" t="s">
        <v>38</v>
      </c>
      <c r="C1359" t="s">
        <v>93</v>
      </c>
      <c r="D1359" t="s">
        <v>81</v>
      </c>
      <c r="E1359" t="s">
        <v>122</v>
      </c>
      <c r="F1359" t="s">
        <v>73</v>
      </c>
      <c r="G1359" t="s">
        <v>74</v>
      </c>
      <c r="H1359" t="s">
        <v>123</v>
      </c>
      <c r="I1359" t="s">
        <v>84</v>
      </c>
      <c r="J1359" s="4">
        <v>2.7129607609988112E-3</v>
      </c>
    </row>
    <row r="1360" spans="1:10" x14ac:dyDescent="0.35">
      <c r="A1360" t="s">
        <v>18</v>
      </c>
      <c r="B1360" t="s">
        <v>38</v>
      </c>
      <c r="C1360" t="s">
        <v>93</v>
      </c>
      <c r="D1360" t="s">
        <v>81</v>
      </c>
      <c r="E1360" t="s">
        <v>126</v>
      </c>
      <c r="F1360" t="s">
        <v>73</v>
      </c>
      <c r="G1360" t="s">
        <v>74</v>
      </c>
      <c r="H1360" t="s">
        <v>123</v>
      </c>
      <c r="I1360" t="s">
        <v>84</v>
      </c>
      <c r="J1360" s="4">
        <v>4.3855511603587784E-2</v>
      </c>
    </row>
    <row r="1361" spans="1:10" x14ac:dyDescent="0.35">
      <c r="A1361" t="s">
        <v>18</v>
      </c>
      <c r="B1361" t="s">
        <v>38</v>
      </c>
      <c r="C1361" t="s">
        <v>93</v>
      </c>
      <c r="D1361" t="s">
        <v>81</v>
      </c>
      <c r="E1361" t="s">
        <v>101</v>
      </c>
      <c r="F1361" t="s">
        <v>73</v>
      </c>
      <c r="G1361" t="s">
        <v>74</v>
      </c>
      <c r="H1361" t="s">
        <v>123</v>
      </c>
      <c r="I1361" t="s">
        <v>84</v>
      </c>
      <c r="J1361" s="4">
        <v>0</v>
      </c>
    </row>
    <row r="1362" spans="1:10" x14ac:dyDescent="0.35">
      <c r="A1362" t="s">
        <v>18</v>
      </c>
      <c r="B1362" t="s">
        <v>38</v>
      </c>
      <c r="C1362" t="s">
        <v>93</v>
      </c>
      <c r="D1362" t="s">
        <v>81</v>
      </c>
      <c r="E1362" t="s">
        <v>104</v>
      </c>
      <c r="F1362" t="s">
        <v>73</v>
      </c>
      <c r="G1362" t="s">
        <v>74</v>
      </c>
      <c r="H1362" t="s">
        <v>123</v>
      </c>
      <c r="I1362" t="s">
        <v>84</v>
      </c>
      <c r="J1362" s="4">
        <v>0</v>
      </c>
    </row>
    <row r="1363" spans="1:10" x14ac:dyDescent="0.35">
      <c r="A1363" t="s">
        <v>18</v>
      </c>
      <c r="B1363" t="s">
        <v>38</v>
      </c>
      <c r="C1363" t="s">
        <v>93</v>
      </c>
      <c r="D1363" t="s">
        <v>81</v>
      </c>
      <c r="E1363" t="s">
        <v>106</v>
      </c>
      <c r="F1363" t="s">
        <v>73</v>
      </c>
      <c r="G1363" t="s">
        <v>74</v>
      </c>
      <c r="H1363" t="s">
        <v>123</v>
      </c>
      <c r="I1363" t="s">
        <v>84</v>
      </c>
      <c r="J1363" s="4">
        <v>0</v>
      </c>
    </row>
    <row r="1364" spans="1:10" x14ac:dyDescent="0.35">
      <c r="A1364" t="s">
        <v>18</v>
      </c>
      <c r="B1364" t="s">
        <v>38</v>
      </c>
      <c r="C1364" t="s">
        <v>73</v>
      </c>
      <c r="D1364" t="s">
        <v>81</v>
      </c>
      <c r="E1364" t="s">
        <v>119</v>
      </c>
      <c r="F1364" t="s">
        <v>73</v>
      </c>
      <c r="G1364" t="s">
        <v>74</v>
      </c>
      <c r="H1364" t="s">
        <v>127</v>
      </c>
      <c r="I1364" t="s">
        <v>84</v>
      </c>
      <c r="J1364" s="76">
        <f>'SUT_EU27 total'!$M$22</f>
        <v>1.9500181678711294E-2</v>
      </c>
    </row>
    <row r="1365" spans="1:10" x14ac:dyDescent="0.35">
      <c r="A1365" t="s">
        <v>18</v>
      </c>
      <c r="B1365" t="s">
        <v>38</v>
      </c>
      <c r="C1365" t="s">
        <v>73</v>
      </c>
      <c r="D1365" t="s">
        <v>81</v>
      </c>
      <c r="E1365" t="s">
        <v>124</v>
      </c>
      <c r="F1365" t="s">
        <v>73</v>
      </c>
      <c r="G1365" t="s">
        <v>74</v>
      </c>
      <c r="H1365" t="s">
        <v>127</v>
      </c>
      <c r="I1365" t="s">
        <v>84</v>
      </c>
      <c r="J1365" s="76" cm="1">
        <f t="array" ref="J1365:J1373">'SUT_EU27 total'!$M$26:$M$34</f>
        <v>1.9404661061278542E-3</v>
      </c>
    </row>
    <row r="1366" spans="1:10" x14ac:dyDescent="0.35">
      <c r="A1366" t="s">
        <v>18</v>
      </c>
      <c r="B1366" t="s">
        <v>38</v>
      </c>
      <c r="C1366" t="s">
        <v>73</v>
      </c>
      <c r="D1366" t="s">
        <v>81</v>
      </c>
      <c r="E1366" t="s">
        <v>117</v>
      </c>
      <c r="F1366" t="s">
        <v>73</v>
      </c>
      <c r="G1366" t="s">
        <v>74</v>
      </c>
      <c r="H1366" t="s">
        <v>127</v>
      </c>
      <c r="I1366" t="s">
        <v>84</v>
      </c>
      <c r="J1366" s="4">
        <v>5.8423628191201782E-3</v>
      </c>
    </row>
    <row r="1367" spans="1:10" x14ac:dyDescent="0.35">
      <c r="A1367" t="s">
        <v>18</v>
      </c>
      <c r="B1367" t="s">
        <v>38</v>
      </c>
      <c r="C1367" t="s">
        <v>73</v>
      </c>
      <c r="D1367" t="s">
        <v>81</v>
      </c>
      <c r="E1367" t="s">
        <v>82</v>
      </c>
      <c r="F1367" t="s">
        <v>73</v>
      </c>
      <c r="G1367" t="s">
        <v>74</v>
      </c>
      <c r="H1367" t="s">
        <v>127</v>
      </c>
      <c r="I1367" t="s">
        <v>84</v>
      </c>
      <c r="J1367" s="4">
        <v>4.8981233243967828E-4</v>
      </c>
    </row>
    <row r="1368" spans="1:10" x14ac:dyDescent="0.35">
      <c r="A1368" t="s">
        <v>18</v>
      </c>
      <c r="B1368" t="s">
        <v>38</v>
      </c>
      <c r="C1368" t="s">
        <v>73</v>
      </c>
      <c r="D1368" t="s">
        <v>81</v>
      </c>
      <c r="E1368" t="s">
        <v>125</v>
      </c>
      <c r="F1368" t="s">
        <v>73</v>
      </c>
      <c r="G1368" t="s">
        <v>74</v>
      </c>
      <c r="H1368" t="s">
        <v>127</v>
      </c>
      <c r="I1368" t="s">
        <v>84</v>
      </c>
      <c r="J1368" s="4">
        <v>2.4658201215687387E-3</v>
      </c>
    </row>
    <row r="1369" spans="1:10" x14ac:dyDescent="0.35">
      <c r="A1369" t="s">
        <v>18</v>
      </c>
      <c r="B1369" t="s">
        <v>38</v>
      </c>
      <c r="C1369" t="s">
        <v>73</v>
      </c>
      <c r="D1369" t="s">
        <v>81</v>
      </c>
      <c r="E1369" t="s">
        <v>122</v>
      </c>
      <c r="F1369" t="s">
        <v>73</v>
      </c>
      <c r="G1369" t="s">
        <v>74</v>
      </c>
      <c r="H1369" t="s">
        <v>127</v>
      </c>
      <c r="I1369" t="s">
        <v>84</v>
      </c>
      <c r="J1369" s="4">
        <v>4.922711058263972E-4</v>
      </c>
    </row>
    <row r="1370" spans="1:10" x14ac:dyDescent="0.35">
      <c r="A1370" t="s">
        <v>18</v>
      </c>
      <c r="B1370" t="s">
        <v>38</v>
      </c>
      <c r="C1370" t="s">
        <v>73</v>
      </c>
      <c r="D1370" t="s">
        <v>81</v>
      </c>
      <c r="E1370" t="s">
        <v>126</v>
      </c>
      <c r="F1370" t="s">
        <v>73</v>
      </c>
      <c r="G1370" t="s">
        <v>74</v>
      </c>
      <c r="H1370" t="s">
        <v>127</v>
      </c>
      <c r="I1370" t="s">
        <v>84</v>
      </c>
      <c r="J1370" s="4">
        <v>0</v>
      </c>
    </row>
    <row r="1371" spans="1:10" x14ac:dyDescent="0.35">
      <c r="A1371" t="s">
        <v>18</v>
      </c>
      <c r="B1371" t="s">
        <v>38</v>
      </c>
      <c r="C1371" t="s">
        <v>73</v>
      </c>
      <c r="D1371" t="s">
        <v>81</v>
      </c>
      <c r="E1371" t="s">
        <v>101</v>
      </c>
      <c r="F1371" t="s">
        <v>73</v>
      </c>
      <c r="G1371" t="s">
        <v>74</v>
      </c>
      <c r="H1371" t="s">
        <v>127</v>
      </c>
      <c r="I1371" t="s">
        <v>84</v>
      </c>
      <c r="J1371" s="4">
        <v>3.6586167200000007E-4</v>
      </c>
    </row>
    <row r="1372" spans="1:10" x14ac:dyDescent="0.35">
      <c r="A1372" t="s">
        <v>18</v>
      </c>
      <c r="B1372" t="s">
        <v>38</v>
      </c>
      <c r="C1372" t="s">
        <v>73</v>
      </c>
      <c r="D1372" t="s">
        <v>81</v>
      </c>
      <c r="E1372" t="s">
        <v>104</v>
      </c>
      <c r="F1372" t="s">
        <v>73</v>
      </c>
      <c r="G1372" t="s">
        <v>74</v>
      </c>
      <c r="H1372" t="s">
        <v>127</v>
      </c>
      <c r="I1372" t="s">
        <v>84</v>
      </c>
      <c r="J1372" s="4">
        <v>6.9272632800000005E-4</v>
      </c>
    </row>
    <row r="1373" spans="1:10" x14ac:dyDescent="0.35">
      <c r="A1373" t="s">
        <v>18</v>
      </c>
      <c r="B1373" t="s">
        <v>38</v>
      </c>
      <c r="C1373" t="s">
        <v>73</v>
      </c>
      <c r="D1373" t="s">
        <v>81</v>
      </c>
      <c r="E1373" t="s">
        <v>106</v>
      </c>
      <c r="F1373" t="s">
        <v>73</v>
      </c>
      <c r="G1373" t="s">
        <v>74</v>
      </c>
      <c r="H1373" t="s">
        <v>127</v>
      </c>
      <c r="I1373" t="s">
        <v>84</v>
      </c>
      <c r="J1373" s="4">
        <v>2.3562119999999999E-3</v>
      </c>
    </row>
    <row r="1374" spans="1:10" x14ac:dyDescent="0.35">
      <c r="A1374" t="s">
        <v>18</v>
      </c>
      <c r="B1374" t="s">
        <v>38</v>
      </c>
      <c r="C1374" t="s">
        <v>88</v>
      </c>
      <c r="D1374" t="s">
        <v>81</v>
      </c>
      <c r="E1374" t="s">
        <v>119</v>
      </c>
      <c r="F1374" t="s">
        <v>73</v>
      </c>
      <c r="G1374" t="s">
        <v>74</v>
      </c>
      <c r="H1374" t="s">
        <v>127</v>
      </c>
      <c r="I1374" t="s">
        <v>84</v>
      </c>
      <c r="J1374" s="76">
        <f>'SUT_EU27 total'!$M$39</f>
        <v>0.16108845734587587</v>
      </c>
    </row>
    <row r="1375" spans="1:10" x14ac:dyDescent="0.35">
      <c r="A1375" t="s">
        <v>18</v>
      </c>
      <c r="B1375" t="s">
        <v>38</v>
      </c>
      <c r="C1375" t="s">
        <v>88</v>
      </c>
      <c r="D1375" t="s">
        <v>81</v>
      </c>
      <c r="E1375" t="s">
        <v>124</v>
      </c>
      <c r="F1375" t="s">
        <v>73</v>
      </c>
      <c r="G1375" t="s">
        <v>74</v>
      </c>
      <c r="H1375" t="s">
        <v>127</v>
      </c>
      <c r="I1375" t="s">
        <v>84</v>
      </c>
      <c r="J1375" s="76" cm="1">
        <f t="array" ref="J1375:J1383">'SUT_EU27 total'!$L$43:$L$51</f>
        <v>5.0558836222750793E-4</v>
      </c>
    </row>
    <row r="1376" spans="1:10" x14ac:dyDescent="0.35">
      <c r="A1376" t="s">
        <v>18</v>
      </c>
      <c r="B1376" t="s">
        <v>38</v>
      </c>
      <c r="C1376" t="s">
        <v>88</v>
      </c>
      <c r="D1376" t="s">
        <v>81</v>
      </c>
      <c r="E1376" t="s">
        <v>117</v>
      </c>
      <c r="F1376" t="s">
        <v>73</v>
      </c>
      <c r="G1376" t="s">
        <v>74</v>
      </c>
      <c r="H1376" t="s">
        <v>127</v>
      </c>
      <c r="I1376" t="s">
        <v>84</v>
      </c>
      <c r="J1376" s="4">
        <v>4.8514464106651379E-3</v>
      </c>
    </row>
    <row r="1377" spans="1:10" x14ac:dyDescent="0.35">
      <c r="A1377" t="s">
        <v>18</v>
      </c>
      <c r="B1377" t="s">
        <v>38</v>
      </c>
      <c r="C1377" t="s">
        <v>88</v>
      </c>
      <c r="D1377" t="s">
        <v>81</v>
      </c>
      <c r="E1377" t="s">
        <v>82</v>
      </c>
      <c r="F1377" t="s">
        <v>73</v>
      </c>
      <c r="G1377" t="s">
        <v>74</v>
      </c>
      <c r="H1377" t="s">
        <v>127</v>
      </c>
      <c r="I1377" t="s">
        <v>84</v>
      </c>
      <c r="J1377" s="4">
        <v>1.109418436791091E-2</v>
      </c>
    </row>
    <row r="1378" spans="1:10" x14ac:dyDescent="0.35">
      <c r="A1378" t="s">
        <v>18</v>
      </c>
      <c r="B1378" t="s">
        <v>38</v>
      </c>
      <c r="C1378" t="s">
        <v>88</v>
      </c>
      <c r="D1378" t="s">
        <v>81</v>
      </c>
      <c r="E1378" t="s">
        <v>125</v>
      </c>
      <c r="F1378" t="s">
        <v>73</v>
      </c>
      <c r="G1378" t="s">
        <v>74</v>
      </c>
      <c r="H1378" t="s">
        <v>127</v>
      </c>
      <c r="I1378" t="s">
        <v>84</v>
      </c>
      <c r="J1378" s="4">
        <v>2.890870278990243E-5</v>
      </c>
    </row>
    <row r="1379" spans="1:10" x14ac:dyDescent="0.35">
      <c r="A1379" t="s">
        <v>18</v>
      </c>
      <c r="B1379" t="s">
        <v>38</v>
      </c>
      <c r="C1379" t="s">
        <v>88</v>
      </c>
      <c r="D1379" t="s">
        <v>81</v>
      </c>
      <c r="E1379" t="s">
        <v>122</v>
      </c>
      <c r="F1379" t="s">
        <v>73</v>
      </c>
      <c r="G1379" t="s">
        <v>74</v>
      </c>
      <c r="H1379" t="s">
        <v>127</v>
      </c>
      <c r="I1379" t="s">
        <v>84</v>
      </c>
      <c r="J1379" s="4">
        <v>0</v>
      </c>
    </row>
    <row r="1380" spans="1:10" x14ac:dyDescent="0.35">
      <c r="A1380" t="s">
        <v>18</v>
      </c>
      <c r="B1380" t="s">
        <v>38</v>
      </c>
      <c r="C1380" t="s">
        <v>88</v>
      </c>
      <c r="D1380" t="s">
        <v>81</v>
      </c>
      <c r="E1380" t="s">
        <v>126</v>
      </c>
      <c r="F1380" t="s">
        <v>73</v>
      </c>
      <c r="G1380" t="s">
        <v>74</v>
      </c>
      <c r="H1380" t="s">
        <v>127</v>
      </c>
      <c r="I1380" t="s">
        <v>84</v>
      </c>
      <c r="J1380" s="4">
        <v>2.8514320987501449E-3</v>
      </c>
    </row>
    <row r="1381" spans="1:10" x14ac:dyDescent="0.35">
      <c r="A1381" t="s">
        <v>18</v>
      </c>
      <c r="B1381" t="s">
        <v>38</v>
      </c>
      <c r="C1381" t="s">
        <v>88</v>
      </c>
      <c r="D1381" t="s">
        <v>81</v>
      </c>
      <c r="E1381" t="s">
        <v>101</v>
      </c>
      <c r="F1381" t="s">
        <v>73</v>
      </c>
      <c r="G1381" t="s">
        <v>74</v>
      </c>
      <c r="H1381" t="s">
        <v>127</v>
      </c>
      <c r="I1381" t="s">
        <v>84</v>
      </c>
      <c r="J1381" s="4">
        <v>0</v>
      </c>
    </row>
    <row r="1382" spans="1:10" x14ac:dyDescent="0.35">
      <c r="A1382" t="s">
        <v>18</v>
      </c>
      <c r="B1382" t="s">
        <v>38</v>
      </c>
      <c r="C1382" t="s">
        <v>88</v>
      </c>
      <c r="D1382" t="s">
        <v>81</v>
      </c>
      <c r="E1382" t="s">
        <v>104</v>
      </c>
      <c r="F1382" t="s">
        <v>73</v>
      </c>
      <c r="G1382" t="s">
        <v>74</v>
      </c>
      <c r="H1382" t="s">
        <v>127</v>
      </c>
      <c r="I1382" t="s">
        <v>84</v>
      </c>
      <c r="J1382" s="4">
        <v>0</v>
      </c>
    </row>
    <row r="1383" spans="1:10" x14ac:dyDescent="0.35">
      <c r="A1383" t="s">
        <v>18</v>
      </c>
      <c r="B1383" t="s">
        <v>38</v>
      </c>
      <c r="C1383" t="s">
        <v>88</v>
      </c>
      <c r="D1383" t="s">
        <v>81</v>
      </c>
      <c r="E1383" t="s">
        <v>106</v>
      </c>
      <c r="F1383" t="s">
        <v>73</v>
      </c>
      <c r="G1383" t="s">
        <v>74</v>
      </c>
      <c r="H1383" t="s">
        <v>127</v>
      </c>
      <c r="I1383" t="s">
        <v>84</v>
      </c>
      <c r="J1383" s="4">
        <v>0</v>
      </c>
    </row>
    <row r="1384" spans="1:10" x14ac:dyDescent="0.35">
      <c r="A1384" t="s">
        <v>18</v>
      </c>
      <c r="B1384" t="s">
        <v>38</v>
      </c>
      <c r="C1384" t="s">
        <v>90</v>
      </c>
      <c r="D1384" t="s">
        <v>81</v>
      </c>
      <c r="E1384" t="s">
        <v>119</v>
      </c>
      <c r="F1384" t="s">
        <v>73</v>
      </c>
      <c r="G1384" t="s">
        <v>74</v>
      </c>
      <c r="H1384" t="s">
        <v>127</v>
      </c>
      <c r="I1384" t="s">
        <v>84</v>
      </c>
      <c r="J1384" s="76">
        <f>'SUT_EU27 total'!$M$56</f>
        <v>2.949251079979006E-2</v>
      </c>
    </row>
    <row r="1385" spans="1:10" x14ac:dyDescent="0.35">
      <c r="A1385" t="s">
        <v>18</v>
      </c>
      <c r="B1385" t="s">
        <v>38</v>
      </c>
      <c r="C1385" t="s">
        <v>90</v>
      </c>
      <c r="D1385" t="s">
        <v>81</v>
      </c>
      <c r="E1385" t="s">
        <v>124</v>
      </c>
      <c r="F1385" t="s">
        <v>73</v>
      </c>
      <c r="G1385" t="s">
        <v>74</v>
      </c>
      <c r="H1385" t="s">
        <v>127</v>
      </c>
      <c r="I1385" t="s">
        <v>84</v>
      </c>
      <c r="J1385" s="76" cm="1">
        <f t="array" ref="J1385:J1393">'SUT_EU27 total'!$M$60:$M$68</f>
        <v>2.1047443073980527E-5</v>
      </c>
    </row>
    <row r="1386" spans="1:10" x14ac:dyDescent="0.35">
      <c r="A1386" t="s">
        <v>18</v>
      </c>
      <c r="B1386" t="s">
        <v>38</v>
      </c>
      <c r="C1386" t="s">
        <v>90</v>
      </c>
      <c r="D1386" t="s">
        <v>81</v>
      </c>
      <c r="E1386" t="s">
        <v>117</v>
      </c>
      <c r="F1386" t="s">
        <v>73</v>
      </c>
      <c r="G1386" t="s">
        <v>74</v>
      </c>
      <c r="H1386" t="s">
        <v>127</v>
      </c>
      <c r="I1386" t="s">
        <v>84</v>
      </c>
      <c r="J1386" s="4">
        <v>5.8414015621608938E-3</v>
      </c>
    </row>
    <row r="1387" spans="1:10" x14ac:dyDescent="0.35">
      <c r="A1387" t="s">
        <v>18</v>
      </c>
      <c r="B1387" t="s">
        <v>38</v>
      </c>
      <c r="C1387" t="s">
        <v>90</v>
      </c>
      <c r="D1387" t="s">
        <v>81</v>
      </c>
      <c r="E1387" t="s">
        <v>82</v>
      </c>
      <c r="F1387" t="s">
        <v>73</v>
      </c>
      <c r="G1387" t="s">
        <v>74</v>
      </c>
      <c r="H1387" t="s">
        <v>127</v>
      </c>
      <c r="I1387" t="s">
        <v>84</v>
      </c>
      <c r="J1387" s="4">
        <v>1.4521138379047227E-3</v>
      </c>
    </row>
    <row r="1388" spans="1:10" x14ac:dyDescent="0.35">
      <c r="A1388" t="s">
        <v>18</v>
      </c>
      <c r="B1388" t="s">
        <v>38</v>
      </c>
      <c r="C1388" t="s">
        <v>90</v>
      </c>
      <c r="D1388" t="s">
        <v>81</v>
      </c>
      <c r="E1388" t="s">
        <v>125</v>
      </c>
      <c r="F1388" t="s">
        <v>73</v>
      </c>
      <c r="G1388" t="s">
        <v>74</v>
      </c>
      <c r="H1388" t="s">
        <v>127</v>
      </c>
      <c r="I1388" t="s">
        <v>84</v>
      </c>
      <c r="J1388" s="4">
        <v>6.5130870114372285E-5</v>
      </c>
    </row>
    <row r="1389" spans="1:10" x14ac:dyDescent="0.35">
      <c r="A1389" t="s">
        <v>18</v>
      </c>
      <c r="B1389" t="s">
        <v>38</v>
      </c>
      <c r="C1389" t="s">
        <v>90</v>
      </c>
      <c r="D1389" t="s">
        <v>81</v>
      </c>
      <c r="E1389" t="s">
        <v>122</v>
      </c>
      <c r="F1389" t="s">
        <v>73</v>
      </c>
      <c r="G1389" t="s">
        <v>74</v>
      </c>
      <c r="H1389" t="s">
        <v>127</v>
      </c>
      <c r="I1389" t="s">
        <v>84</v>
      </c>
      <c r="J1389" s="4">
        <v>7.9476813317479189E-4</v>
      </c>
    </row>
    <row r="1390" spans="1:10" x14ac:dyDescent="0.35">
      <c r="A1390" t="s">
        <v>18</v>
      </c>
      <c r="B1390" t="s">
        <v>38</v>
      </c>
      <c r="C1390" t="s">
        <v>90</v>
      </c>
      <c r="D1390" t="s">
        <v>81</v>
      </c>
      <c r="E1390" t="s">
        <v>126</v>
      </c>
      <c r="F1390" t="s">
        <v>73</v>
      </c>
      <c r="G1390" t="s">
        <v>74</v>
      </c>
      <c r="H1390" t="s">
        <v>127</v>
      </c>
      <c r="I1390" t="s">
        <v>84</v>
      </c>
      <c r="J1390" s="4">
        <v>8.4821183458843076E-3</v>
      </c>
    </row>
    <row r="1391" spans="1:10" x14ac:dyDescent="0.35">
      <c r="A1391" t="s">
        <v>18</v>
      </c>
      <c r="B1391" t="s">
        <v>38</v>
      </c>
      <c r="C1391" t="s">
        <v>90</v>
      </c>
      <c r="D1391" t="s">
        <v>81</v>
      </c>
      <c r="E1391" t="s">
        <v>101</v>
      </c>
      <c r="F1391" t="s">
        <v>73</v>
      </c>
      <c r="G1391" t="s">
        <v>74</v>
      </c>
      <c r="H1391" t="s">
        <v>127</v>
      </c>
      <c r="I1391" t="s">
        <v>84</v>
      </c>
      <c r="J1391" s="4">
        <v>0</v>
      </c>
    </row>
    <row r="1392" spans="1:10" x14ac:dyDescent="0.35">
      <c r="A1392" t="s">
        <v>18</v>
      </c>
      <c r="B1392" t="s">
        <v>38</v>
      </c>
      <c r="C1392" t="s">
        <v>90</v>
      </c>
      <c r="D1392" t="s">
        <v>81</v>
      </c>
      <c r="E1392" t="s">
        <v>104</v>
      </c>
      <c r="F1392" t="s">
        <v>73</v>
      </c>
      <c r="G1392" t="s">
        <v>74</v>
      </c>
      <c r="H1392" t="s">
        <v>127</v>
      </c>
      <c r="I1392" t="s">
        <v>84</v>
      </c>
      <c r="J1392" s="4">
        <v>0</v>
      </c>
    </row>
    <row r="1393" spans="1:10" x14ac:dyDescent="0.35">
      <c r="A1393" t="s">
        <v>18</v>
      </c>
      <c r="B1393" t="s">
        <v>38</v>
      </c>
      <c r="C1393" t="s">
        <v>90</v>
      </c>
      <c r="D1393" t="s">
        <v>81</v>
      </c>
      <c r="E1393" t="s">
        <v>106</v>
      </c>
      <c r="F1393" t="s">
        <v>73</v>
      </c>
      <c r="G1393" t="s">
        <v>74</v>
      </c>
      <c r="H1393" t="s">
        <v>127</v>
      </c>
      <c r="I1393" t="s">
        <v>84</v>
      </c>
      <c r="J1393" s="4">
        <v>0</v>
      </c>
    </row>
    <row r="1394" spans="1:10" x14ac:dyDescent="0.35">
      <c r="A1394" t="s">
        <v>18</v>
      </c>
      <c r="B1394" t="s">
        <v>38</v>
      </c>
      <c r="C1394" t="s">
        <v>91</v>
      </c>
      <c r="D1394" t="s">
        <v>81</v>
      </c>
      <c r="E1394" t="s">
        <v>119</v>
      </c>
      <c r="F1394" t="s">
        <v>73</v>
      </c>
      <c r="G1394" t="s">
        <v>74</v>
      </c>
      <c r="H1394" t="s">
        <v>127</v>
      </c>
      <c r="I1394" t="s">
        <v>84</v>
      </c>
      <c r="J1394" s="76">
        <f>'SUT_EU27 total'!$M$73</f>
        <v>0.15097500908393557</v>
      </c>
    </row>
    <row r="1395" spans="1:10" x14ac:dyDescent="0.35">
      <c r="A1395" t="s">
        <v>18</v>
      </c>
      <c r="B1395" t="s">
        <v>38</v>
      </c>
      <c r="C1395" t="s">
        <v>91</v>
      </c>
      <c r="D1395" t="s">
        <v>81</v>
      </c>
      <c r="E1395" t="s">
        <v>124</v>
      </c>
      <c r="F1395" t="s">
        <v>73</v>
      </c>
      <c r="G1395" t="s">
        <v>74</v>
      </c>
      <c r="H1395" t="s">
        <v>127</v>
      </c>
      <c r="I1395" t="s">
        <v>84</v>
      </c>
      <c r="J1395" s="76" cm="1">
        <f t="array" ref="J1395:J1403">'SUT_EU27 total'!$M$77:$M$85</f>
        <v>6.7728942399646885E-5</v>
      </c>
    </row>
    <row r="1396" spans="1:10" x14ac:dyDescent="0.35">
      <c r="A1396" t="s">
        <v>18</v>
      </c>
      <c r="B1396" t="s">
        <v>38</v>
      </c>
      <c r="C1396" t="s">
        <v>91</v>
      </c>
      <c r="D1396" t="s">
        <v>81</v>
      </c>
      <c r="E1396" t="s">
        <v>117</v>
      </c>
      <c r="F1396" t="s">
        <v>73</v>
      </c>
      <c r="G1396" t="s">
        <v>74</v>
      </c>
      <c r="H1396" t="s">
        <v>127</v>
      </c>
      <c r="I1396" t="s">
        <v>84</v>
      </c>
      <c r="J1396" s="4">
        <v>5.6233849622410815E-3</v>
      </c>
    </row>
    <row r="1397" spans="1:10" x14ac:dyDescent="0.35">
      <c r="A1397" t="s">
        <v>18</v>
      </c>
      <c r="B1397" t="s">
        <v>38</v>
      </c>
      <c r="C1397" t="s">
        <v>91</v>
      </c>
      <c r="D1397" t="s">
        <v>81</v>
      </c>
      <c r="E1397" t="s">
        <v>82</v>
      </c>
      <c r="F1397" t="s">
        <v>73</v>
      </c>
      <c r="G1397" t="s">
        <v>74</v>
      </c>
      <c r="H1397" t="s">
        <v>127</v>
      </c>
      <c r="I1397" t="s">
        <v>84</v>
      </c>
      <c r="J1397" s="4">
        <v>1.8068055269127655E-3</v>
      </c>
    </row>
    <row r="1398" spans="1:10" x14ac:dyDescent="0.35">
      <c r="A1398" t="s">
        <v>18</v>
      </c>
      <c r="B1398" t="s">
        <v>38</v>
      </c>
      <c r="C1398" t="s">
        <v>91</v>
      </c>
      <c r="D1398" t="s">
        <v>81</v>
      </c>
      <c r="E1398" t="s">
        <v>125</v>
      </c>
      <c r="F1398" t="s">
        <v>73</v>
      </c>
      <c r="G1398" t="s">
        <v>74</v>
      </c>
      <c r="H1398" t="s">
        <v>127</v>
      </c>
      <c r="I1398" t="s">
        <v>84</v>
      </c>
      <c r="J1398" s="4">
        <v>5.6492118062760293E-6</v>
      </c>
    </row>
    <row r="1399" spans="1:10" x14ac:dyDescent="0.35">
      <c r="A1399" t="s">
        <v>18</v>
      </c>
      <c r="B1399" t="s">
        <v>38</v>
      </c>
      <c r="C1399" t="s">
        <v>91</v>
      </c>
      <c r="D1399" t="s">
        <v>81</v>
      </c>
      <c r="E1399" t="s">
        <v>122</v>
      </c>
      <c r="F1399" t="s">
        <v>73</v>
      </c>
      <c r="G1399" t="s">
        <v>74</v>
      </c>
      <c r="H1399" t="s">
        <v>127</v>
      </c>
      <c r="I1399" t="s">
        <v>84</v>
      </c>
      <c r="J1399" s="4">
        <v>0</v>
      </c>
    </row>
    <row r="1400" spans="1:10" x14ac:dyDescent="0.35">
      <c r="A1400" t="s">
        <v>18</v>
      </c>
      <c r="B1400" t="s">
        <v>38</v>
      </c>
      <c r="C1400" t="s">
        <v>91</v>
      </c>
      <c r="D1400" t="s">
        <v>81</v>
      </c>
      <c r="E1400" t="s">
        <v>126</v>
      </c>
      <c r="F1400" t="s">
        <v>73</v>
      </c>
      <c r="G1400" t="s">
        <v>74</v>
      </c>
      <c r="H1400" t="s">
        <v>127</v>
      </c>
      <c r="I1400" t="s">
        <v>84</v>
      </c>
      <c r="J1400" s="4">
        <v>8.1093795177776388E-4</v>
      </c>
    </row>
    <row r="1401" spans="1:10" x14ac:dyDescent="0.35">
      <c r="A1401" t="s">
        <v>18</v>
      </c>
      <c r="B1401" t="s">
        <v>38</v>
      </c>
      <c r="C1401" t="s">
        <v>91</v>
      </c>
      <c r="D1401" t="s">
        <v>81</v>
      </c>
      <c r="E1401" t="s">
        <v>101</v>
      </c>
      <c r="F1401" t="s">
        <v>73</v>
      </c>
      <c r="G1401" t="s">
        <v>74</v>
      </c>
      <c r="H1401" t="s">
        <v>127</v>
      </c>
      <c r="I1401" t="s">
        <v>84</v>
      </c>
      <c r="J1401" s="4">
        <v>0</v>
      </c>
    </row>
    <row r="1402" spans="1:10" x14ac:dyDescent="0.35">
      <c r="A1402" t="s">
        <v>18</v>
      </c>
      <c r="B1402" t="s">
        <v>38</v>
      </c>
      <c r="C1402" t="s">
        <v>91</v>
      </c>
      <c r="D1402" t="s">
        <v>81</v>
      </c>
      <c r="E1402" t="s">
        <v>104</v>
      </c>
      <c r="F1402" t="s">
        <v>73</v>
      </c>
      <c r="G1402" t="s">
        <v>74</v>
      </c>
      <c r="H1402" t="s">
        <v>127</v>
      </c>
      <c r="I1402" t="s">
        <v>84</v>
      </c>
      <c r="J1402" s="4">
        <v>0</v>
      </c>
    </row>
    <row r="1403" spans="1:10" x14ac:dyDescent="0.35">
      <c r="A1403" t="s">
        <v>18</v>
      </c>
      <c r="B1403" t="s">
        <v>38</v>
      </c>
      <c r="C1403" t="s">
        <v>91</v>
      </c>
      <c r="D1403" t="s">
        <v>81</v>
      </c>
      <c r="E1403" t="s">
        <v>106</v>
      </c>
      <c r="F1403" t="s">
        <v>73</v>
      </c>
      <c r="G1403" t="s">
        <v>74</v>
      </c>
      <c r="H1403" t="s">
        <v>127</v>
      </c>
      <c r="I1403" t="s">
        <v>84</v>
      </c>
      <c r="J1403" s="4">
        <v>0</v>
      </c>
    </row>
    <row r="1404" spans="1:10" x14ac:dyDescent="0.35">
      <c r="A1404" t="s">
        <v>18</v>
      </c>
      <c r="B1404" t="s">
        <v>38</v>
      </c>
      <c r="C1404" t="s">
        <v>92</v>
      </c>
      <c r="D1404" t="s">
        <v>81</v>
      </c>
      <c r="E1404" t="s">
        <v>119</v>
      </c>
      <c r="F1404" t="s">
        <v>73</v>
      </c>
      <c r="G1404" t="s">
        <v>74</v>
      </c>
      <c r="H1404" t="s">
        <v>127</v>
      </c>
      <c r="I1404" t="s">
        <v>84</v>
      </c>
      <c r="J1404" s="76">
        <f>'SUT_EU27 total'!$M$90</f>
        <v>0.13886309499777949</v>
      </c>
    </row>
    <row r="1405" spans="1:10" x14ac:dyDescent="0.35">
      <c r="A1405" t="s">
        <v>18</v>
      </c>
      <c r="B1405" t="s">
        <v>38</v>
      </c>
      <c r="C1405" t="s">
        <v>92</v>
      </c>
      <c r="D1405" t="s">
        <v>81</v>
      </c>
      <c r="E1405" t="s">
        <v>124</v>
      </c>
      <c r="F1405" t="s">
        <v>73</v>
      </c>
      <c r="G1405" t="s">
        <v>74</v>
      </c>
      <c r="H1405" t="s">
        <v>127</v>
      </c>
      <c r="I1405" t="s">
        <v>84</v>
      </c>
      <c r="J1405" s="76" cm="1">
        <f t="array" ref="J1405:J1413">'SUT_EU27 total'!$M$94:$M$102</f>
        <v>9.2968907089085616E-5</v>
      </c>
    </row>
    <row r="1406" spans="1:10" x14ac:dyDescent="0.35">
      <c r="A1406" t="s">
        <v>18</v>
      </c>
      <c r="B1406" t="s">
        <v>38</v>
      </c>
      <c r="C1406" t="s">
        <v>92</v>
      </c>
      <c r="D1406" t="s">
        <v>81</v>
      </c>
      <c r="E1406" t="s">
        <v>117</v>
      </c>
      <c r="F1406" t="s">
        <v>73</v>
      </c>
      <c r="G1406" t="s">
        <v>74</v>
      </c>
      <c r="H1406" t="s">
        <v>127</v>
      </c>
      <c r="I1406" t="s">
        <v>84</v>
      </c>
      <c r="J1406" s="4">
        <v>0</v>
      </c>
    </row>
    <row r="1407" spans="1:10" x14ac:dyDescent="0.35">
      <c r="A1407" t="s">
        <v>18</v>
      </c>
      <c r="B1407" t="s">
        <v>38</v>
      </c>
      <c r="C1407" t="s">
        <v>92</v>
      </c>
      <c r="D1407" t="s">
        <v>81</v>
      </c>
      <c r="E1407" t="s">
        <v>82</v>
      </c>
      <c r="F1407" t="s">
        <v>73</v>
      </c>
      <c r="G1407" t="s">
        <v>74</v>
      </c>
      <c r="H1407" t="s">
        <v>127</v>
      </c>
      <c r="I1407" t="s">
        <v>84</v>
      </c>
      <c r="J1407" s="4">
        <v>1.1251392039595793E-3</v>
      </c>
    </row>
    <row r="1408" spans="1:10" x14ac:dyDescent="0.35">
      <c r="A1408" t="s">
        <v>18</v>
      </c>
      <c r="B1408" t="s">
        <v>38</v>
      </c>
      <c r="C1408" t="s">
        <v>92</v>
      </c>
      <c r="D1408" t="s">
        <v>81</v>
      </c>
      <c r="E1408" t="s">
        <v>125</v>
      </c>
      <c r="F1408" t="s">
        <v>73</v>
      </c>
      <c r="G1408" t="s">
        <v>74</v>
      </c>
      <c r="H1408" t="s">
        <v>127</v>
      </c>
      <c r="I1408" t="s">
        <v>84</v>
      </c>
      <c r="J1408" s="4">
        <v>5.0048817841215026E-7</v>
      </c>
    </row>
    <row r="1409" spans="1:10" x14ac:dyDescent="0.35">
      <c r="A1409" t="s">
        <v>18</v>
      </c>
      <c r="B1409" t="s">
        <v>38</v>
      </c>
      <c r="C1409" t="s">
        <v>92</v>
      </c>
      <c r="D1409" t="s">
        <v>81</v>
      </c>
      <c r="E1409" t="s">
        <v>122</v>
      </c>
      <c r="F1409" t="s">
        <v>73</v>
      </c>
      <c r="G1409" t="s">
        <v>74</v>
      </c>
      <c r="H1409" t="s">
        <v>127</v>
      </c>
      <c r="I1409" t="s">
        <v>84</v>
      </c>
      <c r="J1409" s="4">
        <v>0</v>
      </c>
    </row>
    <row r="1410" spans="1:10" x14ac:dyDescent="0.35">
      <c r="A1410" t="s">
        <v>18</v>
      </c>
      <c r="B1410" t="s">
        <v>38</v>
      </c>
      <c r="C1410" t="s">
        <v>92</v>
      </c>
      <c r="D1410" t="s">
        <v>81</v>
      </c>
      <c r="E1410" t="s">
        <v>126</v>
      </c>
      <c r="F1410" t="s">
        <v>73</v>
      </c>
      <c r="G1410" t="s">
        <v>74</v>
      </c>
      <c r="H1410" t="s">
        <v>127</v>
      </c>
      <c r="I1410" t="s">
        <v>84</v>
      </c>
      <c r="J1410" s="4">
        <v>0</v>
      </c>
    </row>
    <row r="1411" spans="1:10" x14ac:dyDescent="0.35">
      <c r="A1411" t="s">
        <v>18</v>
      </c>
      <c r="B1411" t="s">
        <v>38</v>
      </c>
      <c r="C1411" t="s">
        <v>92</v>
      </c>
      <c r="D1411" t="s">
        <v>81</v>
      </c>
      <c r="E1411" t="s">
        <v>101</v>
      </c>
      <c r="F1411" t="s">
        <v>73</v>
      </c>
      <c r="G1411" t="s">
        <v>74</v>
      </c>
      <c r="H1411" t="s">
        <v>127</v>
      </c>
      <c r="I1411" t="s">
        <v>84</v>
      </c>
      <c r="J1411" s="4">
        <v>0</v>
      </c>
    </row>
    <row r="1412" spans="1:10" x14ac:dyDescent="0.35">
      <c r="A1412" t="s">
        <v>18</v>
      </c>
      <c r="B1412" t="s">
        <v>38</v>
      </c>
      <c r="C1412" t="s">
        <v>92</v>
      </c>
      <c r="D1412" t="s">
        <v>81</v>
      </c>
      <c r="E1412" t="s">
        <v>104</v>
      </c>
      <c r="F1412" t="s">
        <v>73</v>
      </c>
      <c r="G1412" t="s">
        <v>74</v>
      </c>
      <c r="H1412" t="s">
        <v>127</v>
      </c>
      <c r="I1412" t="s">
        <v>84</v>
      </c>
      <c r="J1412" s="4">
        <v>0</v>
      </c>
    </row>
    <row r="1413" spans="1:10" x14ac:dyDescent="0.35">
      <c r="A1413" t="s">
        <v>18</v>
      </c>
      <c r="B1413" t="s">
        <v>38</v>
      </c>
      <c r="C1413" t="s">
        <v>92</v>
      </c>
      <c r="D1413" t="s">
        <v>81</v>
      </c>
      <c r="E1413" t="s">
        <v>106</v>
      </c>
      <c r="F1413" t="s">
        <v>73</v>
      </c>
      <c r="G1413" t="s">
        <v>74</v>
      </c>
      <c r="H1413" t="s">
        <v>127</v>
      </c>
      <c r="I1413" t="s">
        <v>84</v>
      </c>
      <c r="J1413" s="4">
        <v>0</v>
      </c>
    </row>
    <row r="1414" spans="1:10" x14ac:dyDescent="0.35">
      <c r="A1414" t="s">
        <v>18</v>
      </c>
      <c r="B1414" t="s">
        <v>38</v>
      </c>
      <c r="C1414" t="s">
        <v>93</v>
      </c>
      <c r="D1414" t="s">
        <v>81</v>
      </c>
      <c r="E1414" t="s">
        <v>119</v>
      </c>
      <c r="F1414" t="s">
        <v>73</v>
      </c>
      <c r="G1414" t="s">
        <v>74</v>
      </c>
      <c r="H1414" t="s">
        <v>127</v>
      </c>
      <c r="I1414" t="s">
        <v>84</v>
      </c>
      <c r="J1414" s="76">
        <f>'SUT_EU27 total'!$M$107</f>
        <v>1.0000807460939076</v>
      </c>
    </row>
    <row r="1415" spans="1:10" x14ac:dyDescent="0.35">
      <c r="A1415" t="s">
        <v>18</v>
      </c>
      <c r="B1415" t="s">
        <v>38</v>
      </c>
      <c r="C1415" t="s">
        <v>93</v>
      </c>
      <c r="D1415" t="s">
        <v>81</v>
      </c>
      <c r="E1415" t="s">
        <v>124</v>
      </c>
      <c r="F1415" t="s">
        <v>73</v>
      </c>
      <c r="G1415" t="s">
        <v>74</v>
      </c>
      <c r="H1415" t="s">
        <v>127</v>
      </c>
      <c r="I1415" t="s">
        <v>84</v>
      </c>
      <c r="J1415" s="76" cm="1">
        <f t="array" ref="J1415:J1423">'SUT_EU27 total'!$M$111:$M$119</f>
        <v>3.7052409430862396E-4</v>
      </c>
    </row>
    <row r="1416" spans="1:10" x14ac:dyDescent="0.35">
      <c r="A1416" t="s">
        <v>18</v>
      </c>
      <c r="B1416" t="s">
        <v>38</v>
      </c>
      <c r="C1416" t="s">
        <v>93</v>
      </c>
      <c r="D1416" t="s">
        <v>81</v>
      </c>
      <c r="E1416" t="s">
        <v>117</v>
      </c>
      <c r="F1416" t="s">
        <v>73</v>
      </c>
      <c r="G1416" t="s">
        <v>74</v>
      </c>
      <c r="H1416" t="s">
        <v>127</v>
      </c>
      <c r="I1416" t="s">
        <v>84</v>
      </c>
      <c r="J1416" s="4">
        <v>5.8414042458127093E-3</v>
      </c>
    </row>
    <row r="1417" spans="1:10" x14ac:dyDescent="0.35">
      <c r="A1417" t="s">
        <v>18</v>
      </c>
      <c r="B1417" t="s">
        <v>38</v>
      </c>
      <c r="C1417" t="s">
        <v>93</v>
      </c>
      <c r="D1417" t="s">
        <v>81</v>
      </c>
      <c r="E1417" t="s">
        <v>82</v>
      </c>
      <c r="F1417" t="s">
        <v>73</v>
      </c>
      <c r="G1417" t="s">
        <v>74</v>
      </c>
      <c r="H1417" t="s">
        <v>127</v>
      </c>
      <c r="I1417" t="s">
        <v>84</v>
      </c>
      <c r="J1417" s="4">
        <v>5.0319447308723453E-3</v>
      </c>
    </row>
    <row r="1418" spans="1:10" x14ac:dyDescent="0.35">
      <c r="A1418" t="s">
        <v>18</v>
      </c>
      <c r="B1418" t="s">
        <v>38</v>
      </c>
      <c r="C1418" t="s">
        <v>93</v>
      </c>
      <c r="D1418" t="s">
        <v>81</v>
      </c>
      <c r="E1418" t="s">
        <v>125</v>
      </c>
      <c r="F1418" t="s">
        <v>73</v>
      </c>
      <c r="G1418" t="s">
        <v>74</v>
      </c>
      <c r="H1418" t="s">
        <v>127</v>
      </c>
      <c r="I1418" t="s">
        <v>84</v>
      </c>
      <c r="J1418" s="4">
        <v>4.336096678710085E-4</v>
      </c>
    </row>
    <row r="1419" spans="1:10" x14ac:dyDescent="0.35">
      <c r="A1419" t="s">
        <v>18</v>
      </c>
      <c r="B1419" t="s">
        <v>38</v>
      </c>
      <c r="C1419" t="s">
        <v>93</v>
      </c>
      <c r="D1419" t="s">
        <v>81</v>
      </c>
      <c r="E1419" t="s">
        <v>122</v>
      </c>
      <c r="F1419" t="s">
        <v>73</v>
      </c>
      <c r="G1419" t="s">
        <v>74</v>
      </c>
      <c r="H1419" t="s">
        <v>127</v>
      </c>
      <c r="I1419" t="s">
        <v>84</v>
      </c>
      <c r="J1419" s="4">
        <v>2.7129607609988112E-3</v>
      </c>
    </row>
    <row r="1420" spans="1:10" x14ac:dyDescent="0.35">
      <c r="A1420" t="s">
        <v>18</v>
      </c>
      <c r="B1420" t="s">
        <v>38</v>
      </c>
      <c r="C1420" t="s">
        <v>93</v>
      </c>
      <c r="D1420" t="s">
        <v>81</v>
      </c>
      <c r="E1420" t="s">
        <v>126</v>
      </c>
      <c r="F1420" t="s">
        <v>73</v>
      </c>
      <c r="G1420" t="s">
        <v>74</v>
      </c>
      <c r="H1420" t="s">
        <v>127</v>
      </c>
      <c r="I1420" t="s">
        <v>84</v>
      </c>
      <c r="J1420" s="4">
        <v>4.3855511603587784E-2</v>
      </c>
    </row>
    <row r="1421" spans="1:10" x14ac:dyDescent="0.35">
      <c r="A1421" t="s">
        <v>18</v>
      </c>
      <c r="B1421" t="s">
        <v>38</v>
      </c>
      <c r="C1421" t="s">
        <v>93</v>
      </c>
      <c r="D1421" t="s">
        <v>81</v>
      </c>
      <c r="E1421" t="s">
        <v>101</v>
      </c>
      <c r="F1421" t="s">
        <v>73</v>
      </c>
      <c r="G1421" t="s">
        <v>74</v>
      </c>
      <c r="H1421" t="s">
        <v>127</v>
      </c>
      <c r="I1421" t="s">
        <v>84</v>
      </c>
      <c r="J1421" s="4">
        <v>0</v>
      </c>
    </row>
    <row r="1422" spans="1:10" x14ac:dyDescent="0.35">
      <c r="A1422" t="s">
        <v>18</v>
      </c>
      <c r="B1422" t="s">
        <v>38</v>
      </c>
      <c r="C1422" t="s">
        <v>93</v>
      </c>
      <c r="D1422" t="s">
        <v>81</v>
      </c>
      <c r="E1422" t="s">
        <v>104</v>
      </c>
      <c r="F1422" t="s">
        <v>73</v>
      </c>
      <c r="G1422" t="s">
        <v>74</v>
      </c>
      <c r="H1422" t="s">
        <v>127</v>
      </c>
      <c r="I1422" t="s">
        <v>84</v>
      </c>
      <c r="J1422" s="4">
        <v>0</v>
      </c>
    </row>
    <row r="1423" spans="1:10" x14ac:dyDescent="0.35">
      <c r="A1423" t="s">
        <v>18</v>
      </c>
      <c r="B1423" t="s">
        <v>38</v>
      </c>
      <c r="C1423" t="s">
        <v>93</v>
      </c>
      <c r="D1423" t="s">
        <v>81</v>
      </c>
      <c r="E1423" t="s">
        <v>106</v>
      </c>
      <c r="F1423" t="s">
        <v>73</v>
      </c>
      <c r="G1423" t="s">
        <v>74</v>
      </c>
      <c r="H1423" t="s">
        <v>127</v>
      </c>
      <c r="I1423" t="s">
        <v>84</v>
      </c>
      <c r="J1423" s="4">
        <v>0</v>
      </c>
    </row>
    <row r="1424" spans="1:10" x14ac:dyDescent="0.35">
      <c r="A1424" t="s">
        <v>18</v>
      </c>
      <c r="B1424" t="s">
        <v>38</v>
      </c>
      <c r="C1424" t="s">
        <v>73</v>
      </c>
      <c r="D1424" t="s">
        <v>81</v>
      </c>
      <c r="E1424" t="s">
        <v>82</v>
      </c>
      <c r="F1424" t="s">
        <v>73</v>
      </c>
      <c r="G1424" t="s">
        <v>74</v>
      </c>
      <c r="H1424" t="s">
        <v>128</v>
      </c>
      <c r="I1424" t="s">
        <v>84</v>
      </c>
      <c r="J1424" s="76">
        <f>'SUT_EU27 total'!$N$28</f>
        <v>1.4658301341380521E-2</v>
      </c>
    </row>
    <row r="1425" spans="1:10" x14ac:dyDescent="0.35">
      <c r="A1425" t="s">
        <v>18</v>
      </c>
      <c r="B1425" t="s">
        <v>38</v>
      </c>
      <c r="C1425" t="s">
        <v>73</v>
      </c>
      <c r="D1425" t="s">
        <v>81</v>
      </c>
      <c r="E1425" t="s">
        <v>86</v>
      </c>
      <c r="F1425" t="s">
        <v>73</v>
      </c>
      <c r="G1425" t="s">
        <v>74</v>
      </c>
      <c r="H1425" t="s">
        <v>128</v>
      </c>
      <c r="I1425" t="s">
        <v>84</v>
      </c>
      <c r="J1425" s="76">
        <f>'SUT_EU27 total'!$N$35</f>
        <v>3.0740776778828832E-3</v>
      </c>
    </row>
    <row r="1426" spans="1:10" x14ac:dyDescent="0.35">
      <c r="A1426" t="s">
        <v>18</v>
      </c>
      <c r="B1426" t="s">
        <v>38</v>
      </c>
      <c r="C1426" t="s">
        <v>88</v>
      </c>
      <c r="D1426" t="s">
        <v>81</v>
      </c>
      <c r="E1426" t="s">
        <v>82</v>
      </c>
      <c r="F1426" t="s">
        <v>73</v>
      </c>
      <c r="G1426" t="s">
        <v>74</v>
      </c>
      <c r="H1426" t="s">
        <v>128</v>
      </c>
      <c r="I1426" t="s">
        <v>84</v>
      </c>
      <c r="J1426" s="76">
        <f>'SUT_EU27 total'!$N$45</f>
        <v>9.2276548594747033E-3</v>
      </c>
    </row>
    <row r="1427" spans="1:10" x14ac:dyDescent="0.35">
      <c r="A1427" t="s">
        <v>18</v>
      </c>
      <c r="B1427" t="s">
        <v>38</v>
      </c>
      <c r="C1427" t="s">
        <v>88</v>
      </c>
      <c r="D1427" t="s">
        <v>81</v>
      </c>
      <c r="E1427" t="s">
        <v>86</v>
      </c>
      <c r="F1427" t="s">
        <v>73</v>
      </c>
      <c r="G1427" t="s">
        <v>74</v>
      </c>
      <c r="H1427" t="s">
        <v>128</v>
      </c>
      <c r="I1427" t="s">
        <v>84</v>
      </c>
      <c r="J1427" s="76">
        <f>'SUT_EU27 total'!$N$52</f>
        <v>6.9627451701437512E-2</v>
      </c>
    </row>
    <row r="1428" spans="1:10" x14ac:dyDescent="0.35">
      <c r="A1428" t="s">
        <v>18</v>
      </c>
      <c r="B1428" t="s">
        <v>38</v>
      </c>
      <c r="C1428" t="s">
        <v>90</v>
      </c>
      <c r="D1428" t="s">
        <v>81</v>
      </c>
      <c r="E1428" t="s">
        <v>82</v>
      </c>
      <c r="F1428" t="s">
        <v>73</v>
      </c>
      <c r="G1428" t="s">
        <v>74</v>
      </c>
      <c r="H1428" t="s">
        <v>128</v>
      </c>
      <c r="I1428" t="s">
        <v>84</v>
      </c>
      <c r="J1428" s="76">
        <f>'SUT_EU27 total'!$N$62</f>
        <v>2.2200107734217647E-6</v>
      </c>
    </row>
    <row r="1429" spans="1:10" x14ac:dyDescent="0.35">
      <c r="A1429" t="s">
        <v>18</v>
      </c>
      <c r="B1429" t="s">
        <v>38</v>
      </c>
      <c r="C1429" t="s">
        <v>90</v>
      </c>
      <c r="D1429" t="s">
        <v>81</v>
      </c>
      <c r="E1429" t="s">
        <v>86</v>
      </c>
      <c r="F1429" t="s">
        <v>73</v>
      </c>
      <c r="G1429" t="s">
        <v>74</v>
      </c>
      <c r="H1429" t="s">
        <v>128</v>
      </c>
      <c r="I1429" t="s">
        <v>84</v>
      </c>
      <c r="J1429" s="76">
        <f>'SUT_EU27 total'!$N$69</f>
        <v>9.1135123377023061E-3</v>
      </c>
    </row>
    <row r="1430" spans="1:10" x14ac:dyDescent="0.35">
      <c r="A1430" t="s">
        <v>18</v>
      </c>
      <c r="B1430" t="s">
        <v>38</v>
      </c>
      <c r="C1430" t="s">
        <v>91</v>
      </c>
      <c r="D1430" t="s">
        <v>81</v>
      </c>
      <c r="E1430" t="s">
        <v>82</v>
      </c>
      <c r="F1430" t="s">
        <v>73</v>
      </c>
      <c r="G1430" t="s">
        <v>74</v>
      </c>
      <c r="H1430" t="s">
        <v>128</v>
      </c>
      <c r="I1430" t="s">
        <v>84</v>
      </c>
      <c r="J1430" s="76">
        <f>'SUT_EU27 total'!$N$79</f>
        <v>4.3195382907628159E-4</v>
      </c>
    </row>
    <row r="1431" spans="1:10" x14ac:dyDescent="0.35">
      <c r="A1431" t="s">
        <v>18</v>
      </c>
      <c r="B1431" t="s">
        <v>38</v>
      </c>
      <c r="C1431" t="s">
        <v>91</v>
      </c>
      <c r="D1431" t="s">
        <v>81</v>
      </c>
      <c r="E1431" t="s">
        <v>86</v>
      </c>
      <c r="F1431" t="s">
        <v>73</v>
      </c>
      <c r="G1431" t="s">
        <v>74</v>
      </c>
      <c r="H1431" t="s">
        <v>128</v>
      </c>
      <c r="I1431" t="s">
        <v>84</v>
      </c>
      <c r="J1431" s="76">
        <f>'SUT_EU27 total'!$N$86</f>
        <v>1.1339568587203704E-2</v>
      </c>
    </row>
    <row r="1432" spans="1:10" x14ac:dyDescent="0.35">
      <c r="A1432" t="s">
        <v>18</v>
      </c>
      <c r="B1432" t="s">
        <v>38</v>
      </c>
      <c r="C1432" t="s">
        <v>92</v>
      </c>
      <c r="D1432" t="s">
        <v>81</v>
      </c>
      <c r="E1432" t="s">
        <v>82</v>
      </c>
      <c r="F1432" t="s">
        <v>73</v>
      </c>
      <c r="G1432" t="s">
        <v>74</v>
      </c>
      <c r="H1432" t="s">
        <v>128</v>
      </c>
      <c r="I1432" t="s">
        <v>84</v>
      </c>
      <c r="J1432" s="76">
        <f>'SUT_EU27 total'!$N$96</f>
        <v>5.9963902402539811E-4</v>
      </c>
    </row>
    <row r="1433" spans="1:10" x14ac:dyDescent="0.35">
      <c r="A1433" t="s">
        <v>18</v>
      </c>
      <c r="B1433" t="s">
        <v>38</v>
      </c>
      <c r="C1433" t="s">
        <v>92</v>
      </c>
      <c r="D1433" t="s">
        <v>81</v>
      </c>
      <c r="E1433" t="s">
        <v>86</v>
      </c>
      <c r="F1433" t="s">
        <v>73</v>
      </c>
      <c r="G1433" t="s">
        <v>74</v>
      </c>
      <c r="H1433" t="s">
        <v>128</v>
      </c>
      <c r="I1433" t="s">
        <v>84</v>
      </c>
      <c r="J1433" s="76">
        <f>'SUT_EU27 total'!$N$103</f>
        <v>7.0614092017150581E-3</v>
      </c>
    </row>
    <row r="1434" spans="1:10" x14ac:dyDescent="0.35">
      <c r="A1434" t="s">
        <v>18</v>
      </c>
      <c r="B1434" t="s">
        <v>38</v>
      </c>
      <c r="C1434" t="s">
        <v>93</v>
      </c>
      <c r="D1434" t="s">
        <v>81</v>
      </c>
      <c r="E1434" t="s">
        <v>82</v>
      </c>
      <c r="F1434" t="s">
        <v>73</v>
      </c>
      <c r="G1434" t="s">
        <v>74</v>
      </c>
      <c r="H1434" t="s">
        <v>128</v>
      </c>
      <c r="I1434" t="s">
        <v>84</v>
      </c>
      <c r="J1434" s="76">
        <f>'SUT_EU27 total'!$N$113</f>
        <v>2.4854239602480213E-3</v>
      </c>
    </row>
    <row r="1435" spans="1:10" x14ac:dyDescent="0.35">
      <c r="A1435" t="s">
        <v>18</v>
      </c>
      <c r="B1435" t="s">
        <v>38</v>
      </c>
      <c r="C1435" t="s">
        <v>93</v>
      </c>
      <c r="D1435" t="s">
        <v>81</v>
      </c>
      <c r="E1435" t="s">
        <v>86</v>
      </c>
      <c r="F1435" t="s">
        <v>73</v>
      </c>
      <c r="G1435" t="s">
        <v>74</v>
      </c>
      <c r="H1435" t="s">
        <v>128</v>
      </c>
      <c r="I1435" t="s">
        <v>84</v>
      </c>
      <c r="J1435" s="76">
        <f>'SUT_EU27 total'!$N$120</f>
        <v>3.1580644155014347E-2</v>
      </c>
    </row>
    <row r="1436" spans="1:10" x14ac:dyDescent="0.35">
      <c r="A1436" t="s">
        <v>18</v>
      </c>
      <c r="B1436" t="s">
        <v>38</v>
      </c>
      <c r="C1436" t="s">
        <v>73</v>
      </c>
      <c r="D1436" t="s">
        <v>81</v>
      </c>
      <c r="E1436" t="s">
        <v>82</v>
      </c>
      <c r="F1436" t="s">
        <v>73</v>
      </c>
      <c r="G1436" t="s">
        <v>74</v>
      </c>
      <c r="H1436" t="s">
        <v>129</v>
      </c>
      <c r="I1436" t="s">
        <v>84</v>
      </c>
      <c r="J1436" s="76">
        <f>'SUT_EU27 total'!$O$28</f>
        <v>1.4658301341380521E-2</v>
      </c>
    </row>
    <row r="1437" spans="1:10" x14ac:dyDescent="0.35">
      <c r="A1437" t="s">
        <v>18</v>
      </c>
      <c r="B1437" t="s">
        <v>38</v>
      </c>
      <c r="C1437" t="s">
        <v>73</v>
      </c>
      <c r="D1437" t="s">
        <v>81</v>
      </c>
      <c r="E1437" t="s">
        <v>86</v>
      </c>
      <c r="F1437" t="s">
        <v>73</v>
      </c>
      <c r="G1437" t="s">
        <v>74</v>
      </c>
      <c r="H1437" t="s">
        <v>129</v>
      </c>
      <c r="I1437" t="s">
        <v>84</v>
      </c>
      <c r="J1437" s="76">
        <f>'SUT_EU27 total'!$O$35</f>
        <v>3.0740776778828832E-3</v>
      </c>
    </row>
    <row r="1438" spans="1:10" x14ac:dyDescent="0.35">
      <c r="A1438" t="s">
        <v>18</v>
      </c>
      <c r="B1438" t="s">
        <v>38</v>
      </c>
      <c r="C1438" t="s">
        <v>88</v>
      </c>
      <c r="D1438" t="s">
        <v>81</v>
      </c>
      <c r="E1438" t="s">
        <v>82</v>
      </c>
      <c r="F1438" t="s">
        <v>73</v>
      </c>
      <c r="G1438" t="s">
        <v>74</v>
      </c>
      <c r="H1438" t="s">
        <v>129</v>
      </c>
      <c r="I1438" t="s">
        <v>84</v>
      </c>
      <c r="J1438" s="76">
        <f>'SUT_EU27 total'!$O$45</f>
        <v>9.2276548594747033E-3</v>
      </c>
    </row>
    <row r="1439" spans="1:10" x14ac:dyDescent="0.35">
      <c r="A1439" t="s">
        <v>18</v>
      </c>
      <c r="B1439" t="s">
        <v>38</v>
      </c>
      <c r="C1439" t="s">
        <v>88</v>
      </c>
      <c r="D1439" t="s">
        <v>81</v>
      </c>
      <c r="E1439" t="s">
        <v>86</v>
      </c>
      <c r="F1439" t="s">
        <v>73</v>
      </c>
      <c r="G1439" t="s">
        <v>74</v>
      </c>
      <c r="H1439" t="s">
        <v>129</v>
      </c>
      <c r="I1439" t="s">
        <v>84</v>
      </c>
      <c r="J1439" s="76">
        <f>'SUT_EU27 total'!$O$52</f>
        <v>6.9627451701437512E-2</v>
      </c>
    </row>
    <row r="1440" spans="1:10" x14ac:dyDescent="0.35">
      <c r="A1440" t="s">
        <v>18</v>
      </c>
      <c r="B1440" t="s">
        <v>38</v>
      </c>
      <c r="C1440" t="s">
        <v>90</v>
      </c>
      <c r="D1440" t="s">
        <v>81</v>
      </c>
      <c r="E1440" t="s">
        <v>82</v>
      </c>
      <c r="F1440" t="s">
        <v>73</v>
      </c>
      <c r="G1440" t="s">
        <v>74</v>
      </c>
      <c r="H1440" t="s">
        <v>129</v>
      </c>
      <c r="I1440" t="s">
        <v>84</v>
      </c>
      <c r="J1440" s="76">
        <f>'SUT_EU27 total'!$O$62</f>
        <v>2.2200107734217647E-6</v>
      </c>
    </row>
    <row r="1441" spans="1:10" x14ac:dyDescent="0.35">
      <c r="A1441" t="s">
        <v>18</v>
      </c>
      <c r="B1441" t="s">
        <v>38</v>
      </c>
      <c r="C1441" t="s">
        <v>90</v>
      </c>
      <c r="D1441" t="s">
        <v>81</v>
      </c>
      <c r="E1441" t="s">
        <v>86</v>
      </c>
      <c r="F1441" t="s">
        <v>73</v>
      </c>
      <c r="G1441" t="s">
        <v>74</v>
      </c>
      <c r="H1441" t="s">
        <v>129</v>
      </c>
      <c r="I1441" t="s">
        <v>84</v>
      </c>
      <c r="J1441" s="76">
        <f>'SUT_EU27 total'!$O$69</f>
        <v>9.1135123377023061E-3</v>
      </c>
    </row>
    <row r="1442" spans="1:10" x14ac:dyDescent="0.35">
      <c r="A1442" t="s">
        <v>18</v>
      </c>
      <c r="B1442" t="s">
        <v>38</v>
      </c>
      <c r="C1442" t="s">
        <v>91</v>
      </c>
      <c r="D1442" t="s">
        <v>81</v>
      </c>
      <c r="E1442" t="s">
        <v>82</v>
      </c>
      <c r="F1442" t="s">
        <v>73</v>
      </c>
      <c r="G1442" t="s">
        <v>74</v>
      </c>
      <c r="H1442" t="s">
        <v>129</v>
      </c>
      <c r="I1442" t="s">
        <v>84</v>
      </c>
      <c r="J1442" s="76">
        <f>'SUT_EU27 total'!$O$79</f>
        <v>4.3195382907628159E-4</v>
      </c>
    </row>
    <row r="1443" spans="1:10" x14ac:dyDescent="0.35">
      <c r="A1443" t="s">
        <v>18</v>
      </c>
      <c r="B1443" t="s">
        <v>38</v>
      </c>
      <c r="C1443" t="s">
        <v>91</v>
      </c>
      <c r="D1443" t="s">
        <v>81</v>
      </c>
      <c r="E1443" t="s">
        <v>86</v>
      </c>
      <c r="F1443" t="s">
        <v>73</v>
      </c>
      <c r="G1443" t="s">
        <v>74</v>
      </c>
      <c r="H1443" t="s">
        <v>129</v>
      </c>
      <c r="I1443" t="s">
        <v>84</v>
      </c>
      <c r="J1443" s="76">
        <f>'SUT_EU27 total'!$O$86</f>
        <v>1.1339568587203704E-2</v>
      </c>
    </row>
    <row r="1444" spans="1:10" x14ac:dyDescent="0.35">
      <c r="A1444" t="s">
        <v>18</v>
      </c>
      <c r="B1444" t="s">
        <v>38</v>
      </c>
      <c r="C1444" t="s">
        <v>92</v>
      </c>
      <c r="D1444" t="s">
        <v>81</v>
      </c>
      <c r="E1444" t="s">
        <v>82</v>
      </c>
      <c r="F1444" t="s">
        <v>73</v>
      </c>
      <c r="G1444" t="s">
        <v>74</v>
      </c>
      <c r="H1444" t="s">
        <v>129</v>
      </c>
      <c r="I1444" t="s">
        <v>84</v>
      </c>
      <c r="J1444" s="76">
        <f>'SUT_EU27 total'!$O$96</f>
        <v>5.9963902402539811E-4</v>
      </c>
    </row>
    <row r="1445" spans="1:10" x14ac:dyDescent="0.35">
      <c r="A1445" t="s">
        <v>18</v>
      </c>
      <c r="B1445" t="s">
        <v>38</v>
      </c>
      <c r="C1445" t="s">
        <v>92</v>
      </c>
      <c r="D1445" t="s">
        <v>81</v>
      </c>
      <c r="E1445" t="s">
        <v>86</v>
      </c>
      <c r="F1445" t="s">
        <v>73</v>
      </c>
      <c r="G1445" t="s">
        <v>74</v>
      </c>
      <c r="H1445" t="s">
        <v>129</v>
      </c>
      <c r="I1445" t="s">
        <v>84</v>
      </c>
      <c r="J1445" s="76">
        <f>'SUT_EU27 total'!$O$103</f>
        <v>7.0614092017150581E-3</v>
      </c>
    </row>
    <row r="1446" spans="1:10" x14ac:dyDescent="0.35">
      <c r="A1446" t="s">
        <v>18</v>
      </c>
      <c r="B1446" t="s">
        <v>38</v>
      </c>
      <c r="C1446" t="s">
        <v>93</v>
      </c>
      <c r="D1446" t="s">
        <v>81</v>
      </c>
      <c r="E1446" t="s">
        <v>82</v>
      </c>
      <c r="F1446" t="s">
        <v>73</v>
      </c>
      <c r="G1446" t="s">
        <v>74</v>
      </c>
      <c r="H1446" t="s">
        <v>129</v>
      </c>
      <c r="I1446" t="s">
        <v>84</v>
      </c>
      <c r="J1446" s="76">
        <f>'SUT_EU27 total'!$O$113</f>
        <v>2.4854239602480213E-3</v>
      </c>
    </row>
    <row r="1447" spans="1:10" x14ac:dyDescent="0.35">
      <c r="A1447" t="s">
        <v>18</v>
      </c>
      <c r="B1447" t="s">
        <v>38</v>
      </c>
      <c r="C1447" t="s">
        <v>93</v>
      </c>
      <c r="D1447" t="s">
        <v>81</v>
      </c>
      <c r="E1447" t="s">
        <v>86</v>
      </c>
      <c r="F1447" t="s">
        <v>73</v>
      </c>
      <c r="G1447" t="s">
        <v>74</v>
      </c>
      <c r="H1447" t="s">
        <v>129</v>
      </c>
      <c r="I1447" t="s">
        <v>84</v>
      </c>
      <c r="J1447" s="76">
        <f>'SUT_EU27 total'!$O$120</f>
        <v>3.1580644155014347E-2</v>
      </c>
    </row>
    <row r="1448" spans="1:10" x14ac:dyDescent="0.35">
      <c r="A1448" t="s">
        <v>18</v>
      </c>
      <c r="B1448" t="s">
        <v>38</v>
      </c>
      <c r="C1448" t="s">
        <v>73</v>
      </c>
      <c r="D1448" t="s">
        <v>81</v>
      </c>
      <c r="E1448" t="s">
        <v>82</v>
      </c>
      <c r="F1448" t="s">
        <v>73</v>
      </c>
      <c r="G1448" t="s">
        <v>74</v>
      </c>
      <c r="H1448" t="s">
        <v>130</v>
      </c>
      <c r="I1448" t="s">
        <v>84</v>
      </c>
      <c r="J1448" s="76">
        <f>'SUT_EU27 total'!$Q$28</f>
        <v>7.0611384178638645E-2</v>
      </c>
    </row>
    <row r="1449" spans="1:10" x14ac:dyDescent="0.35">
      <c r="A1449" t="s">
        <v>18</v>
      </c>
      <c r="B1449" t="s">
        <v>38</v>
      </c>
      <c r="C1449" t="s">
        <v>88</v>
      </c>
      <c r="D1449" t="s">
        <v>81</v>
      </c>
      <c r="E1449" t="s">
        <v>82</v>
      </c>
      <c r="F1449" t="s">
        <v>73</v>
      </c>
      <c r="G1449" t="s">
        <v>74</v>
      </c>
      <c r="H1449" t="s">
        <v>130</v>
      </c>
      <c r="I1449" t="s">
        <v>84</v>
      </c>
      <c r="J1449" s="76">
        <f>'SUT_EU27 total'!$Q$45</f>
        <v>4.4451090694311274E-2</v>
      </c>
    </row>
    <row r="1450" spans="1:10" x14ac:dyDescent="0.35">
      <c r="A1450" t="s">
        <v>18</v>
      </c>
      <c r="B1450" t="s">
        <v>38</v>
      </c>
      <c r="C1450" t="s">
        <v>90</v>
      </c>
      <c r="D1450" t="s">
        <v>81</v>
      </c>
      <c r="E1450" t="s">
        <v>82</v>
      </c>
      <c r="F1450" t="s">
        <v>73</v>
      </c>
      <c r="G1450" t="s">
        <v>74</v>
      </c>
      <c r="H1450" t="s">
        <v>130</v>
      </c>
      <c r="I1450" t="s">
        <v>84</v>
      </c>
      <c r="J1450" s="76">
        <f>'SUT_EU27 total'!$Q$62</f>
        <v>1.0694147292515508E-5</v>
      </c>
    </row>
    <row r="1451" spans="1:10" x14ac:dyDescent="0.35">
      <c r="A1451" t="s">
        <v>18</v>
      </c>
      <c r="B1451" t="s">
        <v>38</v>
      </c>
      <c r="C1451" t="s">
        <v>91</v>
      </c>
      <c r="D1451" t="s">
        <v>81</v>
      </c>
      <c r="E1451" t="s">
        <v>82</v>
      </c>
      <c r="F1451" t="s">
        <v>73</v>
      </c>
      <c r="G1451" t="s">
        <v>74</v>
      </c>
      <c r="H1451" t="s">
        <v>130</v>
      </c>
      <c r="I1451" t="s">
        <v>84</v>
      </c>
      <c r="J1451" s="76">
        <f>'SUT_EU27 total'!$Q$79</f>
        <v>2.0807907452574416E-3</v>
      </c>
    </row>
    <row r="1452" spans="1:10" x14ac:dyDescent="0.35">
      <c r="A1452" t="s">
        <v>18</v>
      </c>
      <c r="B1452" t="s">
        <v>38</v>
      </c>
      <c r="C1452" t="s">
        <v>92</v>
      </c>
      <c r="D1452" t="s">
        <v>81</v>
      </c>
      <c r="E1452" t="s">
        <v>82</v>
      </c>
      <c r="F1452" t="s">
        <v>73</v>
      </c>
      <c r="G1452" t="s">
        <v>74</v>
      </c>
      <c r="H1452" t="s">
        <v>130</v>
      </c>
      <c r="I1452" t="s">
        <v>84</v>
      </c>
      <c r="J1452" s="76">
        <f>'SUT_EU27 total'!$Q$96</f>
        <v>2.8885571737041122E-3</v>
      </c>
    </row>
    <row r="1453" spans="1:10" x14ac:dyDescent="0.35">
      <c r="A1453" t="s">
        <v>18</v>
      </c>
      <c r="B1453" t="s">
        <v>38</v>
      </c>
      <c r="C1453" t="s">
        <v>93</v>
      </c>
      <c r="D1453" t="s">
        <v>81</v>
      </c>
      <c r="E1453" t="s">
        <v>82</v>
      </c>
      <c r="F1453" t="s">
        <v>73</v>
      </c>
      <c r="G1453" t="s">
        <v>74</v>
      </c>
      <c r="H1453" t="s">
        <v>130</v>
      </c>
      <c r="I1453" t="s">
        <v>84</v>
      </c>
      <c r="J1453" s="76">
        <f>'SUT_EU27 total'!$Q$113</f>
        <v>1.1972685102906883E-2</v>
      </c>
    </row>
    <row r="1454" spans="1:10" x14ac:dyDescent="0.35">
      <c r="A1454" t="s">
        <v>18</v>
      </c>
      <c r="B1454" t="s">
        <v>38</v>
      </c>
      <c r="C1454" t="s">
        <v>73</v>
      </c>
      <c r="D1454" t="s">
        <v>81</v>
      </c>
      <c r="E1454" s="77" t="s">
        <v>96</v>
      </c>
      <c r="F1454" t="s">
        <v>73</v>
      </c>
      <c r="G1454" t="s">
        <v>74</v>
      </c>
      <c r="H1454" t="s">
        <v>130</v>
      </c>
      <c r="I1454" t="s">
        <v>84</v>
      </c>
      <c r="J1454" s="65" cm="1">
        <f t="array" ref="J1454:J1455">Sensitivity!J84:J85</f>
        <v>0</v>
      </c>
    </row>
    <row r="1455" spans="1:10" x14ac:dyDescent="0.35">
      <c r="A1455" t="s">
        <v>18</v>
      </c>
      <c r="B1455" t="s">
        <v>38</v>
      </c>
      <c r="C1455" t="s">
        <v>73</v>
      </c>
      <c r="D1455" t="s">
        <v>81</v>
      </c>
      <c r="E1455" s="77" t="s">
        <v>99</v>
      </c>
      <c r="F1455" t="s">
        <v>73</v>
      </c>
      <c r="G1455" t="s">
        <v>74</v>
      </c>
      <c r="H1455" t="s">
        <v>130</v>
      </c>
      <c r="I1455" t="s">
        <v>84</v>
      </c>
      <c r="J1455" s="65">
        <v>9.0622182146077552</v>
      </c>
    </row>
    <row r="1456" spans="1:10" x14ac:dyDescent="0.35">
      <c r="A1456" t="s">
        <v>18</v>
      </c>
      <c r="B1456" t="s">
        <v>38</v>
      </c>
      <c r="C1456" t="s">
        <v>73</v>
      </c>
      <c r="D1456" t="s">
        <v>81</v>
      </c>
      <c r="E1456" t="s">
        <v>131</v>
      </c>
      <c r="F1456" t="s">
        <v>73</v>
      </c>
      <c r="G1456" t="s">
        <v>74</v>
      </c>
      <c r="H1456" t="s">
        <v>112</v>
      </c>
      <c r="I1456" t="s">
        <v>84</v>
      </c>
      <c r="J1456" s="76">
        <f>'SUT_EU27 total'!$R$24</f>
        <v>4.0146105919003111E-8</v>
      </c>
    </row>
    <row r="1457" spans="1:10" x14ac:dyDescent="0.35">
      <c r="A1457" t="s">
        <v>18</v>
      </c>
      <c r="B1457" t="s">
        <v>38</v>
      </c>
      <c r="C1457" t="s">
        <v>73</v>
      </c>
      <c r="D1457" t="s">
        <v>81</v>
      </c>
      <c r="E1457" t="s">
        <v>122</v>
      </c>
      <c r="F1457" t="s">
        <v>73</v>
      </c>
      <c r="G1457" t="s">
        <v>74</v>
      </c>
      <c r="H1457" t="s">
        <v>112</v>
      </c>
      <c r="I1457" t="s">
        <v>84</v>
      </c>
      <c r="J1457" s="76">
        <f>'SUT_EU27 total'!$R$30</f>
        <v>3.9708116569218732E-4</v>
      </c>
    </row>
    <row r="1458" spans="1:10" x14ac:dyDescent="0.35">
      <c r="A1458" t="s">
        <v>18</v>
      </c>
      <c r="B1458" t="s">
        <v>38</v>
      </c>
      <c r="C1458" t="s">
        <v>73</v>
      </c>
      <c r="D1458" t="s">
        <v>81</v>
      </c>
      <c r="E1458" t="s">
        <v>101</v>
      </c>
      <c r="F1458" t="s">
        <v>73</v>
      </c>
      <c r="G1458" t="s">
        <v>74</v>
      </c>
      <c r="H1458" t="s">
        <v>112</v>
      </c>
      <c r="I1458" t="s">
        <v>84</v>
      </c>
      <c r="J1458" s="76" cm="1">
        <f t="array" ref="J1458:J1460">'SUT_EU27 total'!$R$32:$R$34</f>
        <v>1.2183459827918709E-7</v>
      </c>
    </row>
    <row r="1459" spans="1:10" x14ac:dyDescent="0.35">
      <c r="A1459" t="s">
        <v>18</v>
      </c>
      <c r="B1459" t="s">
        <v>38</v>
      </c>
      <c r="C1459" t="s">
        <v>73</v>
      </c>
      <c r="D1459" t="s">
        <v>81</v>
      </c>
      <c r="E1459" t="s">
        <v>104</v>
      </c>
      <c r="F1459" t="s">
        <v>73</v>
      </c>
      <c r="G1459" t="s">
        <v>74</v>
      </c>
      <c r="H1459" t="s">
        <v>112</v>
      </c>
      <c r="I1459" t="s">
        <v>84</v>
      </c>
      <c r="J1459" s="4">
        <v>2.3068290654205609E-7</v>
      </c>
    </row>
    <row r="1460" spans="1:10" x14ac:dyDescent="0.35">
      <c r="A1460" t="s">
        <v>18</v>
      </c>
      <c r="B1460" t="s">
        <v>38</v>
      </c>
      <c r="C1460" t="s">
        <v>73</v>
      </c>
      <c r="D1460" t="s">
        <v>81</v>
      </c>
      <c r="E1460" t="s">
        <v>106</v>
      </c>
      <c r="F1460" t="s">
        <v>73</v>
      </c>
      <c r="G1460" t="s">
        <v>74</v>
      </c>
      <c r="H1460" t="s">
        <v>112</v>
      </c>
      <c r="I1460" t="s">
        <v>84</v>
      </c>
      <c r="J1460" s="4">
        <v>7.8463573653760568E-7</v>
      </c>
    </row>
    <row r="1461" spans="1:10" x14ac:dyDescent="0.35">
      <c r="A1461" t="s">
        <v>18</v>
      </c>
      <c r="B1461" t="s">
        <v>38</v>
      </c>
      <c r="C1461" t="s">
        <v>88</v>
      </c>
      <c r="D1461" t="s">
        <v>81</v>
      </c>
      <c r="E1461" t="s">
        <v>131</v>
      </c>
      <c r="F1461" t="s">
        <v>73</v>
      </c>
      <c r="G1461" t="s">
        <v>74</v>
      </c>
      <c r="H1461" t="s">
        <v>112</v>
      </c>
      <c r="I1461" t="s">
        <v>84</v>
      </c>
      <c r="J1461" s="4">
        <f>'SUT_EU27 total'!$R$41</f>
        <v>0</v>
      </c>
    </row>
    <row r="1462" spans="1:10" x14ac:dyDescent="0.35">
      <c r="A1462" t="s">
        <v>18</v>
      </c>
      <c r="B1462" t="s">
        <v>38</v>
      </c>
      <c r="C1462" t="s">
        <v>88</v>
      </c>
      <c r="D1462" t="s">
        <v>81</v>
      </c>
      <c r="E1462" t="s">
        <v>122</v>
      </c>
      <c r="F1462" t="s">
        <v>73</v>
      </c>
      <c r="G1462" t="s">
        <v>74</v>
      </c>
      <c r="H1462" t="s">
        <v>112</v>
      </c>
      <c r="I1462" t="s">
        <v>84</v>
      </c>
      <c r="J1462" s="76">
        <f>'SUT_EU27 total'!$R$47</f>
        <v>0</v>
      </c>
    </row>
    <row r="1463" spans="1:10" x14ac:dyDescent="0.35">
      <c r="A1463" t="s">
        <v>18</v>
      </c>
      <c r="B1463" t="s">
        <v>38</v>
      </c>
      <c r="C1463" t="s">
        <v>88</v>
      </c>
      <c r="D1463" t="s">
        <v>81</v>
      </c>
      <c r="E1463" t="s">
        <v>101</v>
      </c>
      <c r="F1463" t="s">
        <v>73</v>
      </c>
      <c r="G1463" t="s">
        <v>74</v>
      </c>
      <c r="H1463" t="s">
        <v>112</v>
      </c>
      <c r="I1463" t="s">
        <v>84</v>
      </c>
      <c r="J1463" s="4" cm="1">
        <f t="array" ref="J1463:J1465">'SUT_EU27 total'!$R$49:$R$51</f>
        <v>0</v>
      </c>
    </row>
    <row r="1464" spans="1:10" x14ac:dyDescent="0.35">
      <c r="A1464" t="s">
        <v>18</v>
      </c>
      <c r="B1464" t="s">
        <v>38</v>
      </c>
      <c r="C1464" t="s">
        <v>88</v>
      </c>
      <c r="D1464" t="s">
        <v>81</v>
      </c>
      <c r="E1464" t="s">
        <v>104</v>
      </c>
      <c r="F1464" t="s">
        <v>73</v>
      </c>
      <c r="G1464" t="s">
        <v>74</v>
      </c>
      <c r="H1464" t="s">
        <v>112</v>
      </c>
      <c r="I1464" t="s">
        <v>84</v>
      </c>
      <c r="J1464" s="4">
        <v>0</v>
      </c>
    </row>
    <row r="1465" spans="1:10" x14ac:dyDescent="0.35">
      <c r="A1465" t="s">
        <v>18</v>
      </c>
      <c r="B1465" t="s">
        <v>38</v>
      </c>
      <c r="C1465" t="s">
        <v>88</v>
      </c>
      <c r="D1465" t="s">
        <v>81</v>
      </c>
      <c r="E1465" t="s">
        <v>106</v>
      </c>
      <c r="F1465" t="s">
        <v>73</v>
      </c>
      <c r="G1465" t="s">
        <v>74</v>
      </c>
      <c r="H1465" t="s">
        <v>112</v>
      </c>
      <c r="I1465" t="s">
        <v>84</v>
      </c>
      <c r="J1465" s="4">
        <v>0</v>
      </c>
    </row>
    <row r="1466" spans="1:10" x14ac:dyDescent="0.35">
      <c r="A1466" t="s">
        <v>18</v>
      </c>
      <c r="B1466" t="s">
        <v>38</v>
      </c>
      <c r="C1466" t="s">
        <v>90</v>
      </c>
      <c r="D1466" t="s">
        <v>81</v>
      </c>
      <c r="E1466" t="s">
        <v>131</v>
      </c>
      <c r="F1466" t="s">
        <v>73</v>
      </c>
      <c r="G1466" t="s">
        <v>74</v>
      </c>
      <c r="H1466" t="s">
        <v>112</v>
      </c>
      <c r="I1466" t="s">
        <v>84</v>
      </c>
      <c r="J1466" s="4">
        <f>'SUT_EU27 total'!$R$58</f>
        <v>0</v>
      </c>
    </row>
    <row r="1467" spans="1:10" x14ac:dyDescent="0.35">
      <c r="A1467" t="s">
        <v>18</v>
      </c>
      <c r="B1467" t="s">
        <v>38</v>
      </c>
      <c r="C1467" t="s">
        <v>90</v>
      </c>
      <c r="D1467" t="s">
        <v>81</v>
      </c>
      <c r="E1467" t="s">
        <v>122</v>
      </c>
      <c r="F1467" t="s">
        <v>73</v>
      </c>
      <c r="G1467" t="s">
        <v>74</v>
      </c>
      <c r="H1467" t="s">
        <v>112</v>
      </c>
      <c r="I1467" t="s">
        <v>84</v>
      </c>
      <c r="J1467" s="76">
        <f>'SUT_EU27 total'!$R$64</f>
        <v>6.4108466461028498E-4</v>
      </c>
    </row>
    <row r="1468" spans="1:10" x14ac:dyDescent="0.35">
      <c r="A1468" t="s">
        <v>18</v>
      </c>
      <c r="B1468" t="s">
        <v>38</v>
      </c>
      <c r="C1468" t="s">
        <v>90</v>
      </c>
      <c r="D1468" t="s">
        <v>81</v>
      </c>
      <c r="E1468" t="s">
        <v>101</v>
      </c>
      <c r="F1468" t="s">
        <v>73</v>
      </c>
      <c r="G1468" t="s">
        <v>74</v>
      </c>
      <c r="H1468" t="s">
        <v>112</v>
      </c>
      <c r="I1468" t="s">
        <v>84</v>
      </c>
      <c r="J1468" s="4" cm="1">
        <f t="array" ref="J1468:J1470">'SUT_EU27 total'!$R$66:$R$68</f>
        <v>0</v>
      </c>
    </row>
    <row r="1469" spans="1:10" x14ac:dyDescent="0.35">
      <c r="A1469" t="s">
        <v>18</v>
      </c>
      <c r="B1469" t="s">
        <v>38</v>
      </c>
      <c r="C1469" t="s">
        <v>90</v>
      </c>
      <c r="D1469" t="s">
        <v>81</v>
      </c>
      <c r="E1469" t="s">
        <v>104</v>
      </c>
      <c r="F1469" t="s">
        <v>73</v>
      </c>
      <c r="G1469" t="s">
        <v>74</v>
      </c>
      <c r="H1469" t="s">
        <v>112</v>
      </c>
      <c r="I1469" t="s">
        <v>84</v>
      </c>
      <c r="J1469" s="4">
        <v>0</v>
      </c>
    </row>
    <row r="1470" spans="1:10" x14ac:dyDescent="0.35">
      <c r="A1470" t="s">
        <v>18</v>
      </c>
      <c r="B1470" t="s">
        <v>38</v>
      </c>
      <c r="C1470" t="s">
        <v>90</v>
      </c>
      <c r="D1470" t="s">
        <v>81</v>
      </c>
      <c r="E1470" t="s">
        <v>106</v>
      </c>
      <c r="F1470" t="s">
        <v>73</v>
      </c>
      <c r="G1470" t="s">
        <v>74</v>
      </c>
      <c r="H1470" t="s">
        <v>112</v>
      </c>
      <c r="I1470" t="s">
        <v>84</v>
      </c>
      <c r="J1470" s="4">
        <v>0</v>
      </c>
    </row>
    <row r="1471" spans="1:10" x14ac:dyDescent="0.35">
      <c r="A1471" t="s">
        <v>18</v>
      </c>
      <c r="B1471" t="s">
        <v>38</v>
      </c>
      <c r="C1471" t="s">
        <v>91</v>
      </c>
      <c r="D1471" t="s">
        <v>81</v>
      </c>
      <c r="E1471" t="s">
        <v>131</v>
      </c>
      <c r="F1471" t="s">
        <v>73</v>
      </c>
      <c r="G1471" t="s">
        <v>74</v>
      </c>
      <c r="H1471" t="s">
        <v>112</v>
      </c>
      <c r="I1471" t="s">
        <v>84</v>
      </c>
      <c r="J1471" s="4">
        <f>'SUT_EU27 total'!$R$75</f>
        <v>0</v>
      </c>
    </row>
    <row r="1472" spans="1:10" x14ac:dyDescent="0.35">
      <c r="A1472" t="s">
        <v>18</v>
      </c>
      <c r="B1472" t="s">
        <v>38</v>
      </c>
      <c r="C1472" t="s">
        <v>91</v>
      </c>
      <c r="D1472" t="s">
        <v>81</v>
      </c>
      <c r="E1472" t="s">
        <v>122</v>
      </c>
      <c r="F1472" t="s">
        <v>73</v>
      </c>
      <c r="G1472" t="s">
        <v>74</v>
      </c>
      <c r="H1472" t="s">
        <v>112</v>
      </c>
      <c r="I1472" t="s">
        <v>84</v>
      </c>
      <c r="J1472" s="76">
        <f>'SUT_EU27 total'!$R$81</f>
        <v>0</v>
      </c>
    </row>
    <row r="1473" spans="1:10" x14ac:dyDescent="0.35">
      <c r="A1473" t="s">
        <v>18</v>
      </c>
      <c r="B1473" t="s">
        <v>38</v>
      </c>
      <c r="C1473" t="s">
        <v>91</v>
      </c>
      <c r="D1473" t="s">
        <v>81</v>
      </c>
      <c r="E1473" t="s">
        <v>101</v>
      </c>
      <c r="F1473" t="s">
        <v>73</v>
      </c>
      <c r="G1473" t="s">
        <v>74</v>
      </c>
      <c r="H1473" t="s">
        <v>112</v>
      </c>
      <c r="I1473" t="s">
        <v>84</v>
      </c>
      <c r="J1473" s="4" cm="1">
        <f t="array" ref="J1473:J1475">'SUT_EU27 total'!$R$83:$R$85</f>
        <v>0</v>
      </c>
    </row>
    <row r="1474" spans="1:10" x14ac:dyDescent="0.35">
      <c r="A1474" t="s">
        <v>18</v>
      </c>
      <c r="B1474" t="s">
        <v>38</v>
      </c>
      <c r="C1474" t="s">
        <v>91</v>
      </c>
      <c r="D1474" t="s">
        <v>81</v>
      </c>
      <c r="E1474" t="s">
        <v>104</v>
      </c>
      <c r="F1474" t="s">
        <v>73</v>
      </c>
      <c r="G1474" t="s">
        <v>74</v>
      </c>
      <c r="H1474" t="s">
        <v>112</v>
      </c>
      <c r="I1474" t="s">
        <v>84</v>
      </c>
      <c r="J1474" s="4">
        <v>0</v>
      </c>
    </row>
    <row r="1475" spans="1:10" x14ac:dyDescent="0.35">
      <c r="A1475" t="s">
        <v>18</v>
      </c>
      <c r="B1475" t="s">
        <v>38</v>
      </c>
      <c r="C1475" t="s">
        <v>91</v>
      </c>
      <c r="D1475" t="s">
        <v>81</v>
      </c>
      <c r="E1475" t="s">
        <v>106</v>
      </c>
      <c r="F1475" t="s">
        <v>73</v>
      </c>
      <c r="G1475" t="s">
        <v>74</v>
      </c>
      <c r="H1475" t="s">
        <v>112</v>
      </c>
      <c r="I1475" t="s">
        <v>84</v>
      </c>
      <c r="J1475" s="4">
        <v>0</v>
      </c>
    </row>
    <row r="1476" spans="1:10" x14ac:dyDescent="0.35">
      <c r="A1476" t="s">
        <v>18</v>
      </c>
      <c r="B1476" t="s">
        <v>38</v>
      </c>
      <c r="C1476" t="s">
        <v>92</v>
      </c>
      <c r="D1476" t="s">
        <v>81</v>
      </c>
      <c r="E1476" t="s">
        <v>131</v>
      </c>
      <c r="F1476" t="s">
        <v>73</v>
      </c>
      <c r="G1476" t="s">
        <v>74</v>
      </c>
      <c r="H1476" t="s">
        <v>112</v>
      </c>
      <c r="I1476" t="s">
        <v>84</v>
      </c>
      <c r="J1476" s="4">
        <f>'SUT_EU27 total'!$R$92</f>
        <v>0</v>
      </c>
    </row>
    <row r="1477" spans="1:10" x14ac:dyDescent="0.35">
      <c r="A1477" t="s">
        <v>18</v>
      </c>
      <c r="B1477" t="s">
        <v>38</v>
      </c>
      <c r="C1477" t="s">
        <v>92</v>
      </c>
      <c r="D1477" t="s">
        <v>81</v>
      </c>
      <c r="E1477" t="s">
        <v>122</v>
      </c>
      <c r="F1477" t="s">
        <v>73</v>
      </c>
      <c r="G1477" t="s">
        <v>74</v>
      </c>
      <c r="H1477" t="s">
        <v>112</v>
      </c>
      <c r="I1477" t="s">
        <v>84</v>
      </c>
      <c r="J1477" s="76">
        <f>'SUT_EU27 total'!$R$98</f>
        <v>0</v>
      </c>
    </row>
    <row r="1478" spans="1:10" x14ac:dyDescent="0.35">
      <c r="A1478" t="s">
        <v>18</v>
      </c>
      <c r="B1478" t="s">
        <v>38</v>
      </c>
      <c r="C1478" t="s">
        <v>92</v>
      </c>
      <c r="D1478" t="s">
        <v>81</v>
      </c>
      <c r="E1478" t="s">
        <v>101</v>
      </c>
      <c r="F1478" t="s">
        <v>73</v>
      </c>
      <c r="G1478" t="s">
        <v>74</v>
      </c>
      <c r="H1478" t="s">
        <v>112</v>
      </c>
      <c r="I1478" t="s">
        <v>84</v>
      </c>
      <c r="J1478" s="4" cm="1">
        <f t="array" ref="J1478:J1480">'SUT_EU27 total'!$R$100:$R$102</f>
        <v>0</v>
      </c>
    </row>
    <row r="1479" spans="1:10" x14ac:dyDescent="0.35">
      <c r="A1479" t="s">
        <v>18</v>
      </c>
      <c r="B1479" t="s">
        <v>38</v>
      </c>
      <c r="C1479" t="s">
        <v>92</v>
      </c>
      <c r="D1479" t="s">
        <v>81</v>
      </c>
      <c r="E1479" t="s">
        <v>104</v>
      </c>
      <c r="F1479" t="s">
        <v>73</v>
      </c>
      <c r="G1479" t="s">
        <v>74</v>
      </c>
      <c r="H1479" t="s">
        <v>112</v>
      </c>
      <c r="I1479" t="s">
        <v>84</v>
      </c>
      <c r="J1479" s="4">
        <v>0</v>
      </c>
    </row>
    <row r="1480" spans="1:10" x14ac:dyDescent="0.35">
      <c r="A1480" t="s">
        <v>18</v>
      </c>
      <c r="B1480" t="s">
        <v>38</v>
      </c>
      <c r="C1480" t="s">
        <v>92</v>
      </c>
      <c r="D1480" t="s">
        <v>81</v>
      </c>
      <c r="E1480" t="s">
        <v>106</v>
      </c>
      <c r="F1480" t="s">
        <v>73</v>
      </c>
      <c r="G1480" t="s">
        <v>74</v>
      </c>
      <c r="H1480" t="s">
        <v>112</v>
      </c>
      <c r="I1480" t="s">
        <v>84</v>
      </c>
      <c r="J1480" s="4">
        <v>0</v>
      </c>
    </row>
    <row r="1481" spans="1:10" x14ac:dyDescent="0.35">
      <c r="A1481" t="s">
        <v>18</v>
      </c>
      <c r="B1481" t="s">
        <v>38</v>
      </c>
      <c r="C1481" t="s">
        <v>93</v>
      </c>
      <c r="D1481" t="s">
        <v>81</v>
      </c>
      <c r="E1481" t="s">
        <v>131</v>
      </c>
      <c r="F1481" t="s">
        <v>73</v>
      </c>
      <c r="G1481" t="s">
        <v>74</v>
      </c>
      <c r="H1481" t="s">
        <v>112</v>
      </c>
      <c r="I1481" t="s">
        <v>84</v>
      </c>
      <c r="J1481" s="4">
        <f>'SUT_EU27 total'!$R$109</f>
        <v>0</v>
      </c>
    </row>
    <row r="1482" spans="1:10" x14ac:dyDescent="0.35">
      <c r="A1482" t="s">
        <v>18</v>
      </c>
      <c r="B1482" t="s">
        <v>38</v>
      </c>
      <c r="C1482" t="s">
        <v>93</v>
      </c>
      <c r="D1482" t="s">
        <v>81</v>
      </c>
      <c r="E1482" t="s">
        <v>122</v>
      </c>
      <c r="F1482" t="s">
        <v>73</v>
      </c>
      <c r="G1482" t="s">
        <v>74</v>
      </c>
      <c r="H1482" t="s">
        <v>112</v>
      </c>
      <c r="I1482" t="s">
        <v>84</v>
      </c>
      <c r="J1482" s="76">
        <f>'SUT_EU27 total'!$R$115</f>
        <v>2.188358424259166E-3</v>
      </c>
    </row>
    <row r="1483" spans="1:10" x14ac:dyDescent="0.35">
      <c r="A1483" t="s">
        <v>18</v>
      </c>
      <c r="B1483" t="s">
        <v>38</v>
      </c>
      <c r="C1483" t="s">
        <v>93</v>
      </c>
      <c r="D1483" t="s">
        <v>81</v>
      </c>
      <c r="E1483" t="s">
        <v>101</v>
      </c>
      <c r="F1483" t="s">
        <v>73</v>
      </c>
      <c r="G1483" t="s">
        <v>74</v>
      </c>
      <c r="H1483" t="s">
        <v>112</v>
      </c>
      <c r="I1483" t="s">
        <v>84</v>
      </c>
      <c r="J1483" s="4" cm="1">
        <f t="array" ref="J1483:J1485">'SUT_EU27 total'!$R$117:$R$119</f>
        <v>0</v>
      </c>
    </row>
    <row r="1484" spans="1:10" x14ac:dyDescent="0.35">
      <c r="A1484" t="s">
        <v>18</v>
      </c>
      <c r="B1484" t="s">
        <v>38</v>
      </c>
      <c r="C1484" t="s">
        <v>93</v>
      </c>
      <c r="D1484" t="s">
        <v>81</v>
      </c>
      <c r="E1484" t="s">
        <v>104</v>
      </c>
      <c r="F1484" t="s">
        <v>73</v>
      </c>
      <c r="G1484" t="s">
        <v>74</v>
      </c>
      <c r="H1484" t="s">
        <v>112</v>
      </c>
      <c r="I1484" t="s">
        <v>84</v>
      </c>
      <c r="J1484" s="4">
        <v>0</v>
      </c>
    </row>
    <row r="1485" spans="1:10" x14ac:dyDescent="0.35">
      <c r="A1485" t="s">
        <v>18</v>
      </c>
      <c r="B1485" t="s">
        <v>38</v>
      </c>
      <c r="C1485" t="s">
        <v>93</v>
      </c>
      <c r="D1485" t="s">
        <v>81</v>
      </c>
      <c r="E1485" t="s">
        <v>106</v>
      </c>
      <c r="F1485" t="s">
        <v>73</v>
      </c>
      <c r="G1485" t="s">
        <v>74</v>
      </c>
      <c r="H1485" t="s">
        <v>112</v>
      </c>
      <c r="I1485" t="s">
        <v>84</v>
      </c>
      <c r="J1485" s="4">
        <v>0</v>
      </c>
    </row>
    <row r="1486" spans="1:10" x14ac:dyDescent="0.35">
      <c r="A1486" t="s">
        <v>18</v>
      </c>
      <c r="B1486" t="s">
        <v>38</v>
      </c>
      <c r="C1486" t="s">
        <v>73</v>
      </c>
      <c r="D1486" t="s">
        <v>81</v>
      </c>
      <c r="E1486" t="s">
        <v>131</v>
      </c>
      <c r="F1486" t="s">
        <v>73</v>
      </c>
      <c r="G1486" t="s">
        <v>74</v>
      </c>
      <c r="H1486" t="s">
        <v>113</v>
      </c>
      <c r="I1486" t="s">
        <v>84</v>
      </c>
      <c r="J1486" s="76">
        <f>'SUT_EU27 total'!$S$24</f>
        <v>5.0294789999999994E-8</v>
      </c>
    </row>
    <row r="1487" spans="1:10" x14ac:dyDescent="0.35">
      <c r="A1487" t="s">
        <v>18</v>
      </c>
      <c r="B1487" t="s">
        <v>38</v>
      </c>
      <c r="C1487" t="s">
        <v>73</v>
      </c>
      <c r="D1487" t="s">
        <v>81</v>
      </c>
      <c r="E1487" t="s">
        <v>101</v>
      </c>
      <c r="F1487" t="s">
        <v>73</v>
      </c>
      <c r="G1487" t="s">
        <v>74</v>
      </c>
      <c r="H1487" t="s">
        <v>113</v>
      </c>
      <c r="I1487" t="s">
        <v>84</v>
      </c>
      <c r="J1487" s="76" cm="1">
        <f t="array" ref="J1487:J1489">'SUT_EU27 total'!$S$32:$S$34</f>
        <v>1.7883556705882356E-5</v>
      </c>
    </row>
    <row r="1488" spans="1:10" x14ac:dyDescent="0.35">
      <c r="A1488" t="s">
        <v>18</v>
      </c>
      <c r="B1488" t="s">
        <v>38</v>
      </c>
      <c r="C1488" t="s">
        <v>73</v>
      </c>
      <c r="D1488" t="s">
        <v>81</v>
      </c>
      <c r="E1488" t="s">
        <v>104</v>
      </c>
      <c r="F1488" t="s">
        <v>73</v>
      </c>
      <c r="G1488" t="s">
        <v>74</v>
      </c>
      <c r="H1488" t="s">
        <v>113</v>
      </c>
      <c r="I1488" t="s">
        <v>84</v>
      </c>
      <c r="J1488" s="4">
        <v>3.3860913882352942E-5</v>
      </c>
    </row>
    <row r="1489" spans="1:10" x14ac:dyDescent="0.35">
      <c r="A1489" t="s">
        <v>18</v>
      </c>
      <c r="B1489" t="s">
        <v>38</v>
      </c>
      <c r="C1489" t="s">
        <v>73</v>
      </c>
      <c r="D1489" t="s">
        <v>81</v>
      </c>
      <c r="E1489" t="s">
        <v>106</v>
      </c>
      <c r="F1489" t="s">
        <v>73</v>
      </c>
      <c r="G1489" t="s">
        <v>74</v>
      </c>
      <c r="H1489" t="s">
        <v>113</v>
      </c>
      <c r="I1489" t="s">
        <v>84</v>
      </c>
      <c r="J1489" s="4">
        <v>1.1517317647058823E-4</v>
      </c>
    </row>
    <row r="1490" spans="1:10" x14ac:dyDescent="0.35">
      <c r="A1490" t="s">
        <v>18</v>
      </c>
      <c r="B1490" t="s">
        <v>38</v>
      </c>
      <c r="C1490" t="s">
        <v>88</v>
      </c>
      <c r="D1490" t="s">
        <v>81</v>
      </c>
      <c r="E1490" t="s">
        <v>131</v>
      </c>
      <c r="F1490" t="s">
        <v>73</v>
      </c>
      <c r="G1490" t="s">
        <v>74</v>
      </c>
      <c r="H1490" t="s">
        <v>113</v>
      </c>
      <c r="I1490" t="s">
        <v>84</v>
      </c>
      <c r="J1490" s="4">
        <f>'SUT_EU27 total'!$S$41</f>
        <v>0</v>
      </c>
    </row>
    <row r="1491" spans="1:10" x14ac:dyDescent="0.35">
      <c r="A1491" t="s">
        <v>18</v>
      </c>
      <c r="B1491" t="s">
        <v>38</v>
      </c>
      <c r="C1491" t="s">
        <v>88</v>
      </c>
      <c r="D1491" t="s">
        <v>81</v>
      </c>
      <c r="E1491" t="s">
        <v>101</v>
      </c>
      <c r="F1491" t="s">
        <v>73</v>
      </c>
      <c r="G1491" t="s">
        <v>74</v>
      </c>
      <c r="H1491" t="s">
        <v>113</v>
      </c>
      <c r="I1491" t="s">
        <v>84</v>
      </c>
      <c r="J1491" s="4" cm="1">
        <f t="array" ref="J1491:J1493">'SUT_EU27 total'!$S$49:$S$51</f>
        <v>0</v>
      </c>
    </row>
    <row r="1492" spans="1:10" x14ac:dyDescent="0.35">
      <c r="A1492" t="s">
        <v>18</v>
      </c>
      <c r="B1492" t="s">
        <v>38</v>
      </c>
      <c r="C1492" t="s">
        <v>88</v>
      </c>
      <c r="D1492" t="s">
        <v>81</v>
      </c>
      <c r="E1492" t="s">
        <v>104</v>
      </c>
      <c r="F1492" t="s">
        <v>73</v>
      </c>
      <c r="G1492" t="s">
        <v>74</v>
      </c>
      <c r="H1492" t="s">
        <v>113</v>
      </c>
      <c r="I1492" t="s">
        <v>84</v>
      </c>
      <c r="J1492" s="4">
        <v>0</v>
      </c>
    </row>
    <row r="1493" spans="1:10" x14ac:dyDescent="0.35">
      <c r="A1493" t="s">
        <v>18</v>
      </c>
      <c r="B1493" t="s">
        <v>38</v>
      </c>
      <c r="C1493" t="s">
        <v>88</v>
      </c>
      <c r="D1493" t="s">
        <v>81</v>
      </c>
      <c r="E1493" t="s">
        <v>106</v>
      </c>
      <c r="F1493" t="s">
        <v>73</v>
      </c>
      <c r="G1493" t="s">
        <v>74</v>
      </c>
      <c r="H1493" t="s">
        <v>113</v>
      </c>
      <c r="I1493" t="s">
        <v>84</v>
      </c>
      <c r="J1493" s="4">
        <v>0</v>
      </c>
    </row>
    <row r="1494" spans="1:10" x14ac:dyDescent="0.35">
      <c r="A1494" t="s">
        <v>18</v>
      </c>
      <c r="B1494" t="s">
        <v>38</v>
      </c>
      <c r="C1494" t="s">
        <v>90</v>
      </c>
      <c r="D1494" t="s">
        <v>81</v>
      </c>
      <c r="E1494" t="s">
        <v>131</v>
      </c>
      <c r="F1494" t="s">
        <v>73</v>
      </c>
      <c r="G1494" t="s">
        <v>74</v>
      </c>
      <c r="H1494" t="s">
        <v>113</v>
      </c>
      <c r="I1494" t="s">
        <v>84</v>
      </c>
      <c r="J1494" s="4">
        <f>'SUT_EU27 total'!$S$58</f>
        <v>0</v>
      </c>
    </row>
    <row r="1495" spans="1:10" x14ac:dyDescent="0.35">
      <c r="A1495" t="s">
        <v>18</v>
      </c>
      <c r="B1495" t="s">
        <v>38</v>
      </c>
      <c r="C1495" t="s">
        <v>90</v>
      </c>
      <c r="D1495" t="s">
        <v>81</v>
      </c>
      <c r="E1495" t="s">
        <v>101</v>
      </c>
      <c r="F1495" t="s">
        <v>73</v>
      </c>
      <c r="G1495" t="s">
        <v>74</v>
      </c>
      <c r="H1495" t="s">
        <v>113</v>
      </c>
      <c r="I1495" t="s">
        <v>84</v>
      </c>
      <c r="J1495" s="4" cm="1">
        <f t="array" ref="J1495:J1497">'SUT_EU27 total'!$S$66:$S$68</f>
        <v>0</v>
      </c>
    </row>
    <row r="1496" spans="1:10" x14ac:dyDescent="0.35">
      <c r="A1496" t="s">
        <v>18</v>
      </c>
      <c r="B1496" t="s">
        <v>38</v>
      </c>
      <c r="C1496" t="s">
        <v>90</v>
      </c>
      <c r="D1496" t="s">
        <v>81</v>
      </c>
      <c r="E1496" t="s">
        <v>104</v>
      </c>
      <c r="F1496" t="s">
        <v>73</v>
      </c>
      <c r="G1496" t="s">
        <v>74</v>
      </c>
      <c r="H1496" t="s">
        <v>113</v>
      </c>
      <c r="I1496" t="s">
        <v>84</v>
      </c>
      <c r="J1496" s="4">
        <v>0</v>
      </c>
    </row>
    <row r="1497" spans="1:10" x14ac:dyDescent="0.35">
      <c r="A1497" t="s">
        <v>18</v>
      </c>
      <c r="B1497" t="s">
        <v>38</v>
      </c>
      <c r="C1497" t="s">
        <v>90</v>
      </c>
      <c r="D1497" t="s">
        <v>81</v>
      </c>
      <c r="E1497" t="s">
        <v>106</v>
      </c>
      <c r="F1497" t="s">
        <v>73</v>
      </c>
      <c r="G1497" t="s">
        <v>74</v>
      </c>
      <c r="H1497" t="s">
        <v>113</v>
      </c>
      <c r="I1497" t="s">
        <v>84</v>
      </c>
      <c r="J1497" s="4">
        <v>0</v>
      </c>
    </row>
    <row r="1498" spans="1:10" x14ac:dyDescent="0.35">
      <c r="A1498" t="s">
        <v>18</v>
      </c>
      <c r="B1498" t="s">
        <v>38</v>
      </c>
      <c r="C1498" t="s">
        <v>91</v>
      </c>
      <c r="D1498" t="s">
        <v>81</v>
      </c>
      <c r="E1498" t="s">
        <v>131</v>
      </c>
      <c r="F1498" t="s">
        <v>73</v>
      </c>
      <c r="G1498" t="s">
        <v>74</v>
      </c>
      <c r="H1498" t="s">
        <v>113</v>
      </c>
      <c r="I1498" t="s">
        <v>84</v>
      </c>
      <c r="J1498" s="4">
        <f>'SUT_EU27 total'!$S$75</f>
        <v>0</v>
      </c>
    </row>
    <row r="1499" spans="1:10" x14ac:dyDescent="0.35">
      <c r="A1499" t="s">
        <v>18</v>
      </c>
      <c r="B1499" t="s">
        <v>38</v>
      </c>
      <c r="C1499" t="s">
        <v>91</v>
      </c>
      <c r="D1499" t="s">
        <v>81</v>
      </c>
      <c r="E1499" t="s">
        <v>101</v>
      </c>
      <c r="F1499" t="s">
        <v>73</v>
      </c>
      <c r="G1499" t="s">
        <v>74</v>
      </c>
      <c r="H1499" t="s">
        <v>113</v>
      </c>
      <c r="I1499" t="s">
        <v>84</v>
      </c>
      <c r="J1499" s="4" cm="1">
        <f t="array" ref="J1499:J1501">'SUT_EU27 total'!$S$83:$S$85</f>
        <v>0</v>
      </c>
    </row>
    <row r="1500" spans="1:10" x14ac:dyDescent="0.35">
      <c r="A1500" t="s">
        <v>18</v>
      </c>
      <c r="B1500" t="s">
        <v>38</v>
      </c>
      <c r="C1500" t="s">
        <v>91</v>
      </c>
      <c r="D1500" t="s">
        <v>81</v>
      </c>
      <c r="E1500" t="s">
        <v>104</v>
      </c>
      <c r="F1500" t="s">
        <v>73</v>
      </c>
      <c r="G1500" t="s">
        <v>74</v>
      </c>
      <c r="H1500" t="s">
        <v>113</v>
      </c>
      <c r="I1500" t="s">
        <v>84</v>
      </c>
      <c r="J1500" s="4">
        <v>0</v>
      </c>
    </row>
    <row r="1501" spans="1:10" x14ac:dyDescent="0.35">
      <c r="A1501" t="s">
        <v>18</v>
      </c>
      <c r="B1501" t="s">
        <v>38</v>
      </c>
      <c r="C1501" t="s">
        <v>91</v>
      </c>
      <c r="D1501" t="s">
        <v>81</v>
      </c>
      <c r="E1501" t="s">
        <v>106</v>
      </c>
      <c r="F1501" t="s">
        <v>73</v>
      </c>
      <c r="G1501" t="s">
        <v>74</v>
      </c>
      <c r="H1501" t="s">
        <v>113</v>
      </c>
      <c r="I1501" t="s">
        <v>84</v>
      </c>
      <c r="J1501" s="4">
        <v>0</v>
      </c>
    </row>
    <row r="1502" spans="1:10" x14ac:dyDescent="0.35">
      <c r="A1502" t="s">
        <v>18</v>
      </c>
      <c r="B1502" t="s">
        <v>38</v>
      </c>
      <c r="C1502" t="s">
        <v>92</v>
      </c>
      <c r="D1502" t="s">
        <v>81</v>
      </c>
      <c r="E1502" t="s">
        <v>131</v>
      </c>
      <c r="F1502" t="s">
        <v>73</v>
      </c>
      <c r="G1502" t="s">
        <v>74</v>
      </c>
      <c r="H1502" t="s">
        <v>113</v>
      </c>
      <c r="I1502" t="s">
        <v>84</v>
      </c>
      <c r="J1502" s="4">
        <f>'SUT_EU27 total'!$S$92</f>
        <v>0</v>
      </c>
    </row>
    <row r="1503" spans="1:10" x14ac:dyDescent="0.35">
      <c r="A1503" t="s">
        <v>18</v>
      </c>
      <c r="B1503" t="s">
        <v>38</v>
      </c>
      <c r="C1503" t="s">
        <v>92</v>
      </c>
      <c r="D1503" t="s">
        <v>81</v>
      </c>
      <c r="E1503" t="s">
        <v>101</v>
      </c>
      <c r="F1503" t="s">
        <v>73</v>
      </c>
      <c r="G1503" t="s">
        <v>74</v>
      </c>
      <c r="H1503" t="s">
        <v>113</v>
      </c>
      <c r="I1503" t="s">
        <v>84</v>
      </c>
      <c r="J1503" s="4" cm="1">
        <f t="array" ref="J1503:J1505">'SUT_EU27 total'!$S$100:$S$102</f>
        <v>0</v>
      </c>
    </row>
    <row r="1504" spans="1:10" x14ac:dyDescent="0.35">
      <c r="A1504" t="s">
        <v>18</v>
      </c>
      <c r="B1504" t="s">
        <v>38</v>
      </c>
      <c r="C1504" t="s">
        <v>92</v>
      </c>
      <c r="D1504" t="s">
        <v>81</v>
      </c>
      <c r="E1504" t="s">
        <v>104</v>
      </c>
      <c r="F1504" t="s">
        <v>73</v>
      </c>
      <c r="G1504" t="s">
        <v>74</v>
      </c>
      <c r="H1504" t="s">
        <v>113</v>
      </c>
      <c r="I1504" t="s">
        <v>84</v>
      </c>
      <c r="J1504" s="4">
        <v>0</v>
      </c>
    </row>
    <row r="1505" spans="1:10" x14ac:dyDescent="0.35">
      <c r="A1505" t="s">
        <v>18</v>
      </c>
      <c r="B1505" t="s">
        <v>38</v>
      </c>
      <c r="C1505" t="s">
        <v>92</v>
      </c>
      <c r="D1505" t="s">
        <v>81</v>
      </c>
      <c r="E1505" t="s">
        <v>106</v>
      </c>
      <c r="F1505" t="s">
        <v>73</v>
      </c>
      <c r="G1505" t="s">
        <v>74</v>
      </c>
      <c r="H1505" t="s">
        <v>113</v>
      </c>
      <c r="I1505" t="s">
        <v>84</v>
      </c>
      <c r="J1505" s="4">
        <v>0</v>
      </c>
    </row>
    <row r="1506" spans="1:10" x14ac:dyDescent="0.35">
      <c r="A1506" t="s">
        <v>18</v>
      </c>
      <c r="B1506" t="s">
        <v>38</v>
      </c>
      <c r="C1506" t="s">
        <v>93</v>
      </c>
      <c r="D1506" t="s">
        <v>81</v>
      </c>
      <c r="E1506" t="s">
        <v>131</v>
      </c>
      <c r="F1506" t="s">
        <v>73</v>
      </c>
      <c r="G1506" t="s">
        <v>74</v>
      </c>
      <c r="H1506" t="s">
        <v>113</v>
      </c>
      <c r="I1506" t="s">
        <v>84</v>
      </c>
      <c r="J1506" s="4">
        <f>'SUT_EU27 total'!$S$109</f>
        <v>0</v>
      </c>
    </row>
    <row r="1507" spans="1:10" x14ac:dyDescent="0.35">
      <c r="A1507" t="s">
        <v>18</v>
      </c>
      <c r="B1507" t="s">
        <v>38</v>
      </c>
      <c r="C1507" t="s">
        <v>93</v>
      </c>
      <c r="D1507" t="s">
        <v>81</v>
      </c>
      <c r="E1507" t="s">
        <v>101</v>
      </c>
      <c r="F1507" t="s">
        <v>73</v>
      </c>
      <c r="G1507" t="s">
        <v>74</v>
      </c>
      <c r="H1507" t="s">
        <v>113</v>
      </c>
      <c r="I1507" t="s">
        <v>84</v>
      </c>
      <c r="J1507" s="4" cm="1">
        <f t="array" ref="J1507:J1509">'SUT_EU27 total'!$S$117:$S$119</f>
        <v>0</v>
      </c>
    </row>
    <row r="1508" spans="1:10" x14ac:dyDescent="0.35">
      <c r="A1508" t="s">
        <v>18</v>
      </c>
      <c r="B1508" t="s">
        <v>38</v>
      </c>
      <c r="C1508" t="s">
        <v>93</v>
      </c>
      <c r="D1508" t="s">
        <v>81</v>
      </c>
      <c r="E1508" t="s">
        <v>104</v>
      </c>
      <c r="F1508" t="s">
        <v>73</v>
      </c>
      <c r="G1508" t="s">
        <v>74</v>
      </c>
      <c r="H1508" t="s">
        <v>113</v>
      </c>
      <c r="I1508" t="s">
        <v>84</v>
      </c>
      <c r="J1508" s="4">
        <v>0</v>
      </c>
    </row>
    <row r="1509" spans="1:10" x14ac:dyDescent="0.35">
      <c r="A1509" t="s">
        <v>18</v>
      </c>
      <c r="B1509" t="s">
        <v>38</v>
      </c>
      <c r="C1509" t="s">
        <v>93</v>
      </c>
      <c r="D1509" t="s">
        <v>81</v>
      </c>
      <c r="E1509" t="s">
        <v>106</v>
      </c>
      <c r="F1509" t="s">
        <v>73</v>
      </c>
      <c r="G1509" t="s">
        <v>74</v>
      </c>
      <c r="H1509" t="s">
        <v>113</v>
      </c>
      <c r="I1509" t="s">
        <v>84</v>
      </c>
      <c r="J1509" s="4">
        <v>0</v>
      </c>
    </row>
    <row r="1510" spans="1:10" x14ac:dyDescent="0.35">
      <c r="A1510" t="s">
        <v>18</v>
      </c>
      <c r="B1510" t="s">
        <v>38</v>
      </c>
      <c r="C1510" t="s">
        <v>73</v>
      </c>
      <c r="D1510" t="s">
        <v>74</v>
      </c>
      <c r="E1510" t="s">
        <v>123</v>
      </c>
      <c r="F1510" t="s">
        <v>73</v>
      </c>
      <c r="G1510" t="s">
        <v>81</v>
      </c>
      <c r="H1510" t="s">
        <v>115</v>
      </c>
      <c r="I1510" t="s">
        <v>84</v>
      </c>
      <c r="J1510" s="4" cm="1">
        <f t="array" ref="J1510:J1516">TRANSPOSE('2030 pathways'!$C$17:$I$17)</f>
        <v>0.1003</v>
      </c>
    </row>
    <row r="1511" spans="1:10" x14ac:dyDescent="0.35">
      <c r="A1511" t="s">
        <v>18</v>
      </c>
      <c r="B1511" t="s">
        <v>38</v>
      </c>
      <c r="C1511" t="s">
        <v>73</v>
      </c>
      <c r="D1511" t="s">
        <v>74</v>
      </c>
      <c r="E1511" t="s">
        <v>127</v>
      </c>
      <c r="F1511" t="s">
        <v>73</v>
      </c>
      <c r="G1511" t="s">
        <v>81</v>
      </c>
      <c r="H1511" t="s">
        <v>115</v>
      </c>
      <c r="I1511" t="s">
        <v>84</v>
      </c>
      <c r="J1511" s="4">
        <v>0.17699999999999999</v>
      </c>
    </row>
    <row r="1512" spans="1:10" x14ac:dyDescent="0.35">
      <c r="A1512" t="s">
        <v>18</v>
      </c>
      <c r="B1512" t="s">
        <v>38</v>
      </c>
      <c r="C1512" t="s">
        <v>73</v>
      </c>
      <c r="D1512" t="s">
        <v>74</v>
      </c>
      <c r="E1512" t="s">
        <v>128</v>
      </c>
      <c r="F1512" t="s">
        <v>73</v>
      </c>
      <c r="G1512" t="s">
        <v>81</v>
      </c>
      <c r="H1512" t="s">
        <v>115</v>
      </c>
      <c r="I1512" t="s">
        <v>84</v>
      </c>
      <c r="J1512" s="4">
        <v>8.8499999999999995E-2</v>
      </c>
    </row>
    <row r="1513" spans="1:10" x14ac:dyDescent="0.35">
      <c r="A1513" t="s">
        <v>18</v>
      </c>
      <c r="B1513" t="s">
        <v>38</v>
      </c>
      <c r="C1513" t="s">
        <v>73</v>
      </c>
      <c r="D1513" t="s">
        <v>74</v>
      </c>
      <c r="E1513" t="s">
        <v>129</v>
      </c>
      <c r="F1513" t="s">
        <v>73</v>
      </c>
      <c r="G1513" t="s">
        <v>81</v>
      </c>
      <c r="H1513" t="s">
        <v>115</v>
      </c>
      <c r="I1513" t="s">
        <v>84</v>
      </c>
      <c r="J1513" s="4">
        <v>5.8999999999999999E-3</v>
      </c>
    </row>
    <row r="1514" spans="1:10" x14ac:dyDescent="0.35">
      <c r="A1514" t="s">
        <v>18</v>
      </c>
      <c r="B1514" t="s">
        <v>38</v>
      </c>
      <c r="C1514" t="s">
        <v>73</v>
      </c>
      <c r="D1514" t="s">
        <v>74</v>
      </c>
      <c r="E1514" t="s">
        <v>77</v>
      </c>
      <c r="F1514" t="s">
        <v>73</v>
      </c>
      <c r="G1514" t="s">
        <v>81</v>
      </c>
      <c r="H1514" t="s">
        <v>115</v>
      </c>
      <c r="I1514" t="s">
        <v>84</v>
      </c>
      <c r="J1514" s="4">
        <v>5.8999999999999999E-3</v>
      </c>
    </row>
    <row r="1515" spans="1:10" x14ac:dyDescent="0.35">
      <c r="A1515" t="s">
        <v>18</v>
      </c>
      <c r="B1515" t="s">
        <v>38</v>
      </c>
      <c r="C1515" t="s">
        <v>73</v>
      </c>
      <c r="D1515" t="s">
        <v>74</v>
      </c>
      <c r="E1515" t="s">
        <v>130</v>
      </c>
      <c r="F1515" t="s">
        <v>73</v>
      </c>
      <c r="G1515" t="s">
        <v>81</v>
      </c>
      <c r="H1515" t="s">
        <v>115</v>
      </c>
      <c r="I1515" t="s">
        <v>84</v>
      </c>
      <c r="J1515" s="4">
        <v>0.21239999999999992</v>
      </c>
    </row>
    <row r="1516" spans="1:10" x14ac:dyDescent="0.35">
      <c r="A1516" t="s">
        <v>18</v>
      </c>
      <c r="B1516" t="s">
        <v>38</v>
      </c>
      <c r="C1516" t="s">
        <v>73</v>
      </c>
      <c r="D1516" t="s">
        <v>74</v>
      </c>
      <c r="E1516" t="s">
        <v>132</v>
      </c>
      <c r="F1516" t="s">
        <v>73</v>
      </c>
      <c r="G1516" t="s">
        <v>81</v>
      </c>
      <c r="H1516" t="s">
        <v>115</v>
      </c>
      <c r="I1516" t="s">
        <v>84</v>
      </c>
      <c r="J1516" s="4">
        <v>0.41</v>
      </c>
    </row>
    <row r="1517" spans="1:10" x14ac:dyDescent="0.35">
      <c r="A1517" t="s">
        <v>18</v>
      </c>
      <c r="B1517" t="s">
        <v>38</v>
      </c>
      <c r="C1517" t="s">
        <v>73</v>
      </c>
      <c r="D1517" t="s">
        <v>74</v>
      </c>
      <c r="E1517" t="s">
        <v>133</v>
      </c>
      <c r="F1517" t="s">
        <v>73</v>
      </c>
      <c r="G1517" t="s">
        <v>81</v>
      </c>
      <c r="H1517" t="s">
        <v>115</v>
      </c>
      <c r="I1517" t="s">
        <v>84</v>
      </c>
      <c r="J1517" s="4">
        <v>0</v>
      </c>
    </row>
    <row r="1518" spans="1:10" x14ac:dyDescent="0.35">
      <c r="A1518" s="373" t="s">
        <v>18</v>
      </c>
      <c r="B1518" s="373" t="s">
        <v>39</v>
      </c>
      <c r="C1518" s="373" t="s">
        <v>73</v>
      </c>
      <c r="D1518" s="373" t="s">
        <v>81</v>
      </c>
      <c r="E1518" s="373" t="s">
        <v>115</v>
      </c>
      <c r="F1518" s="373" t="s">
        <v>73</v>
      </c>
      <c r="G1518" s="373" t="s">
        <v>74</v>
      </c>
      <c r="H1518" s="373" t="s">
        <v>102</v>
      </c>
      <c r="I1518" s="373" t="s">
        <v>84</v>
      </c>
      <c r="J1518" s="473" cm="1">
        <f t="array" ref="J1518:J1519">'SUT_EU27 total'!$J$19:$J$20</f>
        <v>11.828571428571427</v>
      </c>
    </row>
    <row r="1519" spans="1:10" x14ac:dyDescent="0.35">
      <c r="A1519" t="s">
        <v>18</v>
      </c>
      <c r="B1519" t="s">
        <v>39</v>
      </c>
      <c r="C1519" t="s">
        <v>73</v>
      </c>
      <c r="D1519" t="s">
        <v>81</v>
      </c>
      <c r="E1519" t="s">
        <v>116</v>
      </c>
      <c r="F1519" t="s">
        <v>73</v>
      </c>
      <c r="G1519" t="s">
        <v>74</v>
      </c>
      <c r="H1519" t="s">
        <v>102</v>
      </c>
      <c r="I1519" t="s">
        <v>84</v>
      </c>
      <c r="J1519" s="4">
        <v>3.3421988920214002E-2</v>
      </c>
    </row>
    <row r="1520" spans="1:10" x14ac:dyDescent="0.35">
      <c r="A1520" t="s">
        <v>18</v>
      </c>
      <c r="B1520" t="s">
        <v>39</v>
      </c>
      <c r="C1520" t="s">
        <v>73</v>
      </c>
      <c r="D1520" t="s">
        <v>81</v>
      </c>
      <c r="E1520" t="s">
        <v>117</v>
      </c>
      <c r="F1520" t="s">
        <v>73</v>
      </c>
      <c r="G1520" t="s">
        <v>74</v>
      </c>
      <c r="H1520" t="s">
        <v>102</v>
      </c>
      <c r="I1520" t="s">
        <v>84</v>
      </c>
      <c r="J1520" s="76">
        <f>'SUT_EU27 total'!$J$27</f>
        <v>20.996100000000002</v>
      </c>
    </row>
    <row r="1521" spans="1:10" x14ac:dyDescent="0.35">
      <c r="A1521" t="s">
        <v>18</v>
      </c>
      <c r="B1521" t="s">
        <v>39</v>
      </c>
      <c r="C1521" t="s">
        <v>73</v>
      </c>
      <c r="D1521" t="s">
        <v>81</v>
      </c>
      <c r="E1521" t="s">
        <v>101</v>
      </c>
      <c r="F1521" t="s">
        <v>73</v>
      </c>
      <c r="G1521" t="s">
        <v>74</v>
      </c>
      <c r="H1521" t="s">
        <v>102</v>
      </c>
      <c r="I1521" t="s">
        <v>84</v>
      </c>
      <c r="J1521" s="471" cm="1">
        <f t="array" ref="J1521:J1523">Sensitivity!J86:J88</f>
        <v>0.51705287995693072</v>
      </c>
    </row>
    <row r="1522" spans="1:10" x14ac:dyDescent="0.35">
      <c r="A1522" t="s">
        <v>18</v>
      </c>
      <c r="B1522" t="s">
        <v>39</v>
      </c>
      <c r="C1522" t="s">
        <v>73</v>
      </c>
      <c r="D1522" t="s">
        <v>81</v>
      </c>
      <c r="E1522" t="s">
        <v>104</v>
      </c>
      <c r="F1522" t="s">
        <v>73</v>
      </c>
      <c r="G1522" t="s">
        <v>74</v>
      </c>
      <c r="H1522" t="s">
        <v>102</v>
      </c>
      <c r="I1522" t="s">
        <v>84</v>
      </c>
      <c r="J1522" s="460">
        <v>0.29649301958370766</v>
      </c>
    </row>
    <row r="1523" spans="1:10" x14ac:dyDescent="0.35">
      <c r="A1523" t="s">
        <v>18</v>
      </c>
      <c r="B1523" t="s">
        <v>39</v>
      </c>
      <c r="C1523" t="s">
        <v>73</v>
      </c>
      <c r="D1523" t="s">
        <v>81</v>
      </c>
      <c r="E1523" t="s">
        <v>106</v>
      </c>
      <c r="F1523" t="s">
        <v>73</v>
      </c>
      <c r="G1523" t="s">
        <v>74</v>
      </c>
      <c r="H1523" t="s">
        <v>102</v>
      </c>
      <c r="I1523" t="s">
        <v>84</v>
      </c>
      <c r="J1523" s="460">
        <v>0.44070073885936156</v>
      </c>
    </row>
    <row r="1524" spans="1:10" x14ac:dyDescent="0.35">
      <c r="A1524" t="s">
        <v>18</v>
      </c>
      <c r="B1524" t="s">
        <v>39</v>
      </c>
      <c r="C1524" t="s">
        <v>88</v>
      </c>
      <c r="D1524" t="s">
        <v>81</v>
      </c>
      <c r="E1524" t="s">
        <v>115</v>
      </c>
      <c r="F1524" t="s">
        <v>73</v>
      </c>
      <c r="G1524" t="s">
        <v>74</v>
      </c>
      <c r="H1524" t="s">
        <v>102</v>
      </c>
      <c r="I1524" t="s">
        <v>84</v>
      </c>
      <c r="J1524" s="76" cm="1">
        <f t="array" ref="J1524:J1525">'SUT_EU27 total'!$J$36:$J$37</f>
        <v>78.857142857142847</v>
      </c>
    </row>
    <row r="1525" spans="1:10" x14ac:dyDescent="0.35">
      <c r="A1525" t="s">
        <v>18</v>
      </c>
      <c r="B1525" t="s">
        <v>39</v>
      </c>
      <c r="C1525" t="s">
        <v>88</v>
      </c>
      <c r="D1525" t="s">
        <v>81</v>
      </c>
      <c r="E1525" t="s">
        <v>116</v>
      </c>
      <c r="F1525" t="s">
        <v>73</v>
      </c>
      <c r="G1525" t="s">
        <v>74</v>
      </c>
      <c r="H1525" t="s">
        <v>102</v>
      </c>
      <c r="I1525" t="s">
        <v>84</v>
      </c>
      <c r="J1525" s="4">
        <v>0.7862213561563367</v>
      </c>
    </row>
    <row r="1526" spans="1:10" x14ac:dyDescent="0.35">
      <c r="A1526" t="s">
        <v>18</v>
      </c>
      <c r="B1526" t="s">
        <v>39</v>
      </c>
      <c r="C1526" t="s">
        <v>88</v>
      </c>
      <c r="D1526" t="s">
        <v>81</v>
      </c>
      <c r="E1526" t="s">
        <v>117</v>
      </c>
      <c r="F1526" t="s">
        <v>73</v>
      </c>
      <c r="G1526" t="s">
        <v>74</v>
      </c>
      <c r="H1526" t="s">
        <v>102</v>
      </c>
      <c r="I1526" t="s">
        <v>84</v>
      </c>
      <c r="J1526" s="76">
        <f>'SUT_EU27 total'!$J$44</f>
        <v>286.26390000000004</v>
      </c>
    </row>
    <row r="1527" spans="1:10" x14ac:dyDescent="0.35">
      <c r="A1527" t="s">
        <v>18</v>
      </c>
      <c r="B1527" t="s">
        <v>39</v>
      </c>
      <c r="C1527" t="s">
        <v>88</v>
      </c>
      <c r="D1527" t="s">
        <v>81</v>
      </c>
      <c r="E1527" t="s">
        <v>101</v>
      </c>
      <c r="F1527" t="s">
        <v>73</v>
      </c>
      <c r="G1527" t="s">
        <v>74</v>
      </c>
      <c r="H1527" t="s">
        <v>102</v>
      </c>
      <c r="I1527" t="s">
        <v>84</v>
      </c>
      <c r="J1527" s="4" cm="1">
        <f t="array" ref="J1527:J1529">'SUT_EU27 total'!$J$49:$J$51</f>
        <v>0</v>
      </c>
    </row>
    <row r="1528" spans="1:10" x14ac:dyDescent="0.35">
      <c r="A1528" t="s">
        <v>18</v>
      </c>
      <c r="B1528" t="s">
        <v>39</v>
      </c>
      <c r="C1528" t="s">
        <v>88</v>
      </c>
      <c r="D1528" t="s">
        <v>81</v>
      </c>
      <c r="E1528" t="s">
        <v>104</v>
      </c>
      <c r="F1528" t="s">
        <v>73</v>
      </c>
      <c r="G1528" t="s">
        <v>74</v>
      </c>
      <c r="H1528" t="s">
        <v>102</v>
      </c>
      <c r="I1528" t="s">
        <v>84</v>
      </c>
      <c r="J1528" s="4">
        <v>0</v>
      </c>
    </row>
    <row r="1529" spans="1:10" x14ac:dyDescent="0.35">
      <c r="A1529" t="s">
        <v>18</v>
      </c>
      <c r="B1529" t="s">
        <v>39</v>
      </c>
      <c r="C1529" t="s">
        <v>88</v>
      </c>
      <c r="D1529" t="s">
        <v>81</v>
      </c>
      <c r="E1529" t="s">
        <v>106</v>
      </c>
      <c r="F1529" t="s">
        <v>73</v>
      </c>
      <c r="G1529" t="s">
        <v>74</v>
      </c>
      <c r="H1529" t="s">
        <v>102</v>
      </c>
      <c r="I1529" t="s">
        <v>84</v>
      </c>
      <c r="J1529" s="4">
        <v>0</v>
      </c>
    </row>
    <row r="1530" spans="1:10" x14ac:dyDescent="0.35">
      <c r="A1530" t="s">
        <v>18</v>
      </c>
      <c r="B1530" t="s">
        <v>39</v>
      </c>
      <c r="C1530" t="s">
        <v>90</v>
      </c>
      <c r="D1530" t="s">
        <v>81</v>
      </c>
      <c r="E1530" t="s">
        <v>115</v>
      </c>
      <c r="F1530" t="s">
        <v>73</v>
      </c>
      <c r="G1530" t="s">
        <v>74</v>
      </c>
      <c r="H1530" t="s">
        <v>102</v>
      </c>
      <c r="I1530" t="s">
        <v>84</v>
      </c>
      <c r="J1530" s="76" cm="1">
        <f t="array" ref="J1530:J1531">'SUT_EU27 total'!$J$53:$J$54</f>
        <v>7.7904761904761894</v>
      </c>
    </row>
    <row r="1531" spans="1:10" x14ac:dyDescent="0.35">
      <c r="A1531" t="s">
        <v>18</v>
      </c>
      <c r="B1531" t="s">
        <v>39</v>
      </c>
      <c r="C1531" t="s">
        <v>90</v>
      </c>
      <c r="D1531" t="s">
        <v>81</v>
      </c>
      <c r="E1531" t="s">
        <v>116</v>
      </c>
      <c r="F1531" t="s">
        <v>73</v>
      </c>
      <c r="G1531" t="s">
        <v>74</v>
      </c>
      <c r="H1531" t="s">
        <v>102</v>
      </c>
      <c r="I1531" t="s">
        <v>84</v>
      </c>
      <c r="J1531" s="4">
        <v>1.5473889063756709E-2</v>
      </c>
    </row>
    <row r="1532" spans="1:10" x14ac:dyDescent="0.35">
      <c r="A1532" t="s">
        <v>18</v>
      </c>
      <c r="B1532" t="s">
        <v>39</v>
      </c>
      <c r="C1532" t="s">
        <v>90</v>
      </c>
      <c r="D1532" t="s">
        <v>81</v>
      </c>
      <c r="E1532" t="s">
        <v>117</v>
      </c>
      <c r="F1532" t="s">
        <v>73</v>
      </c>
      <c r="G1532" t="s">
        <v>74</v>
      </c>
      <c r="H1532" t="s">
        <v>102</v>
      </c>
      <c r="I1532" t="s">
        <v>84</v>
      </c>
      <c r="J1532" s="76">
        <f>'SUT_EU27 total'!$J$61</f>
        <v>11.2662</v>
      </c>
    </row>
    <row r="1533" spans="1:10" x14ac:dyDescent="0.35">
      <c r="A1533" t="s">
        <v>18</v>
      </c>
      <c r="B1533" t="s">
        <v>39</v>
      </c>
      <c r="C1533" t="s">
        <v>90</v>
      </c>
      <c r="D1533" t="s">
        <v>81</v>
      </c>
      <c r="E1533" t="s">
        <v>101</v>
      </c>
      <c r="F1533" t="s">
        <v>73</v>
      </c>
      <c r="G1533" t="s">
        <v>74</v>
      </c>
      <c r="H1533" t="s">
        <v>102</v>
      </c>
      <c r="I1533" t="s">
        <v>84</v>
      </c>
      <c r="J1533" s="4" cm="1">
        <f t="array" ref="J1533:J1535">'SUT_EU27 total'!$J$66:$J$68</f>
        <v>0</v>
      </c>
    </row>
    <row r="1534" spans="1:10" x14ac:dyDescent="0.35">
      <c r="A1534" t="s">
        <v>18</v>
      </c>
      <c r="B1534" t="s">
        <v>39</v>
      </c>
      <c r="C1534" t="s">
        <v>90</v>
      </c>
      <c r="D1534" t="s">
        <v>81</v>
      </c>
      <c r="E1534" t="s">
        <v>104</v>
      </c>
      <c r="F1534" t="s">
        <v>73</v>
      </c>
      <c r="G1534" t="s">
        <v>74</v>
      </c>
      <c r="H1534" t="s">
        <v>102</v>
      </c>
      <c r="I1534" t="s">
        <v>84</v>
      </c>
      <c r="J1534" s="4">
        <v>0</v>
      </c>
    </row>
    <row r="1535" spans="1:10" x14ac:dyDescent="0.35">
      <c r="A1535" t="s">
        <v>18</v>
      </c>
      <c r="B1535" t="s">
        <v>39</v>
      </c>
      <c r="C1535" t="s">
        <v>90</v>
      </c>
      <c r="D1535" t="s">
        <v>81</v>
      </c>
      <c r="E1535" t="s">
        <v>106</v>
      </c>
      <c r="F1535" t="s">
        <v>73</v>
      </c>
      <c r="G1535" t="s">
        <v>74</v>
      </c>
      <c r="H1535" t="s">
        <v>102</v>
      </c>
      <c r="I1535" t="s">
        <v>84</v>
      </c>
      <c r="J1535" s="4">
        <v>0</v>
      </c>
    </row>
    <row r="1536" spans="1:10" x14ac:dyDescent="0.35">
      <c r="A1536" t="s">
        <v>18</v>
      </c>
      <c r="B1536" t="s">
        <v>39</v>
      </c>
      <c r="C1536" t="s">
        <v>91</v>
      </c>
      <c r="D1536" t="s">
        <v>81</v>
      </c>
      <c r="E1536" t="s">
        <v>115</v>
      </c>
      <c r="F1536" t="s">
        <v>73</v>
      </c>
      <c r="G1536" t="s">
        <v>74</v>
      </c>
      <c r="H1536" t="s">
        <v>102</v>
      </c>
      <c r="I1536" t="s">
        <v>84</v>
      </c>
      <c r="J1536" s="76" cm="1">
        <f t="array" ref="J1536:J1537">'SUT_EU27 total'!$J$70:$J$71</f>
        <v>15.771428571428569</v>
      </c>
    </row>
    <row r="1537" spans="1:10" x14ac:dyDescent="0.35">
      <c r="A1537" t="s">
        <v>18</v>
      </c>
      <c r="B1537" t="s">
        <v>39</v>
      </c>
      <c r="C1537" t="s">
        <v>91</v>
      </c>
      <c r="D1537" t="s">
        <v>81</v>
      </c>
      <c r="E1537" t="s">
        <v>116</v>
      </c>
      <c r="F1537" t="s">
        <v>73</v>
      </c>
      <c r="G1537" t="s">
        <v>74</v>
      </c>
      <c r="H1537" t="s">
        <v>102</v>
      </c>
      <c r="I1537" t="s">
        <v>84</v>
      </c>
      <c r="J1537" s="4">
        <v>8.7507175559917313E-2</v>
      </c>
    </row>
    <row r="1538" spans="1:10" x14ac:dyDescent="0.35">
      <c r="A1538" t="s">
        <v>18</v>
      </c>
      <c r="B1538" t="s">
        <v>39</v>
      </c>
      <c r="C1538" t="s">
        <v>91</v>
      </c>
      <c r="D1538" t="s">
        <v>81</v>
      </c>
      <c r="E1538" t="s">
        <v>117</v>
      </c>
      <c r="F1538" t="s">
        <v>73</v>
      </c>
      <c r="G1538" t="s">
        <v>74</v>
      </c>
      <c r="H1538" t="s">
        <v>102</v>
      </c>
      <c r="I1538" t="s">
        <v>84</v>
      </c>
      <c r="J1538" s="76">
        <f>'SUT_EU27 total'!$J$78</f>
        <v>41.4801</v>
      </c>
    </row>
    <row r="1539" spans="1:10" x14ac:dyDescent="0.35">
      <c r="A1539" t="s">
        <v>18</v>
      </c>
      <c r="B1539" t="s">
        <v>39</v>
      </c>
      <c r="C1539" t="s">
        <v>91</v>
      </c>
      <c r="D1539" t="s">
        <v>81</v>
      </c>
      <c r="E1539" t="s">
        <v>101</v>
      </c>
      <c r="F1539" t="s">
        <v>73</v>
      </c>
      <c r="G1539" t="s">
        <v>74</v>
      </c>
      <c r="H1539" t="s">
        <v>102</v>
      </c>
      <c r="I1539" t="s">
        <v>84</v>
      </c>
      <c r="J1539" s="4" cm="1">
        <f t="array" ref="J1539:J1541">'SUT_EU27 total'!$J$83:$J$85</f>
        <v>0</v>
      </c>
    </row>
    <row r="1540" spans="1:10" x14ac:dyDescent="0.35">
      <c r="A1540" t="s">
        <v>18</v>
      </c>
      <c r="B1540" t="s">
        <v>39</v>
      </c>
      <c r="C1540" t="s">
        <v>91</v>
      </c>
      <c r="D1540" t="s">
        <v>81</v>
      </c>
      <c r="E1540" t="s">
        <v>104</v>
      </c>
      <c r="F1540" t="s">
        <v>73</v>
      </c>
      <c r="G1540" t="s">
        <v>74</v>
      </c>
      <c r="H1540" t="s">
        <v>102</v>
      </c>
      <c r="I1540" t="s">
        <v>84</v>
      </c>
      <c r="J1540" s="4">
        <v>0</v>
      </c>
    </row>
    <row r="1541" spans="1:10" x14ac:dyDescent="0.35">
      <c r="A1541" t="s">
        <v>18</v>
      </c>
      <c r="B1541" t="s">
        <v>39</v>
      </c>
      <c r="C1541" t="s">
        <v>91</v>
      </c>
      <c r="D1541" t="s">
        <v>81</v>
      </c>
      <c r="E1541" t="s">
        <v>106</v>
      </c>
      <c r="F1541" t="s">
        <v>73</v>
      </c>
      <c r="G1541" t="s">
        <v>74</v>
      </c>
      <c r="H1541" t="s">
        <v>102</v>
      </c>
      <c r="I1541" t="s">
        <v>84</v>
      </c>
      <c r="J1541" s="4">
        <v>0</v>
      </c>
    </row>
    <row r="1542" spans="1:10" x14ac:dyDescent="0.35">
      <c r="A1542" t="s">
        <v>18</v>
      </c>
      <c r="B1542" t="s">
        <v>39</v>
      </c>
      <c r="C1542" t="s">
        <v>92</v>
      </c>
      <c r="D1542" t="s">
        <v>81</v>
      </c>
      <c r="E1542" t="s">
        <v>115</v>
      </c>
      <c r="F1542" t="s">
        <v>73</v>
      </c>
      <c r="G1542" t="s">
        <v>74</v>
      </c>
      <c r="H1542" t="s">
        <v>102</v>
      </c>
      <c r="I1542" t="s">
        <v>84</v>
      </c>
      <c r="J1542" s="76" cm="1">
        <f t="array" ref="J1542:J1543">'SUT_EU27 total'!$J$87:$J$88</f>
        <v>6.6239999999999997</v>
      </c>
    </row>
    <row r="1543" spans="1:10" x14ac:dyDescent="0.35">
      <c r="A1543" t="s">
        <v>18</v>
      </c>
      <c r="B1543" t="s">
        <v>39</v>
      </c>
      <c r="C1543" t="s">
        <v>92</v>
      </c>
      <c r="D1543" t="s">
        <v>81</v>
      </c>
      <c r="E1543" t="s">
        <v>116</v>
      </c>
      <c r="F1543" t="s">
        <v>73</v>
      </c>
      <c r="G1543" t="s">
        <v>74</v>
      </c>
      <c r="H1543" t="s">
        <v>102</v>
      </c>
      <c r="I1543" t="s">
        <v>84</v>
      </c>
      <c r="J1543" s="4">
        <v>6.0040746268656714E-2</v>
      </c>
    </row>
    <row r="1544" spans="1:10" x14ac:dyDescent="0.35">
      <c r="A1544" t="s">
        <v>18</v>
      </c>
      <c r="B1544" t="s">
        <v>39</v>
      </c>
      <c r="C1544" t="s">
        <v>92</v>
      </c>
      <c r="D1544" t="s">
        <v>81</v>
      </c>
      <c r="E1544" t="s">
        <v>117</v>
      </c>
      <c r="F1544" t="s">
        <v>73</v>
      </c>
      <c r="G1544" t="s">
        <v>74</v>
      </c>
      <c r="H1544" t="s">
        <v>102</v>
      </c>
      <c r="I1544" t="s">
        <v>84</v>
      </c>
      <c r="J1544" s="76">
        <f>'SUT_EU27 total'!$J$95</f>
        <v>13.3146</v>
      </c>
    </row>
    <row r="1545" spans="1:10" x14ac:dyDescent="0.35">
      <c r="A1545" t="s">
        <v>18</v>
      </c>
      <c r="B1545" t="s">
        <v>39</v>
      </c>
      <c r="C1545" t="s">
        <v>92</v>
      </c>
      <c r="D1545" t="s">
        <v>81</v>
      </c>
      <c r="E1545" t="s">
        <v>101</v>
      </c>
      <c r="F1545" t="s">
        <v>73</v>
      </c>
      <c r="G1545" t="s">
        <v>74</v>
      </c>
      <c r="H1545" t="s">
        <v>102</v>
      </c>
      <c r="I1545" t="s">
        <v>84</v>
      </c>
      <c r="J1545" s="4" cm="1">
        <f t="array" ref="J1545:J1547">'SUT_EU27 total'!$J$100:$J$102</f>
        <v>0</v>
      </c>
    </row>
    <row r="1546" spans="1:10" x14ac:dyDescent="0.35">
      <c r="A1546" t="s">
        <v>18</v>
      </c>
      <c r="B1546" t="s">
        <v>39</v>
      </c>
      <c r="C1546" t="s">
        <v>92</v>
      </c>
      <c r="D1546" t="s">
        <v>81</v>
      </c>
      <c r="E1546" t="s">
        <v>104</v>
      </c>
      <c r="F1546" t="s">
        <v>73</v>
      </c>
      <c r="G1546" t="s">
        <v>74</v>
      </c>
      <c r="H1546" t="s">
        <v>102</v>
      </c>
      <c r="I1546" t="s">
        <v>84</v>
      </c>
      <c r="J1546" s="4">
        <v>0</v>
      </c>
    </row>
    <row r="1547" spans="1:10" x14ac:dyDescent="0.35">
      <c r="A1547" t="s">
        <v>18</v>
      </c>
      <c r="B1547" t="s">
        <v>39</v>
      </c>
      <c r="C1547" t="s">
        <v>92</v>
      </c>
      <c r="D1547" t="s">
        <v>81</v>
      </c>
      <c r="E1547" t="s">
        <v>106</v>
      </c>
      <c r="F1547" t="s">
        <v>73</v>
      </c>
      <c r="G1547" t="s">
        <v>74</v>
      </c>
      <c r="H1547" t="s">
        <v>102</v>
      </c>
      <c r="I1547" t="s">
        <v>84</v>
      </c>
      <c r="J1547" s="4">
        <v>0</v>
      </c>
    </row>
    <row r="1548" spans="1:10" x14ac:dyDescent="0.35">
      <c r="A1548" t="s">
        <v>18</v>
      </c>
      <c r="B1548" t="s">
        <v>39</v>
      </c>
      <c r="C1548" t="s">
        <v>93</v>
      </c>
      <c r="D1548" t="s">
        <v>81</v>
      </c>
      <c r="E1548" t="s">
        <v>115</v>
      </c>
      <c r="F1548" t="s">
        <v>73</v>
      </c>
      <c r="G1548" t="s">
        <v>74</v>
      </c>
      <c r="H1548" t="s">
        <v>102</v>
      </c>
      <c r="I1548" t="s">
        <v>84</v>
      </c>
      <c r="J1548" s="76" cm="1">
        <f t="array" ref="J1548:J1549">'SUT_EU27 total'!$J$104:$J$105</f>
        <v>44.633142857142865</v>
      </c>
    </row>
    <row r="1549" spans="1:10" x14ac:dyDescent="0.35">
      <c r="A1549" t="s">
        <v>18</v>
      </c>
      <c r="B1549" t="s">
        <v>39</v>
      </c>
      <c r="C1549" t="s">
        <v>93</v>
      </c>
      <c r="D1549" t="s">
        <v>81</v>
      </c>
      <c r="E1549" t="s">
        <v>116</v>
      </c>
      <c r="F1549" t="s">
        <v>73</v>
      </c>
      <c r="G1549" t="s">
        <v>74</v>
      </c>
      <c r="H1549" t="s">
        <v>102</v>
      </c>
      <c r="I1549" t="s">
        <v>84</v>
      </c>
      <c r="J1549" s="4">
        <v>0.3673348440311186</v>
      </c>
    </row>
    <row r="1550" spans="1:10" x14ac:dyDescent="0.35">
      <c r="A1550" t="s">
        <v>18</v>
      </c>
      <c r="B1550" t="s">
        <v>39</v>
      </c>
      <c r="C1550" t="s">
        <v>93</v>
      </c>
      <c r="D1550" t="s">
        <v>81</v>
      </c>
      <c r="E1550" t="s">
        <v>117</v>
      </c>
      <c r="F1550" t="s">
        <v>73</v>
      </c>
      <c r="G1550" t="s">
        <v>74</v>
      </c>
      <c r="H1550" t="s">
        <v>102</v>
      </c>
      <c r="I1550" t="s">
        <v>84</v>
      </c>
      <c r="J1550" s="76">
        <f>'SUT_EU27 total'!$J$112</f>
        <v>138.77909999999997</v>
      </c>
    </row>
    <row r="1551" spans="1:10" x14ac:dyDescent="0.35">
      <c r="A1551" t="s">
        <v>18</v>
      </c>
      <c r="B1551" t="s">
        <v>39</v>
      </c>
      <c r="C1551" t="s">
        <v>93</v>
      </c>
      <c r="D1551" t="s">
        <v>81</v>
      </c>
      <c r="E1551" t="s">
        <v>101</v>
      </c>
      <c r="F1551" t="s">
        <v>73</v>
      </c>
      <c r="G1551" t="s">
        <v>74</v>
      </c>
      <c r="H1551" t="s">
        <v>102</v>
      </c>
      <c r="I1551" t="s">
        <v>84</v>
      </c>
      <c r="J1551" s="4" cm="1">
        <f t="array" ref="J1551:J1553">'SUT_EU27 total'!$J$117:$J$119</f>
        <v>0</v>
      </c>
    </row>
    <row r="1552" spans="1:10" x14ac:dyDescent="0.35">
      <c r="A1552" t="s">
        <v>18</v>
      </c>
      <c r="B1552" t="s">
        <v>39</v>
      </c>
      <c r="C1552" t="s">
        <v>93</v>
      </c>
      <c r="D1552" t="s">
        <v>81</v>
      </c>
      <c r="E1552" t="s">
        <v>104</v>
      </c>
      <c r="F1552" t="s">
        <v>73</v>
      </c>
      <c r="G1552" t="s">
        <v>74</v>
      </c>
      <c r="H1552" t="s">
        <v>102</v>
      </c>
      <c r="I1552" t="s">
        <v>84</v>
      </c>
      <c r="J1552" s="4">
        <v>0</v>
      </c>
    </row>
    <row r="1553" spans="1:10" x14ac:dyDescent="0.35">
      <c r="A1553" t="s">
        <v>18</v>
      </c>
      <c r="B1553" t="s">
        <v>39</v>
      </c>
      <c r="C1553" t="s">
        <v>93</v>
      </c>
      <c r="D1553" t="s">
        <v>81</v>
      </c>
      <c r="E1553" t="s">
        <v>106</v>
      </c>
      <c r="F1553" t="s">
        <v>73</v>
      </c>
      <c r="G1553" t="s">
        <v>74</v>
      </c>
      <c r="H1553" t="s">
        <v>102</v>
      </c>
      <c r="I1553" t="s">
        <v>84</v>
      </c>
      <c r="J1553" s="4">
        <v>0</v>
      </c>
    </row>
    <row r="1554" spans="1:10" x14ac:dyDescent="0.35">
      <c r="A1554" t="s">
        <v>18</v>
      </c>
      <c r="B1554" t="s">
        <v>39</v>
      </c>
      <c r="C1554" t="s">
        <v>73</v>
      </c>
      <c r="D1554" t="s">
        <v>81</v>
      </c>
      <c r="E1554" t="s">
        <v>118</v>
      </c>
      <c r="F1554" t="s">
        <v>73</v>
      </c>
      <c r="G1554" t="s">
        <v>74</v>
      </c>
      <c r="H1554" t="s">
        <v>108</v>
      </c>
      <c r="I1554" t="s">
        <v>84</v>
      </c>
      <c r="J1554" s="76" cm="1">
        <f t="array" ref="J1554:J1556">'SUT_EU27 total'!$K$21:$K$23</f>
        <v>1.4582562144772118E-3</v>
      </c>
    </row>
    <row r="1555" spans="1:10" x14ac:dyDescent="0.35">
      <c r="A1555" t="s">
        <v>18</v>
      </c>
      <c r="B1555" t="s">
        <v>39</v>
      </c>
      <c r="C1555" t="s">
        <v>73</v>
      </c>
      <c r="D1555" t="s">
        <v>81</v>
      </c>
      <c r="E1555" t="s">
        <v>119</v>
      </c>
      <c r="F1555" t="s">
        <v>73</v>
      </c>
      <c r="G1555" t="s">
        <v>74</v>
      </c>
      <c r="H1555" t="s">
        <v>108</v>
      </c>
      <c r="I1555" t="s">
        <v>84</v>
      </c>
      <c r="J1555" s="4">
        <v>8.4634636521458274E-4</v>
      </c>
    </row>
    <row r="1556" spans="1:10" x14ac:dyDescent="0.35">
      <c r="A1556" t="s">
        <v>18</v>
      </c>
      <c r="B1556" t="s">
        <v>39</v>
      </c>
      <c r="C1556" t="s">
        <v>73</v>
      </c>
      <c r="D1556" t="s">
        <v>81</v>
      </c>
      <c r="E1556" t="s">
        <v>120</v>
      </c>
      <c r="F1556" t="s">
        <v>73</v>
      </c>
      <c r="G1556" t="s">
        <v>74</v>
      </c>
      <c r="H1556" t="s">
        <v>108</v>
      </c>
      <c r="I1556" t="s">
        <v>84</v>
      </c>
      <c r="J1556" s="4">
        <v>1.2517329093179335E-4</v>
      </c>
    </row>
    <row r="1557" spans="1:10" x14ac:dyDescent="0.35">
      <c r="A1557" t="s">
        <v>18</v>
      </c>
      <c r="B1557" t="s">
        <v>39</v>
      </c>
      <c r="C1557" t="s">
        <v>73</v>
      </c>
      <c r="D1557" t="s">
        <v>81</v>
      </c>
      <c r="E1557" s="77" t="s">
        <v>121</v>
      </c>
      <c r="F1557" t="s">
        <v>73</v>
      </c>
      <c r="G1557" t="s">
        <v>74</v>
      </c>
      <c r="H1557" t="s">
        <v>108</v>
      </c>
      <c r="I1557" t="s">
        <v>84</v>
      </c>
      <c r="J1557" s="76">
        <f>'SUT_EU27 total'!$K$25</f>
        <v>6.9749679999999994E-2</v>
      </c>
    </row>
    <row r="1558" spans="1:10" x14ac:dyDescent="0.35">
      <c r="A1558" t="s">
        <v>18</v>
      </c>
      <c r="B1558" t="s">
        <v>39</v>
      </c>
      <c r="C1558" t="s">
        <v>73</v>
      </c>
      <c r="D1558" t="s">
        <v>81</v>
      </c>
      <c r="E1558" t="s">
        <v>117</v>
      </c>
      <c r="F1558" t="s">
        <v>73</v>
      </c>
      <c r="G1558" t="s">
        <v>74</v>
      </c>
      <c r="H1558" t="s">
        <v>108</v>
      </c>
      <c r="I1558" t="s">
        <v>84</v>
      </c>
      <c r="J1558" s="76">
        <f>'SUT_EU27 total'!$K$27</f>
        <v>1.1932942595726979E-3</v>
      </c>
    </row>
    <row r="1559" spans="1:10" x14ac:dyDescent="0.35">
      <c r="A1559" t="s">
        <v>18</v>
      </c>
      <c r="B1559" t="s">
        <v>39</v>
      </c>
      <c r="C1559" t="s">
        <v>73</v>
      </c>
      <c r="D1559" t="s">
        <v>81</v>
      </c>
      <c r="E1559" t="s">
        <v>122</v>
      </c>
      <c r="F1559" t="s">
        <v>73</v>
      </c>
      <c r="G1559" t="s">
        <v>74</v>
      </c>
      <c r="H1559" t="s">
        <v>108</v>
      </c>
      <c r="I1559" t="s">
        <v>84</v>
      </c>
      <c r="J1559" s="76">
        <f>'SUT_EU27 total'!$K$30</f>
        <v>1.5965533412604042E-3</v>
      </c>
    </row>
    <row r="1560" spans="1:10" x14ac:dyDescent="0.35">
      <c r="A1560" t="s">
        <v>18</v>
      </c>
      <c r="B1560" t="s">
        <v>39</v>
      </c>
      <c r="C1560" t="s">
        <v>73</v>
      </c>
      <c r="D1560" t="s">
        <v>81</v>
      </c>
      <c r="E1560" t="s">
        <v>101</v>
      </c>
      <c r="F1560" t="s">
        <v>73</v>
      </c>
      <c r="G1560" t="s">
        <v>74</v>
      </c>
      <c r="H1560" t="s">
        <v>108</v>
      </c>
      <c r="I1560" t="s">
        <v>84</v>
      </c>
      <c r="J1560" s="471" cm="1">
        <f t="array" ref="J1560:J1562">Sensitivity!J89:J91</f>
        <v>9.3634951329599192E-4</v>
      </c>
    </row>
    <row r="1561" spans="1:10" x14ac:dyDescent="0.35">
      <c r="A1561" t="s">
        <v>18</v>
      </c>
      <c r="B1561" t="s">
        <v>39</v>
      </c>
      <c r="C1561" t="s">
        <v>73</v>
      </c>
      <c r="D1561" t="s">
        <v>81</v>
      </c>
      <c r="E1561" t="s">
        <v>104</v>
      </c>
      <c r="F1561" t="s">
        <v>73</v>
      </c>
      <c r="G1561" t="s">
        <v>74</v>
      </c>
      <c r="H1561" t="s">
        <v>108</v>
      </c>
      <c r="I1561" t="s">
        <v>84</v>
      </c>
      <c r="J1561" s="460">
        <v>5.3692979063570611E-4</v>
      </c>
    </row>
    <row r="1562" spans="1:10" x14ac:dyDescent="0.35">
      <c r="A1562" t="s">
        <v>18</v>
      </c>
      <c r="B1562" t="s">
        <v>39</v>
      </c>
      <c r="C1562" t="s">
        <v>73</v>
      </c>
      <c r="D1562" t="s">
        <v>81</v>
      </c>
      <c r="E1562" t="s">
        <v>106</v>
      </c>
      <c r="F1562" t="s">
        <v>73</v>
      </c>
      <c r="G1562" t="s">
        <v>74</v>
      </c>
      <c r="H1562" t="s">
        <v>108</v>
      </c>
      <c r="I1562" t="s">
        <v>84</v>
      </c>
      <c r="J1562" s="460">
        <v>7.9808069606830158E-4</v>
      </c>
    </row>
    <row r="1563" spans="1:10" x14ac:dyDescent="0.35">
      <c r="A1563" t="s">
        <v>18</v>
      </c>
      <c r="B1563" t="s">
        <v>39</v>
      </c>
      <c r="C1563" t="s">
        <v>88</v>
      </c>
      <c r="D1563" t="s">
        <v>81</v>
      </c>
      <c r="E1563" t="s">
        <v>118</v>
      </c>
      <c r="F1563" t="s">
        <v>73</v>
      </c>
      <c r="G1563" t="s">
        <v>74</v>
      </c>
      <c r="H1563" t="s">
        <v>108</v>
      </c>
      <c r="I1563" t="s">
        <v>84</v>
      </c>
      <c r="J1563" s="76" cm="1">
        <f t="array" ref="J1563:J1565">'SUT_EU27 total'!$K$38:$K$40</f>
        <v>3.3029309855227888E-2</v>
      </c>
    </row>
    <row r="1564" spans="1:10" x14ac:dyDescent="0.35">
      <c r="A1564" t="s">
        <v>18</v>
      </c>
      <c r="B1564" t="s">
        <v>39</v>
      </c>
      <c r="C1564" t="s">
        <v>88</v>
      </c>
      <c r="D1564" t="s">
        <v>81</v>
      </c>
      <c r="E1564" t="s">
        <v>119</v>
      </c>
      <c r="F1564" t="s">
        <v>73</v>
      </c>
      <c r="G1564" t="s">
        <v>74</v>
      </c>
      <c r="H1564" t="s">
        <v>108</v>
      </c>
      <c r="I1564" t="s">
        <v>84</v>
      </c>
      <c r="J1564" s="4">
        <v>6.9915569300335089E-3</v>
      </c>
    </row>
    <row r="1565" spans="1:10" x14ac:dyDescent="0.35">
      <c r="A1565" t="s">
        <v>18</v>
      </c>
      <c r="B1565" t="s">
        <v>39</v>
      </c>
      <c r="C1565" t="s">
        <v>88</v>
      </c>
      <c r="D1565" t="s">
        <v>81</v>
      </c>
      <c r="E1565" t="s">
        <v>120</v>
      </c>
      <c r="F1565" t="s">
        <v>73</v>
      </c>
      <c r="G1565" t="s">
        <v>74</v>
      </c>
      <c r="H1565" t="s">
        <v>108</v>
      </c>
      <c r="I1565" t="s">
        <v>84</v>
      </c>
      <c r="J1565" s="4">
        <v>1.5283979779928203E-3</v>
      </c>
    </row>
    <row r="1566" spans="1:10" x14ac:dyDescent="0.35">
      <c r="A1566" t="s">
        <v>18</v>
      </c>
      <c r="B1566" t="s">
        <v>39</v>
      </c>
      <c r="C1566" t="s">
        <v>88</v>
      </c>
      <c r="D1566" t="s">
        <v>81</v>
      </c>
      <c r="E1566" s="77" t="s">
        <v>121</v>
      </c>
      <c r="F1566" t="s">
        <v>73</v>
      </c>
      <c r="G1566" t="s">
        <v>74</v>
      </c>
      <c r="H1566" t="s">
        <v>108</v>
      </c>
      <c r="I1566" t="s">
        <v>84</v>
      </c>
      <c r="J1566" s="4">
        <f>'SUT_EU27 total'!$K$42</f>
        <v>0</v>
      </c>
    </row>
    <row r="1567" spans="1:10" x14ac:dyDescent="0.35">
      <c r="A1567" t="s">
        <v>18</v>
      </c>
      <c r="B1567" t="s">
        <v>39</v>
      </c>
      <c r="C1567" t="s">
        <v>88</v>
      </c>
      <c r="D1567" t="s">
        <v>81</v>
      </c>
      <c r="E1567" t="s">
        <v>117</v>
      </c>
      <c r="F1567" t="s">
        <v>73</v>
      </c>
      <c r="G1567" t="s">
        <v>74</v>
      </c>
      <c r="H1567" t="s">
        <v>108</v>
      </c>
      <c r="I1567" t="s">
        <v>84</v>
      </c>
      <c r="J1567" s="76">
        <f>'SUT_EU27 total'!$K$44</f>
        <v>9.9090099874062521E-4</v>
      </c>
    </row>
    <row r="1568" spans="1:10" x14ac:dyDescent="0.35">
      <c r="A1568" t="s">
        <v>18</v>
      </c>
      <c r="B1568" t="s">
        <v>39</v>
      </c>
      <c r="C1568" t="s">
        <v>88</v>
      </c>
      <c r="D1568" t="s">
        <v>81</v>
      </c>
      <c r="E1568" t="s">
        <v>122</v>
      </c>
      <c r="F1568" t="s">
        <v>73</v>
      </c>
      <c r="G1568" t="s">
        <v>74</v>
      </c>
      <c r="H1568" t="s">
        <v>108</v>
      </c>
      <c r="I1568" t="s">
        <v>84</v>
      </c>
      <c r="J1568" s="76">
        <f>'SUT_EU27 total'!$K$47</f>
        <v>0</v>
      </c>
    </row>
    <row r="1569" spans="1:10" x14ac:dyDescent="0.35">
      <c r="A1569" t="s">
        <v>18</v>
      </c>
      <c r="B1569" t="s">
        <v>39</v>
      </c>
      <c r="C1569" t="s">
        <v>88</v>
      </c>
      <c r="D1569" t="s">
        <v>81</v>
      </c>
      <c r="E1569" t="s">
        <v>101</v>
      </c>
      <c r="F1569" t="s">
        <v>73</v>
      </c>
      <c r="G1569" t="s">
        <v>74</v>
      </c>
      <c r="H1569" t="s">
        <v>108</v>
      </c>
      <c r="I1569" t="s">
        <v>84</v>
      </c>
      <c r="J1569" s="4" cm="1">
        <f t="array" ref="J1569:J1571">'SUT_EU27 total'!$K$49:$K$51</f>
        <v>0</v>
      </c>
    </row>
    <row r="1570" spans="1:10" x14ac:dyDescent="0.35">
      <c r="A1570" t="s">
        <v>18</v>
      </c>
      <c r="B1570" t="s">
        <v>39</v>
      </c>
      <c r="C1570" t="s">
        <v>88</v>
      </c>
      <c r="D1570" t="s">
        <v>81</v>
      </c>
      <c r="E1570" t="s">
        <v>104</v>
      </c>
      <c r="F1570" t="s">
        <v>73</v>
      </c>
      <c r="G1570" t="s">
        <v>74</v>
      </c>
      <c r="H1570" t="s">
        <v>108</v>
      </c>
      <c r="I1570" t="s">
        <v>84</v>
      </c>
      <c r="J1570" s="4">
        <v>0</v>
      </c>
    </row>
    <row r="1571" spans="1:10" x14ac:dyDescent="0.35">
      <c r="A1571" t="s">
        <v>18</v>
      </c>
      <c r="B1571" t="s">
        <v>39</v>
      </c>
      <c r="C1571" t="s">
        <v>88</v>
      </c>
      <c r="D1571" t="s">
        <v>81</v>
      </c>
      <c r="E1571" t="s">
        <v>106</v>
      </c>
      <c r="F1571" t="s">
        <v>73</v>
      </c>
      <c r="G1571" t="s">
        <v>74</v>
      </c>
      <c r="H1571" t="s">
        <v>108</v>
      </c>
      <c r="I1571" t="s">
        <v>84</v>
      </c>
      <c r="J1571" s="4">
        <v>0</v>
      </c>
    </row>
    <row r="1572" spans="1:10" x14ac:dyDescent="0.35">
      <c r="A1572" t="s">
        <v>18</v>
      </c>
      <c r="B1572" t="s">
        <v>39</v>
      </c>
      <c r="C1572" t="s">
        <v>90</v>
      </c>
      <c r="D1572" t="s">
        <v>81</v>
      </c>
      <c r="E1572" t="s">
        <v>118</v>
      </c>
      <c r="F1572" t="s">
        <v>73</v>
      </c>
      <c r="G1572" t="s">
        <v>74</v>
      </c>
      <c r="H1572" t="s">
        <v>108</v>
      </c>
      <c r="I1572" t="s">
        <v>84</v>
      </c>
      <c r="J1572" s="76" cm="1">
        <f t="array" ref="J1572:J1574">'SUT_EU27 total'!$K$55:$K$57</f>
        <v>4.323194595174263E-3</v>
      </c>
    </row>
    <row r="1573" spans="1:10" x14ac:dyDescent="0.35">
      <c r="A1573" t="s">
        <v>18</v>
      </c>
      <c r="B1573" t="s">
        <v>39</v>
      </c>
      <c r="C1573" t="s">
        <v>90</v>
      </c>
      <c r="D1573" t="s">
        <v>81</v>
      </c>
      <c r="E1573" t="s">
        <v>119</v>
      </c>
      <c r="F1573" t="s">
        <v>73</v>
      </c>
      <c r="G1573" t="s">
        <v>74</v>
      </c>
      <c r="H1573" t="s">
        <v>108</v>
      </c>
      <c r="I1573" t="s">
        <v>84</v>
      </c>
      <c r="J1573" s="4">
        <v>1.2800331672655335E-3</v>
      </c>
    </row>
    <row r="1574" spans="1:10" x14ac:dyDescent="0.35">
      <c r="A1574" t="s">
        <v>18</v>
      </c>
      <c r="B1574" t="s">
        <v>39</v>
      </c>
      <c r="C1574" t="s">
        <v>90</v>
      </c>
      <c r="D1574" t="s">
        <v>81</v>
      </c>
      <c r="E1574" t="s">
        <v>120</v>
      </c>
      <c r="F1574" t="s">
        <v>73</v>
      </c>
      <c r="G1574" t="s">
        <v>74</v>
      </c>
      <c r="H1574" t="s">
        <v>108</v>
      </c>
      <c r="I1574" t="s">
        <v>84</v>
      </c>
      <c r="J1574" s="4">
        <v>5.6700291220540041E-3</v>
      </c>
    </row>
    <row r="1575" spans="1:10" x14ac:dyDescent="0.35">
      <c r="A1575" t="s">
        <v>18</v>
      </c>
      <c r="B1575" t="s">
        <v>39</v>
      </c>
      <c r="C1575" t="s">
        <v>90</v>
      </c>
      <c r="D1575" t="s">
        <v>81</v>
      </c>
      <c r="E1575" s="77" t="s">
        <v>121</v>
      </c>
      <c r="F1575" t="s">
        <v>73</v>
      </c>
      <c r="G1575" t="s">
        <v>74</v>
      </c>
      <c r="H1575" t="s">
        <v>108</v>
      </c>
      <c r="I1575" t="s">
        <v>84</v>
      </c>
      <c r="J1575" s="4">
        <f>'SUT_EU27 total'!$K$59</f>
        <v>0</v>
      </c>
    </row>
    <row r="1576" spans="1:10" x14ac:dyDescent="0.35">
      <c r="A1576" t="s">
        <v>18</v>
      </c>
      <c r="B1576" t="s">
        <v>39</v>
      </c>
      <c r="C1576" t="s">
        <v>90</v>
      </c>
      <c r="D1576" t="s">
        <v>81</v>
      </c>
      <c r="E1576" t="s">
        <v>117</v>
      </c>
      <c r="F1576" t="s">
        <v>73</v>
      </c>
      <c r="G1576" t="s">
        <v>74</v>
      </c>
      <c r="H1576" t="s">
        <v>108</v>
      </c>
      <c r="I1576" t="s">
        <v>84</v>
      </c>
      <c r="J1576" s="76">
        <f>'SUT_EU27 total'!$K$61</f>
        <v>1.1930979242119881E-3</v>
      </c>
    </row>
    <row r="1577" spans="1:10" x14ac:dyDescent="0.35">
      <c r="A1577" t="s">
        <v>18</v>
      </c>
      <c r="B1577" t="s">
        <v>39</v>
      </c>
      <c r="C1577" t="s">
        <v>90</v>
      </c>
      <c r="D1577" t="s">
        <v>81</v>
      </c>
      <c r="E1577" t="s">
        <v>122</v>
      </c>
      <c r="F1577" t="s">
        <v>73</v>
      </c>
      <c r="G1577" t="s">
        <v>74</v>
      </c>
      <c r="H1577" t="s">
        <v>108</v>
      </c>
      <c r="I1577" t="s">
        <v>84</v>
      </c>
      <c r="J1577" s="76">
        <f>'SUT_EU27 total'!$K$64</f>
        <v>2.5776238002378116E-3</v>
      </c>
    </row>
    <row r="1578" spans="1:10" x14ac:dyDescent="0.35">
      <c r="A1578" t="s">
        <v>18</v>
      </c>
      <c r="B1578" t="s">
        <v>39</v>
      </c>
      <c r="C1578" t="s">
        <v>90</v>
      </c>
      <c r="D1578" t="s">
        <v>81</v>
      </c>
      <c r="E1578" t="s">
        <v>101</v>
      </c>
      <c r="F1578" t="s">
        <v>73</v>
      </c>
      <c r="G1578" t="s">
        <v>74</v>
      </c>
      <c r="H1578" t="s">
        <v>108</v>
      </c>
      <c r="I1578" t="s">
        <v>84</v>
      </c>
      <c r="J1578" s="4" cm="1">
        <f t="array" ref="J1578:J1580">'SUT_EU27 total'!$K$66:$K$68</f>
        <v>0</v>
      </c>
    </row>
    <row r="1579" spans="1:10" x14ac:dyDescent="0.35">
      <c r="A1579" t="s">
        <v>18</v>
      </c>
      <c r="B1579" t="s">
        <v>39</v>
      </c>
      <c r="C1579" t="s">
        <v>90</v>
      </c>
      <c r="D1579" t="s">
        <v>81</v>
      </c>
      <c r="E1579" t="s">
        <v>104</v>
      </c>
      <c r="F1579" t="s">
        <v>73</v>
      </c>
      <c r="G1579" t="s">
        <v>74</v>
      </c>
      <c r="H1579" t="s">
        <v>108</v>
      </c>
      <c r="I1579" t="s">
        <v>84</v>
      </c>
      <c r="J1579" s="4">
        <v>0</v>
      </c>
    </row>
    <row r="1580" spans="1:10" x14ac:dyDescent="0.35">
      <c r="A1580" t="s">
        <v>18</v>
      </c>
      <c r="B1580" t="s">
        <v>39</v>
      </c>
      <c r="C1580" t="s">
        <v>90</v>
      </c>
      <c r="D1580" t="s">
        <v>81</v>
      </c>
      <c r="E1580" t="s">
        <v>106</v>
      </c>
      <c r="F1580" t="s">
        <v>73</v>
      </c>
      <c r="G1580" t="s">
        <v>74</v>
      </c>
      <c r="H1580" t="s">
        <v>108</v>
      </c>
      <c r="I1580" t="s">
        <v>84</v>
      </c>
      <c r="J1580" s="4">
        <v>0</v>
      </c>
    </row>
    <row r="1581" spans="1:10" x14ac:dyDescent="0.35">
      <c r="A1581" t="s">
        <v>18</v>
      </c>
      <c r="B1581" t="s">
        <v>39</v>
      </c>
      <c r="C1581" t="s">
        <v>91</v>
      </c>
      <c r="D1581" t="s">
        <v>81</v>
      </c>
      <c r="E1581" t="s">
        <v>118</v>
      </c>
      <c r="F1581" t="s">
        <v>73</v>
      </c>
      <c r="G1581" t="s">
        <v>74</v>
      </c>
      <c r="H1581" t="s">
        <v>108</v>
      </c>
      <c r="I1581" t="s">
        <v>84</v>
      </c>
      <c r="J1581" s="76" cm="1">
        <f t="array" ref="J1581:J1583">'SUT_EU27 total'!$K$72:$K$74</f>
        <v>5.3791732332439677E-3</v>
      </c>
    </row>
    <row r="1582" spans="1:10" x14ac:dyDescent="0.35">
      <c r="A1582" t="s">
        <v>18</v>
      </c>
      <c r="B1582" t="s">
        <v>39</v>
      </c>
      <c r="C1582" t="s">
        <v>91</v>
      </c>
      <c r="D1582" t="s">
        <v>81</v>
      </c>
      <c r="E1582" t="s">
        <v>119</v>
      </c>
      <c r="F1582" t="s">
        <v>73</v>
      </c>
      <c r="G1582" t="s">
        <v>74</v>
      </c>
      <c r="H1582" t="s">
        <v>108</v>
      </c>
      <c r="I1582" t="s">
        <v>84</v>
      </c>
      <c r="J1582" s="4">
        <v>6.5526133182607291E-3</v>
      </c>
    </row>
    <row r="1583" spans="1:10" x14ac:dyDescent="0.35">
      <c r="A1583" t="s">
        <v>18</v>
      </c>
      <c r="B1583" t="s">
        <v>39</v>
      </c>
      <c r="C1583" t="s">
        <v>91</v>
      </c>
      <c r="D1583" t="s">
        <v>81</v>
      </c>
      <c r="E1583" t="s">
        <v>120</v>
      </c>
      <c r="F1583" t="s">
        <v>73</v>
      </c>
      <c r="G1583" t="s">
        <v>74</v>
      </c>
      <c r="H1583" t="s">
        <v>108</v>
      </c>
      <c r="I1583" t="s">
        <v>84</v>
      </c>
      <c r="J1583" s="4">
        <v>2.464950959887623E-4</v>
      </c>
    </row>
    <row r="1584" spans="1:10" x14ac:dyDescent="0.35">
      <c r="A1584" t="s">
        <v>18</v>
      </c>
      <c r="B1584" t="s">
        <v>39</v>
      </c>
      <c r="C1584" t="s">
        <v>91</v>
      </c>
      <c r="D1584" t="s">
        <v>81</v>
      </c>
      <c r="E1584" s="77" t="s">
        <v>121</v>
      </c>
      <c r="F1584" t="s">
        <v>73</v>
      </c>
      <c r="G1584" t="s">
        <v>74</v>
      </c>
      <c r="H1584" t="s">
        <v>108</v>
      </c>
      <c r="I1584" t="s">
        <v>84</v>
      </c>
      <c r="J1584" s="4">
        <f>'SUT_EU27 total'!$K$76</f>
        <v>0</v>
      </c>
    </row>
    <row r="1585" spans="1:10" x14ac:dyDescent="0.35">
      <c r="A1585" t="s">
        <v>18</v>
      </c>
      <c r="B1585" t="s">
        <v>39</v>
      </c>
      <c r="C1585" t="s">
        <v>91</v>
      </c>
      <c r="D1585" t="s">
        <v>81</v>
      </c>
      <c r="E1585" t="s">
        <v>117</v>
      </c>
      <c r="F1585" t="s">
        <v>73</v>
      </c>
      <c r="G1585" t="s">
        <v>74</v>
      </c>
      <c r="H1585" t="s">
        <v>108</v>
      </c>
      <c r="I1585" t="s">
        <v>84</v>
      </c>
      <c r="J1585" s="76">
        <f>'SUT_EU27 total'!$K$78</f>
        <v>1.1485683451306521E-3</v>
      </c>
    </row>
    <row r="1586" spans="1:10" x14ac:dyDescent="0.35">
      <c r="A1586" t="s">
        <v>18</v>
      </c>
      <c r="B1586" t="s">
        <v>39</v>
      </c>
      <c r="C1586" t="s">
        <v>91</v>
      </c>
      <c r="D1586" t="s">
        <v>81</v>
      </c>
      <c r="E1586" t="s">
        <v>122</v>
      </c>
      <c r="F1586" t="s">
        <v>73</v>
      </c>
      <c r="G1586" t="s">
        <v>74</v>
      </c>
      <c r="H1586" t="s">
        <v>108</v>
      </c>
      <c r="I1586" t="s">
        <v>84</v>
      </c>
      <c r="J1586" s="76">
        <f>'SUT_EU27 total'!$K$81</f>
        <v>0</v>
      </c>
    </row>
    <row r="1587" spans="1:10" x14ac:dyDescent="0.35">
      <c r="A1587" t="s">
        <v>18</v>
      </c>
      <c r="B1587" t="s">
        <v>39</v>
      </c>
      <c r="C1587" t="s">
        <v>91</v>
      </c>
      <c r="D1587" t="s">
        <v>81</v>
      </c>
      <c r="E1587" t="s">
        <v>101</v>
      </c>
      <c r="F1587" t="s">
        <v>73</v>
      </c>
      <c r="G1587" t="s">
        <v>74</v>
      </c>
      <c r="H1587" t="s">
        <v>108</v>
      </c>
      <c r="I1587" t="s">
        <v>84</v>
      </c>
      <c r="J1587" s="4" cm="1">
        <f t="array" ref="J1587:J1589">'SUT_EU27 total'!$K$83:$K$85</f>
        <v>0</v>
      </c>
    </row>
    <row r="1588" spans="1:10" x14ac:dyDescent="0.35">
      <c r="A1588" t="s">
        <v>18</v>
      </c>
      <c r="B1588" t="s">
        <v>39</v>
      </c>
      <c r="C1588" t="s">
        <v>91</v>
      </c>
      <c r="D1588" t="s">
        <v>81</v>
      </c>
      <c r="E1588" t="s">
        <v>104</v>
      </c>
      <c r="F1588" t="s">
        <v>73</v>
      </c>
      <c r="G1588" t="s">
        <v>74</v>
      </c>
      <c r="H1588" t="s">
        <v>108</v>
      </c>
      <c r="I1588" t="s">
        <v>84</v>
      </c>
      <c r="J1588" s="4">
        <v>0</v>
      </c>
    </row>
    <row r="1589" spans="1:10" x14ac:dyDescent="0.35">
      <c r="A1589" t="s">
        <v>18</v>
      </c>
      <c r="B1589" t="s">
        <v>39</v>
      </c>
      <c r="C1589" t="s">
        <v>91</v>
      </c>
      <c r="D1589" t="s">
        <v>81</v>
      </c>
      <c r="E1589" t="s">
        <v>106</v>
      </c>
      <c r="F1589" t="s">
        <v>73</v>
      </c>
      <c r="G1589" t="s">
        <v>74</v>
      </c>
      <c r="H1589" t="s">
        <v>108</v>
      </c>
      <c r="I1589" t="s">
        <v>84</v>
      </c>
      <c r="J1589" s="4">
        <v>0</v>
      </c>
    </row>
    <row r="1590" spans="1:10" x14ac:dyDescent="0.35">
      <c r="A1590" t="s">
        <v>18</v>
      </c>
      <c r="B1590" t="s">
        <v>39</v>
      </c>
      <c r="C1590" t="s">
        <v>92</v>
      </c>
      <c r="D1590" t="s">
        <v>81</v>
      </c>
      <c r="E1590" t="s">
        <v>118</v>
      </c>
      <c r="F1590" t="s">
        <v>73</v>
      </c>
      <c r="G1590" t="s">
        <v>74</v>
      </c>
      <c r="H1590" t="s">
        <v>108</v>
      </c>
      <c r="I1590" t="s">
        <v>84</v>
      </c>
      <c r="J1590" s="76" cm="1">
        <f t="array" ref="J1590:J1592">'SUT_EU27 total'!$K$89:$K$91</f>
        <v>3.3497344343163542E-3</v>
      </c>
    </row>
    <row r="1591" spans="1:10" x14ac:dyDescent="0.35">
      <c r="A1591" t="s">
        <v>18</v>
      </c>
      <c r="B1591" t="s">
        <v>39</v>
      </c>
      <c r="C1591" t="s">
        <v>92</v>
      </c>
      <c r="D1591" t="s">
        <v>81</v>
      </c>
      <c r="E1591" t="s">
        <v>119</v>
      </c>
      <c r="F1591" t="s">
        <v>73</v>
      </c>
      <c r="G1591" t="s">
        <v>74</v>
      </c>
      <c r="H1591" t="s">
        <v>108</v>
      </c>
      <c r="I1591" t="s">
        <v>84</v>
      </c>
      <c r="J1591" s="4">
        <v>6.0269323460777589E-3</v>
      </c>
    </row>
    <row r="1592" spans="1:10" x14ac:dyDescent="0.35">
      <c r="A1592" t="s">
        <v>18</v>
      </c>
      <c r="B1592" t="s">
        <v>39</v>
      </c>
      <c r="C1592" t="s">
        <v>92</v>
      </c>
      <c r="D1592" t="s">
        <v>81</v>
      </c>
      <c r="E1592" t="s">
        <v>120</v>
      </c>
      <c r="F1592" t="s">
        <v>73</v>
      </c>
      <c r="G1592" t="s">
        <v>74</v>
      </c>
      <c r="H1592" t="s">
        <v>108</v>
      </c>
      <c r="I1592" t="s">
        <v>84</v>
      </c>
      <c r="J1592" s="4">
        <v>4.0947713992508196E-3</v>
      </c>
    </row>
    <row r="1593" spans="1:10" x14ac:dyDescent="0.35">
      <c r="A1593" t="s">
        <v>18</v>
      </c>
      <c r="B1593" t="s">
        <v>39</v>
      </c>
      <c r="C1593" t="s">
        <v>92</v>
      </c>
      <c r="D1593" t="s">
        <v>81</v>
      </c>
      <c r="E1593" s="77" t="s">
        <v>121</v>
      </c>
      <c r="F1593" t="s">
        <v>73</v>
      </c>
      <c r="G1593" t="s">
        <v>74</v>
      </c>
      <c r="H1593" t="s">
        <v>108</v>
      </c>
      <c r="I1593" t="s">
        <v>84</v>
      </c>
      <c r="J1593" s="4">
        <f>'SUT_EU27 total'!$K$93</f>
        <v>0</v>
      </c>
    </row>
    <row r="1594" spans="1:10" x14ac:dyDescent="0.35">
      <c r="A1594" t="s">
        <v>18</v>
      </c>
      <c r="B1594" t="s">
        <v>39</v>
      </c>
      <c r="C1594" t="s">
        <v>92</v>
      </c>
      <c r="D1594" t="s">
        <v>81</v>
      </c>
      <c r="E1594" t="s">
        <v>117</v>
      </c>
      <c r="F1594" t="s">
        <v>73</v>
      </c>
      <c r="G1594" t="s">
        <v>74</v>
      </c>
      <c r="H1594" t="s">
        <v>108</v>
      </c>
      <c r="I1594" t="s">
        <v>84</v>
      </c>
      <c r="J1594" s="4">
        <f>'SUT_EU27 total'!$K$95</f>
        <v>0</v>
      </c>
    </row>
    <row r="1595" spans="1:10" x14ac:dyDescent="0.35">
      <c r="A1595" t="s">
        <v>18</v>
      </c>
      <c r="B1595" t="s">
        <v>39</v>
      </c>
      <c r="C1595" t="s">
        <v>92</v>
      </c>
      <c r="D1595" t="s">
        <v>81</v>
      </c>
      <c r="E1595" t="s">
        <v>122</v>
      </c>
      <c r="F1595" t="s">
        <v>73</v>
      </c>
      <c r="G1595" t="s">
        <v>74</v>
      </c>
      <c r="H1595" t="s">
        <v>108</v>
      </c>
      <c r="I1595" t="s">
        <v>84</v>
      </c>
      <c r="J1595" s="76">
        <f>'SUT_EU27 total'!$K$98</f>
        <v>0</v>
      </c>
    </row>
    <row r="1596" spans="1:10" x14ac:dyDescent="0.35">
      <c r="A1596" t="s">
        <v>18</v>
      </c>
      <c r="B1596" t="s">
        <v>39</v>
      </c>
      <c r="C1596" t="s">
        <v>92</v>
      </c>
      <c r="D1596" t="s">
        <v>81</v>
      </c>
      <c r="E1596" t="s">
        <v>101</v>
      </c>
      <c r="F1596" t="s">
        <v>73</v>
      </c>
      <c r="G1596" t="s">
        <v>74</v>
      </c>
      <c r="H1596" t="s">
        <v>108</v>
      </c>
      <c r="I1596" t="s">
        <v>84</v>
      </c>
      <c r="J1596" s="4" cm="1">
        <f t="array" ref="J1596:J1598">'SUT_EU27 total'!$K$100:$K$102</f>
        <v>0</v>
      </c>
    </row>
    <row r="1597" spans="1:10" x14ac:dyDescent="0.35">
      <c r="A1597" t="s">
        <v>18</v>
      </c>
      <c r="B1597" t="s">
        <v>39</v>
      </c>
      <c r="C1597" t="s">
        <v>92</v>
      </c>
      <c r="D1597" t="s">
        <v>81</v>
      </c>
      <c r="E1597" t="s">
        <v>104</v>
      </c>
      <c r="F1597" t="s">
        <v>73</v>
      </c>
      <c r="G1597" t="s">
        <v>74</v>
      </c>
      <c r="H1597" t="s">
        <v>108</v>
      </c>
      <c r="I1597" t="s">
        <v>84</v>
      </c>
      <c r="J1597" s="4">
        <v>0</v>
      </c>
    </row>
    <row r="1598" spans="1:10" x14ac:dyDescent="0.35">
      <c r="A1598" t="s">
        <v>18</v>
      </c>
      <c r="B1598" t="s">
        <v>39</v>
      </c>
      <c r="C1598" t="s">
        <v>92</v>
      </c>
      <c r="D1598" t="s">
        <v>81</v>
      </c>
      <c r="E1598" t="s">
        <v>106</v>
      </c>
      <c r="F1598" t="s">
        <v>73</v>
      </c>
      <c r="G1598" t="s">
        <v>74</v>
      </c>
      <c r="H1598" t="s">
        <v>108</v>
      </c>
      <c r="I1598" t="s">
        <v>84</v>
      </c>
      <c r="J1598" s="4">
        <v>0</v>
      </c>
    </row>
    <row r="1599" spans="1:10" x14ac:dyDescent="0.35">
      <c r="A1599" t="s">
        <v>18</v>
      </c>
      <c r="B1599" t="s">
        <v>39</v>
      </c>
      <c r="C1599" t="s">
        <v>93</v>
      </c>
      <c r="D1599" t="s">
        <v>81</v>
      </c>
      <c r="E1599" t="s">
        <v>118</v>
      </c>
      <c r="F1599" t="s">
        <v>73</v>
      </c>
      <c r="G1599" t="s">
        <v>74</v>
      </c>
      <c r="H1599" t="s">
        <v>108</v>
      </c>
      <c r="I1599" t="s">
        <v>84</v>
      </c>
      <c r="J1599" s="76" cm="1">
        <f t="array" ref="J1599:J1601">'SUT_EU27 total'!$K$106:$K$108</f>
        <v>1.4980971667560324E-2</v>
      </c>
    </row>
    <row r="1600" spans="1:10" x14ac:dyDescent="0.35">
      <c r="A1600" t="s">
        <v>18</v>
      </c>
      <c r="B1600" t="s">
        <v>39</v>
      </c>
      <c r="C1600" t="s">
        <v>93</v>
      </c>
      <c r="D1600" t="s">
        <v>81</v>
      </c>
      <c r="E1600" t="s">
        <v>119</v>
      </c>
      <c r="F1600" t="s">
        <v>73</v>
      </c>
      <c r="G1600" t="s">
        <v>74</v>
      </c>
      <c r="H1600" t="s">
        <v>108</v>
      </c>
      <c r="I1600" t="s">
        <v>84</v>
      </c>
      <c r="J1600" s="4">
        <v>4.3405477873147885E-2</v>
      </c>
    </row>
    <row r="1601" spans="1:10" x14ac:dyDescent="0.35">
      <c r="A1601" t="s">
        <v>18</v>
      </c>
      <c r="B1601" t="s">
        <v>39</v>
      </c>
      <c r="C1601" t="s">
        <v>93</v>
      </c>
      <c r="D1601" t="s">
        <v>81</v>
      </c>
      <c r="E1601" t="s">
        <v>120</v>
      </c>
      <c r="F1601" t="s">
        <v>73</v>
      </c>
      <c r="G1601" t="s">
        <v>74</v>
      </c>
      <c r="H1601" t="s">
        <v>108</v>
      </c>
      <c r="I1601" t="s">
        <v>84</v>
      </c>
      <c r="J1601" s="4">
        <v>2.1237093113781802E-2</v>
      </c>
    </row>
    <row r="1602" spans="1:10" x14ac:dyDescent="0.35">
      <c r="A1602" t="s">
        <v>18</v>
      </c>
      <c r="B1602" t="s">
        <v>39</v>
      </c>
      <c r="C1602" t="s">
        <v>93</v>
      </c>
      <c r="D1602" t="s">
        <v>81</v>
      </c>
      <c r="E1602" s="77" t="s">
        <v>121</v>
      </c>
      <c r="F1602" t="s">
        <v>73</v>
      </c>
      <c r="G1602" t="s">
        <v>74</v>
      </c>
      <c r="H1602" t="s">
        <v>108</v>
      </c>
      <c r="I1602" t="s">
        <v>84</v>
      </c>
      <c r="J1602" s="4">
        <f>'SUT_EU27 total'!$K$110</f>
        <v>0</v>
      </c>
    </row>
    <row r="1603" spans="1:10" x14ac:dyDescent="0.35">
      <c r="A1603" t="s">
        <v>18</v>
      </c>
      <c r="B1603" t="s">
        <v>39</v>
      </c>
      <c r="C1603" t="s">
        <v>93</v>
      </c>
      <c r="D1603" t="s">
        <v>81</v>
      </c>
      <c r="E1603" t="s">
        <v>117</v>
      </c>
      <c r="F1603" t="s">
        <v>73</v>
      </c>
      <c r="G1603" t="s">
        <v>74</v>
      </c>
      <c r="H1603" t="s">
        <v>108</v>
      </c>
      <c r="I1603" t="s">
        <v>84</v>
      </c>
      <c r="J1603" s="76">
        <f>'SUT_EU27 total'!$K$112</f>
        <v>1.1930984723440377E-3</v>
      </c>
    </row>
    <row r="1604" spans="1:10" x14ac:dyDescent="0.35">
      <c r="A1604" t="s">
        <v>18</v>
      </c>
      <c r="B1604" t="s">
        <v>39</v>
      </c>
      <c r="C1604" t="s">
        <v>93</v>
      </c>
      <c r="D1604" t="s">
        <v>81</v>
      </c>
      <c r="E1604" t="s">
        <v>122</v>
      </c>
      <c r="F1604" t="s">
        <v>73</v>
      </c>
      <c r="G1604" t="s">
        <v>74</v>
      </c>
      <c r="H1604" t="s">
        <v>108</v>
      </c>
      <c r="I1604" t="s">
        <v>84</v>
      </c>
      <c r="J1604" s="76">
        <f>'SUT_EU27 total'!$K$115</f>
        <v>8.7987828585017833E-3</v>
      </c>
    </row>
    <row r="1605" spans="1:10" x14ac:dyDescent="0.35">
      <c r="A1605" t="s">
        <v>18</v>
      </c>
      <c r="B1605" t="s">
        <v>39</v>
      </c>
      <c r="C1605" t="s">
        <v>93</v>
      </c>
      <c r="D1605" t="s">
        <v>81</v>
      </c>
      <c r="E1605" t="s">
        <v>101</v>
      </c>
      <c r="F1605" t="s">
        <v>73</v>
      </c>
      <c r="G1605" t="s">
        <v>74</v>
      </c>
      <c r="H1605" t="s">
        <v>108</v>
      </c>
      <c r="I1605" t="s">
        <v>84</v>
      </c>
      <c r="J1605" s="4" cm="1">
        <f t="array" ref="J1605:J1607">'SUT_EU27 total'!$K$117:$K$119</f>
        <v>0</v>
      </c>
    </row>
    <row r="1606" spans="1:10" x14ac:dyDescent="0.35">
      <c r="A1606" t="s">
        <v>18</v>
      </c>
      <c r="B1606" t="s">
        <v>39</v>
      </c>
      <c r="C1606" t="s">
        <v>93</v>
      </c>
      <c r="D1606" t="s">
        <v>81</v>
      </c>
      <c r="E1606" t="s">
        <v>104</v>
      </c>
      <c r="F1606" t="s">
        <v>73</v>
      </c>
      <c r="G1606" t="s">
        <v>74</v>
      </c>
      <c r="H1606" t="s">
        <v>108</v>
      </c>
      <c r="I1606" t="s">
        <v>84</v>
      </c>
      <c r="J1606" s="4">
        <v>0</v>
      </c>
    </row>
    <row r="1607" spans="1:10" x14ac:dyDescent="0.35">
      <c r="A1607" t="s">
        <v>18</v>
      </c>
      <c r="B1607" t="s">
        <v>39</v>
      </c>
      <c r="C1607" t="s">
        <v>93</v>
      </c>
      <c r="D1607" t="s">
        <v>81</v>
      </c>
      <c r="E1607" t="s">
        <v>106</v>
      </c>
      <c r="F1607" t="s">
        <v>73</v>
      </c>
      <c r="G1607" t="s">
        <v>74</v>
      </c>
      <c r="H1607" t="s">
        <v>108</v>
      </c>
      <c r="I1607" t="s">
        <v>84</v>
      </c>
      <c r="J1607" s="4">
        <v>0</v>
      </c>
    </row>
    <row r="1608" spans="1:10" x14ac:dyDescent="0.35">
      <c r="A1608" t="s">
        <v>18</v>
      </c>
      <c r="B1608" t="s">
        <v>39</v>
      </c>
      <c r="C1608" t="s">
        <v>73</v>
      </c>
      <c r="D1608" t="s">
        <v>81</v>
      </c>
      <c r="E1608" t="s">
        <v>119</v>
      </c>
      <c r="F1608" t="s">
        <v>73</v>
      </c>
      <c r="G1608" t="s">
        <v>74</v>
      </c>
      <c r="H1608" t="s">
        <v>123</v>
      </c>
      <c r="I1608" t="s">
        <v>84</v>
      </c>
      <c r="J1608" s="76">
        <f>'SUT_EU27 total'!$L$22</f>
        <v>1.9500181678711294E-2</v>
      </c>
    </row>
    <row r="1609" spans="1:10" x14ac:dyDescent="0.35">
      <c r="A1609" t="s">
        <v>18</v>
      </c>
      <c r="B1609" t="s">
        <v>39</v>
      </c>
      <c r="C1609" t="s">
        <v>73</v>
      </c>
      <c r="D1609" t="s">
        <v>81</v>
      </c>
      <c r="E1609" t="s">
        <v>124</v>
      </c>
      <c r="F1609" t="s">
        <v>73</v>
      </c>
      <c r="G1609" t="s">
        <v>74</v>
      </c>
      <c r="H1609" t="s">
        <v>123</v>
      </c>
      <c r="I1609" t="s">
        <v>84</v>
      </c>
      <c r="J1609" s="76" cm="1">
        <f t="array" ref="J1609:J1614">'SUT_EU27 total'!$L$26:$L$31</f>
        <v>1.9404661061278542E-3</v>
      </c>
    </row>
    <row r="1610" spans="1:10" x14ac:dyDescent="0.35">
      <c r="A1610" t="s">
        <v>18</v>
      </c>
      <c r="B1610" t="s">
        <v>39</v>
      </c>
      <c r="C1610" t="s">
        <v>73</v>
      </c>
      <c r="D1610" t="s">
        <v>81</v>
      </c>
      <c r="E1610" t="s">
        <v>117</v>
      </c>
      <c r="F1610" t="s">
        <v>73</v>
      </c>
      <c r="G1610" t="s">
        <v>74</v>
      </c>
      <c r="H1610" t="s">
        <v>123</v>
      </c>
      <c r="I1610" t="s">
        <v>84</v>
      </c>
      <c r="J1610" s="4">
        <v>5.8423628191201782E-3</v>
      </c>
    </row>
    <row r="1611" spans="1:10" x14ac:dyDescent="0.35">
      <c r="A1611" t="s">
        <v>18</v>
      </c>
      <c r="B1611" t="s">
        <v>39</v>
      </c>
      <c r="C1611" t="s">
        <v>73</v>
      </c>
      <c r="D1611" t="s">
        <v>81</v>
      </c>
      <c r="E1611" t="s">
        <v>82</v>
      </c>
      <c r="F1611" t="s">
        <v>73</v>
      </c>
      <c r="G1611" t="s">
        <v>74</v>
      </c>
      <c r="H1611" t="s">
        <v>123</v>
      </c>
      <c r="I1611" t="s">
        <v>84</v>
      </c>
      <c r="J1611" s="4">
        <v>4.8981233243967828E-4</v>
      </c>
    </row>
    <row r="1612" spans="1:10" x14ac:dyDescent="0.35">
      <c r="A1612" t="s">
        <v>18</v>
      </c>
      <c r="B1612" t="s">
        <v>39</v>
      </c>
      <c r="C1612" t="s">
        <v>73</v>
      </c>
      <c r="D1612" t="s">
        <v>81</v>
      </c>
      <c r="E1612" t="s">
        <v>125</v>
      </c>
      <c r="F1612" t="s">
        <v>73</v>
      </c>
      <c r="G1612" t="s">
        <v>74</v>
      </c>
      <c r="H1612" t="s">
        <v>123</v>
      </c>
      <c r="I1612" t="s">
        <v>84</v>
      </c>
      <c r="J1612" s="4">
        <v>2.4658201215687387E-3</v>
      </c>
    </row>
    <row r="1613" spans="1:10" x14ac:dyDescent="0.35">
      <c r="A1613" t="s">
        <v>18</v>
      </c>
      <c r="B1613" t="s">
        <v>39</v>
      </c>
      <c r="C1613" t="s">
        <v>73</v>
      </c>
      <c r="D1613" t="s">
        <v>81</v>
      </c>
      <c r="E1613" t="s">
        <v>122</v>
      </c>
      <c r="F1613" t="s">
        <v>73</v>
      </c>
      <c r="G1613" t="s">
        <v>74</v>
      </c>
      <c r="H1613" t="s">
        <v>123</v>
      </c>
      <c r="I1613" t="s">
        <v>84</v>
      </c>
      <c r="J1613" s="4">
        <v>4.922711058263972E-4</v>
      </c>
    </row>
    <row r="1614" spans="1:10" x14ac:dyDescent="0.35">
      <c r="A1614" t="s">
        <v>18</v>
      </c>
      <c r="B1614" t="s">
        <v>39</v>
      </c>
      <c r="C1614" t="s">
        <v>73</v>
      </c>
      <c r="D1614" t="s">
        <v>81</v>
      </c>
      <c r="E1614" t="s">
        <v>126</v>
      </c>
      <c r="F1614" t="s">
        <v>73</v>
      </c>
      <c r="G1614" t="s">
        <v>74</v>
      </c>
      <c r="H1614" t="s">
        <v>123</v>
      </c>
      <c r="I1614" t="s">
        <v>84</v>
      </c>
      <c r="J1614" s="4">
        <v>0</v>
      </c>
    </row>
    <row r="1615" spans="1:10" x14ac:dyDescent="0.35">
      <c r="A1615" t="s">
        <v>18</v>
      </c>
      <c r="B1615" t="s">
        <v>39</v>
      </c>
      <c r="C1615" t="s">
        <v>73</v>
      </c>
      <c r="D1615" t="s">
        <v>81</v>
      </c>
      <c r="E1615" t="s">
        <v>101</v>
      </c>
      <c r="F1615" t="s">
        <v>73</v>
      </c>
      <c r="G1615" t="s">
        <v>74</v>
      </c>
      <c r="H1615" t="s">
        <v>123</v>
      </c>
      <c r="I1615" t="s">
        <v>84</v>
      </c>
      <c r="J1615" s="471" cm="1">
        <f t="array" ref="J1615:J1617">Sensitivity!J92:J94</f>
        <v>1.4567715973119188E-3</v>
      </c>
    </row>
    <row r="1616" spans="1:10" x14ac:dyDescent="0.35">
      <c r="A1616" t="s">
        <v>18</v>
      </c>
      <c r="B1616" t="s">
        <v>39</v>
      </c>
      <c r="C1616" t="s">
        <v>73</v>
      </c>
      <c r="D1616" t="s">
        <v>81</v>
      </c>
      <c r="E1616" t="s">
        <v>104</v>
      </c>
      <c r="F1616" t="s">
        <v>73</v>
      </c>
      <c r="G1616" t="s">
        <v>74</v>
      </c>
      <c r="H1616" t="s">
        <v>123</v>
      </c>
      <c r="I1616" t="s">
        <v>84</v>
      </c>
      <c r="J1616" s="460">
        <v>8.3535480890614125E-4</v>
      </c>
    </row>
    <row r="1617" spans="1:10" x14ac:dyDescent="0.35">
      <c r="A1617" t="s">
        <v>18</v>
      </c>
      <c r="B1617" t="s">
        <v>39</v>
      </c>
      <c r="C1617" t="s">
        <v>73</v>
      </c>
      <c r="D1617" t="s">
        <v>81</v>
      </c>
      <c r="E1617" t="s">
        <v>106</v>
      </c>
      <c r="F1617" t="s">
        <v>73</v>
      </c>
      <c r="G1617" t="s">
        <v>74</v>
      </c>
      <c r="H1617" t="s">
        <v>123</v>
      </c>
      <c r="I1617" t="s">
        <v>84</v>
      </c>
      <c r="J1617" s="460">
        <v>1.2416531155153262E-3</v>
      </c>
    </row>
    <row r="1618" spans="1:10" x14ac:dyDescent="0.35">
      <c r="A1618" t="s">
        <v>18</v>
      </c>
      <c r="B1618" t="s">
        <v>39</v>
      </c>
      <c r="C1618" t="s">
        <v>88</v>
      </c>
      <c r="D1618" t="s">
        <v>81</v>
      </c>
      <c r="E1618" t="s">
        <v>119</v>
      </c>
      <c r="F1618" t="s">
        <v>73</v>
      </c>
      <c r="G1618" t="s">
        <v>74</v>
      </c>
      <c r="H1618" t="s">
        <v>123</v>
      </c>
      <c r="I1618" t="s">
        <v>84</v>
      </c>
      <c r="J1618" s="76">
        <f>'SUT_EU27 total'!$L$39</f>
        <v>0.16108845734587587</v>
      </c>
    </row>
    <row r="1619" spans="1:10" x14ac:dyDescent="0.35">
      <c r="A1619" t="s">
        <v>18</v>
      </c>
      <c r="B1619" t="s">
        <v>39</v>
      </c>
      <c r="C1619" t="s">
        <v>88</v>
      </c>
      <c r="D1619" t="s">
        <v>81</v>
      </c>
      <c r="E1619" t="s">
        <v>124</v>
      </c>
      <c r="F1619" t="s">
        <v>73</v>
      </c>
      <c r="G1619" t="s">
        <v>74</v>
      </c>
      <c r="H1619" t="s">
        <v>123</v>
      </c>
      <c r="I1619" t="s">
        <v>84</v>
      </c>
      <c r="J1619" s="76" cm="1">
        <f t="array" ref="J1619:J1627">'SUT_EU27 total'!$M$43:$M$51</f>
        <v>5.0558836222750793E-4</v>
      </c>
    </row>
    <row r="1620" spans="1:10" x14ac:dyDescent="0.35">
      <c r="A1620" t="s">
        <v>18</v>
      </c>
      <c r="B1620" t="s">
        <v>39</v>
      </c>
      <c r="C1620" t="s">
        <v>88</v>
      </c>
      <c r="D1620" t="s">
        <v>81</v>
      </c>
      <c r="E1620" t="s">
        <v>117</v>
      </c>
      <c r="F1620" t="s">
        <v>73</v>
      </c>
      <c r="G1620" t="s">
        <v>74</v>
      </c>
      <c r="H1620" t="s">
        <v>123</v>
      </c>
      <c r="I1620" t="s">
        <v>84</v>
      </c>
      <c r="J1620" s="4">
        <v>4.8514464106651379E-3</v>
      </c>
    </row>
    <row r="1621" spans="1:10" x14ac:dyDescent="0.35">
      <c r="A1621" t="s">
        <v>18</v>
      </c>
      <c r="B1621" t="s">
        <v>39</v>
      </c>
      <c r="C1621" t="s">
        <v>88</v>
      </c>
      <c r="D1621" t="s">
        <v>81</v>
      </c>
      <c r="E1621" t="s">
        <v>82</v>
      </c>
      <c r="F1621" t="s">
        <v>73</v>
      </c>
      <c r="G1621" t="s">
        <v>74</v>
      </c>
      <c r="H1621" t="s">
        <v>123</v>
      </c>
      <c r="I1621" t="s">
        <v>84</v>
      </c>
      <c r="J1621" s="4">
        <v>1.109418436791091E-2</v>
      </c>
    </row>
    <row r="1622" spans="1:10" x14ac:dyDescent="0.35">
      <c r="A1622" t="s">
        <v>18</v>
      </c>
      <c r="B1622" t="s">
        <v>39</v>
      </c>
      <c r="C1622" t="s">
        <v>88</v>
      </c>
      <c r="D1622" t="s">
        <v>81</v>
      </c>
      <c r="E1622" t="s">
        <v>125</v>
      </c>
      <c r="F1622" t="s">
        <v>73</v>
      </c>
      <c r="G1622" t="s">
        <v>74</v>
      </c>
      <c r="H1622" t="s">
        <v>123</v>
      </c>
      <c r="I1622" t="s">
        <v>84</v>
      </c>
      <c r="J1622" s="4">
        <v>2.890870278990243E-5</v>
      </c>
    </row>
    <row r="1623" spans="1:10" x14ac:dyDescent="0.35">
      <c r="A1623" t="s">
        <v>18</v>
      </c>
      <c r="B1623" t="s">
        <v>39</v>
      </c>
      <c r="C1623" t="s">
        <v>88</v>
      </c>
      <c r="D1623" t="s">
        <v>81</v>
      </c>
      <c r="E1623" t="s">
        <v>122</v>
      </c>
      <c r="F1623" t="s">
        <v>73</v>
      </c>
      <c r="G1623" t="s">
        <v>74</v>
      </c>
      <c r="H1623" t="s">
        <v>123</v>
      </c>
      <c r="I1623" t="s">
        <v>84</v>
      </c>
      <c r="J1623" s="4">
        <v>0</v>
      </c>
    </row>
    <row r="1624" spans="1:10" x14ac:dyDescent="0.35">
      <c r="A1624" t="s">
        <v>18</v>
      </c>
      <c r="B1624" t="s">
        <v>39</v>
      </c>
      <c r="C1624" t="s">
        <v>88</v>
      </c>
      <c r="D1624" t="s">
        <v>81</v>
      </c>
      <c r="E1624" t="s">
        <v>126</v>
      </c>
      <c r="F1624" t="s">
        <v>73</v>
      </c>
      <c r="G1624" t="s">
        <v>74</v>
      </c>
      <c r="H1624" t="s">
        <v>123</v>
      </c>
      <c r="I1624" t="s">
        <v>84</v>
      </c>
      <c r="J1624" s="4">
        <v>2.8514320987501449E-3</v>
      </c>
    </row>
    <row r="1625" spans="1:10" x14ac:dyDescent="0.35">
      <c r="A1625" t="s">
        <v>18</v>
      </c>
      <c r="B1625" t="s">
        <v>39</v>
      </c>
      <c r="C1625" t="s">
        <v>88</v>
      </c>
      <c r="D1625" t="s">
        <v>81</v>
      </c>
      <c r="E1625" t="s">
        <v>101</v>
      </c>
      <c r="F1625" t="s">
        <v>73</v>
      </c>
      <c r="G1625" t="s">
        <v>74</v>
      </c>
      <c r="H1625" t="s">
        <v>123</v>
      </c>
      <c r="I1625" t="s">
        <v>84</v>
      </c>
      <c r="J1625" s="4">
        <v>0</v>
      </c>
    </row>
    <row r="1626" spans="1:10" x14ac:dyDescent="0.35">
      <c r="A1626" t="s">
        <v>18</v>
      </c>
      <c r="B1626" t="s">
        <v>39</v>
      </c>
      <c r="C1626" t="s">
        <v>88</v>
      </c>
      <c r="D1626" t="s">
        <v>81</v>
      </c>
      <c r="E1626" t="s">
        <v>104</v>
      </c>
      <c r="F1626" t="s">
        <v>73</v>
      </c>
      <c r="G1626" t="s">
        <v>74</v>
      </c>
      <c r="H1626" t="s">
        <v>123</v>
      </c>
      <c r="I1626" t="s">
        <v>84</v>
      </c>
      <c r="J1626" s="4">
        <v>0</v>
      </c>
    </row>
    <row r="1627" spans="1:10" x14ac:dyDescent="0.35">
      <c r="A1627" t="s">
        <v>18</v>
      </c>
      <c r="B1627" t="s">
        <v>39</v>
      </c>
      <c r="C1627" t="s">
        <v>88</v>
      </c>
      <c r="D1627" t="s">
        <v>81</v>
      </c>
      <c r="E1627" t="s">
        <v>106</v>
      </c>
      <c r="F1627" t="s">
        <v>73</v>
      </c>
      <c r="G1627" t="s">
        <v>74</v>
      </c>
      <c r="H1627" t="s">
        <v>123</v>
      </c>
      <c r="I1627" t="s">
        <v>84</v>
      </c>
      <c r="J1627" s="4">
        <v>0</v>
      </c>
    </row>
    <row r="1628" spans="1:10" x14ac:dyDescent="0.35">
      <c r="A1628" t="s">
        <v>18</v>
      </c>
      <c r="B1628" t="s">
        <v>39</v>
      </c>
      <c r="C1628" t="s">
        <v>90</v>
      </c>
      <c r="D1628" t="s">
        <v>81</v>
      </c>
      <c r="E1628" t="s">
        <v>119</v>
      </c>
      <c r="F1628" t="s">
        <v>73</v>
      </c>
      <c r="G1628" t="s">
        <v>74</v>
      </c>
      <c r="H1628" t="s">
        <v>123</v>
      </c>
      <c r="I1628" t="s">
        <v>84</v>
      </c>
      <c r="J1628" s="76">
        <f>'SUT_EU27 total'!$M$56</f>
        <v>2.949251079979006E-2</v>
      </c>
    </row>
    <row r="1629" spans="1:10" x14ac:dyDescent="0.35">
      <c r="A1629" t="s">
        <v>18</v>
      </c>
      <c r="B1629" t="s">
        <v>39</v>
      </c>
      <c r="C1629" t="s">
        <v>90</v>
      </c>
      <c r="D1629" t="s">
        <v>81</v>
      </c>
      <c r="E1629" t="s">
        <v>124</v>
      </c>
      <c r="F1629" t="s">
        <v>73</v>
      </c>
      <c r="G1629" t="s">
        <v>74</v>
      </c>
      <c r="H1629" t="s">
        <v>123</v>
      </c>
      <c r="I1629" t="s">
        <v>84</v>
      </c>
      <c r="J1629" s="76" cm="1">
        <f t="array" ref="J1629:J1637">'SUT_EU27 total'!$L$60:$L$68</f>
        <v>2.1047443073980527E-5</v>
      </c>
    </row>
    <row r="1630" spans="1:10" x14ac:dyDescent="0.35">
      <c r="A1630" t="s">
        <v>18</v>
      </c>
      <c r="B1630" t="s">
        <v>39</v>
      </c>
      <c r="C1630" t="s">
        <v>90</v>
      </c>
      <c r="D1630" t="s">
        <v>81</v>
      </c>
      <c r="E1630" t="s">
        <v>117</v>
      </c>
      <c r="F1630" t="s">
        <v>73</v>
      </c>
      <c r="G1630" t="s">
        <v>74</v>
      </c>
      <c r="H1630" t="s">
        <v>123</v>
      </c>
      <c r="I1630" t="s">
        <v>84</v>
      </c>
      <c r="J1630" s="4">
        <v>5.8414015621608938E-3</v>
      </c>
    </row>
    <row r="1631" spans="1:10" x14ac:dyDescent="0.35">
      <c r="A1631" t="s">
        <v>18</v>
      </c>
      <c r="B1631" t="s">
        <v>39</v>
      </c>
      <c r="C1631" t="s">
        <v>90</v>
      </c>
      <c r="D1631" t="s">
        <v>81</v>
      </c>
      <c r="E1631" t="s">
        <v>82</v>
      </c>
      <c r="F1631" t="s">
        <v>73</v>
      </c>
      <c r="G1631" t="s">
        <v>74</v>
      </c>
      <c r="H1631" t="s">
        <v>123</v>
      </c>
      <c r="I1631" t="s">
        <v>84</v>
      </c>
      <c r="J1631" s="4">
        <v>1.4521138379047227E-3</v>
      </c>
    </row>
    <row r="1632" spans="1:10" x14ac:dyDescent="0.35">
      <c r="A1632" t="s">
        <v>18</v>
      </c>
      <c r="B1632" t="s">
        <v>39</v>
      </c>
      <c r="C1632" t="s">
        <v>90</v>
      </c>
      <c r="D1632" t="s">
        <v>81</v>
      </c>
      <c r="E1632" t="s">
        <v>125</v>
      </c>
      <c r="F1632" t="s">
        <v>73</v>
      </c>
      <c r="G1632" t="s">
        <v>74</v>
      </c>
      <c r="H1632" t="s">
        <v>123</v>
      </c>
      <c r="I1632" t="s">
        <v>84</v>
      </c>
      <c r="J1632" s="4">
        <v>6.5130870114372285E-5</v>
      </c>
    </row>
    <row r="1633" spans="1:10" x14ac:dyDescent="0.35">
      <c r="A1633" t="s">
        <v>18</v>
      </c>
      <c r="B1633" t="s">
        <v>39</v>
      </c>
      <c r="C1633" t="s">
        <v>90</v>
      </c>
      <c r="D1633" t="s">
        <v>81</v>
      </c>
      <c r="E1633" t="s">
        <v>122</v>
      </c>
      <c r="F1633" t="s">
        <v>73</v>
      </c>
      <c r="G1633" t="s">
        <v>74</v>
      </c>
      <c r="H1633" t="s">
        <v>123</v>
      </c>
      <c r="I1633" t="s">
        <v>84</v>
      </c>
      <c r="J1633" s="4">
        <v>7.9476813317479189E-4</v>
      </c>
    </row>
    <row r="1634" spans="1:10" x14ac:dyDescent="0.35">
      <c r="A1634" t="s">
        <v>18</v>
      </c>
      <c r="B1634" t="s">
        <v>39</v>
      </c>
      <c r="C1634" t="s">
        <v>90</v>
      </c>
      <c r="D1634" t="s">
        <v>81</v>
      </c>
      <c r="E1634" t="s">
        <v>126</v>
      </c>
      <c r="F1634" t="s">
        <v>73</v>
      </c>
      <c r="G1634" t="s">
        <v>74</v>
      </c>
      <c r="H1634" t="s">
        <v>123</v>
      </c>
      <c r="I1634" t="s">
        <v>84</v>
      </c>
      <c r="J1634" s="4">
        <v>8.4821183458843076E-3</v>
      </c>
    </row>
    <row r="1635" spans="1:10" x14ac:dyDescent="0.35">
      <c r="A1635" t="s">
        <v>18</v>
      </c>
      <c r="B1635" t="s">
        <v>39</v>
      </c>
      <c r="C1635" t="s">
        <v>90</v>
      </c>
      <c r="D1635" t="s">
        <v>81</v>
      </c>
      <c r="E1635" t="s">
        <v>101</v>
      </c>
      <c r="F1635" t="s">
        <v>73</v>
      </c>
      <c r="G1635" t="s">
        <v>74</v>
      </c>
      <c r="H1635" t="s">
        <v>123</v>
      </c>
      <c r="I1635" t="s">
        <v>84</v>
      </c>
      <c r="J1635" s="4">
        <v>0</v>
      </c>
    </row>
    <row r="1636" spans="1:10" x14ac:dyDescent="0.35">
      <c r="A1636" t="s">
        <v>18</v>
      </c>
      <c r="B1636" t="s">
        <v>39</v>
      </c>
      <c r="C1636" t="s">
        <v>90</v>
      </c>
      <c r="D1636" t="s">
        <v>81</v>
      </c>
      <c r="E1636" t="s">
        <v>104</v>
      </c>
      <c r="F1636" t="s">
        <v>73</v>
      </c>
      <c r="G1636" t="s">
        <v>74</v>
      </c>
      <c r="H1636" t="s">
        <v>123</v>
      </c>
      <c r="I1636" t="s">
        <v>84</v>
      </c>
      <c r="J1636" s="4">
        <v>0</v>
      </c>
    </row>
    <row r="1637" spans="1:10" x14ac:dyDescent="0.35">
      <c r="A1637" t="s">
        <v>18</v>
      </c>
      <c r="B1637" t="s">
        <v>39</v>
      </c>
      <c r="C1637" t="s">
        <v>90</v>
      </c>
      <c r="D1637" t="s">
        <v>81</v>
      </c>
      <c r="E1637" t="s">
        <v>106</v>
      </c>
      <c r="F1637" t="s">
        <v>73</v>
      </c>
      <c r="G1637" t="s">
        <v>74</v>
      </c>
      <c r="H1637" t="s">
        <v>123</v>
      </c>
      <c r="I1637" t="s">
        <v>84</v>
      </c>
      <c r="J1637" s="4">
        <v>0</v>
      </c>
    </row>
    <row r="1638" spans="1:10" x14ac:dyDescent="0.35">
      <c r="A1638" t="s">
        <v>18</v>
      </c>
      <c r="B1638" t="s">
        <v>39</v>
      </c>
      <c r="C1638" t="s">
        <v>91</v>
      </c>
      <c r="D1638" t="s">
        <v>81</v>
      </c>
      <c r="E1638" t="s">
        <v>119</v>
      </c>
      <c r="F1638" t="s">
        <v>73</v>
      </c>
      <c r="G1638" t="s">
        <v>74</v>
      </c>
      <c r="H1638" t="s">
        <v>123</v>
      </c>
      <c r="I1638" t="s">
        <v>84</v>
      </c>
      <c r="J1638" s="76">
        <f>'SUT_EU27 total'!$L$73</f>
        <v>0.15097500908393557</v>
      </c>
    </row>
    <row r="1639" spans="1:10" x14ac:dyDescent="0.35">
      <c r="A1639" t="s">
        <v>18</v>
      </c>
      <c r="B1639" t="s">
        <v>39</v>
      </c>
      <c r="C1639" t="s">
        <v>91</v>
      </c>
      <c r="D1639" t="s">
        <v>81</v>
      </c>
      <c r="E1639" t="s">
        <v>124</v>
      </c>
      <c r="F1639" t="s">
        <v>73</v>
      </c>
      <c r="G1639" t="s">
        <v>74</v>
      </c>
      <c r="H1639" t="s">
        <v>123</v>
      </c>
      <c r="I1639" t="s">
        <v>84</v>
      </c>
      <c r="J1639" s="76" cm="1">
        <f t="array" ref="J1639:J1647">'SUT_EU27 total'!$L$77:$L$85</f>
        <v>6.7728942399646885E-5</v>
      </c>
    </row>
    <row r="1640" spans="1:10" x14ac:dyDescent="0.35">
      <c r="A1640" t="s">
        <v>18</v>
      </c>
      <c r="B1640" t="s">
        <v>39</v>
      </c>
      <c r="C1640" t="s">
        <v>91</v>
      </c>
      <c r="D1640" t="s">
        <v>81</v>
      </c>
      <c r="E1640" t="s">
        <v>117</v>
      </c>
      <c r="F1640" t="s">
        <v>73</v>
      </c>
      <c r="G1640" t="s">
        <v>74</v>
      </c>
      <c r="H1640" t="s">
        <v>123</v>
      </c>
      <c r="I1640" t="s">
        <v>84</v>
      </c>
      <c r="J1640" s="4">
        <v>5.6233849622410815E-3</v>
      </c>
    </row>
    <row r="1641" spans="1:10" x14ac:dyDescent="0.35">
      <c r="A1641" t="s">
        <v>18</v>
      </c>
      <c r="B1641" t="s">
        <v>39</v>
      </c>
      <c r="C1641" t="s">
        <v>91</v>
      </c>
      <c r="D1641" t="s">
        <v>81</v>
      </c>
      <c r="E1641" t="s">
        <v>82</v>
      </c>
      <c r="F1641" t="s">
        <v>73</v>
      </c>
      <c r="G1641" t="s">
        <v>74</v>
      </c>
      <c r="H1641" t="s">
        <v>123</v>
      </c>
      <c r="I1641" t="s">
        <v>84</v>
      </c>
      <c r="J1641" s="4">
        <v>1.8068055269127655E-3</v>
      </c>
    </row>
    <row r="1642" spans="1:10" x14ac:dyDescent="0.35">
      <c r="A1642" t="s">
        <v>18</v>
      </c>
      <c r="B1642" t="s">
        <v>39</v>
      </c>
      <c r="C1642" t="s">
        <v>91</v>
      </c>
      <c r="D1642" t="s">
        <v>81</v>
      </c>
      <c r="E1642" t="s">
        <v>125</v>
      </c>
      <c r="F1642" t="s">
        <v>73</v>
      </c>
      <c r="G1642" t="s">
        <v>74</v>
      </c>
      <c r="H1642" t="s">
        <v>123</v>
      </c>
      <c r="I1642" t="s">
        <v>84</v>
      </c>
      <c r="J1642" s="4">
        <v>5.6492118062760293E-6</v>
      </c>
    </row>
    <row r="1643" spans="1:10" x14ac:dyDescent="0.35">
      <c r="A1643" t="s">
        <v>18</v>
      </c>
      <c r="B1643" t="s">
        <v>39</v>
      </c>
      <c r="C1643" t="s">
        <v>91</v>
      </c>
      <c r="D1643" t="s">
        <v>81</v>
      </c>
      <c r="E1643" t="s">
        <v>122</v>
      </c>
      <c r="F1643" t="s">
        <v>73</v>
      </c>
      <c r="G1643" t="s">
        <v>74</v>
      </c>
      <c r="H1643" t="s">
        <v>123</v>
      </c>
      <c r="I1643" t="s">
        <v>84</v>
      </c>
      <c r="J1643" s="4">
        <v>0</v>
      </c>
    </row>
    <row r="1644" spans="1:10" x14ac:dyDescent="0.35">
      <c r="A1644" t="s">
        <v>18</v>
      </c>
      <c r="B1644" t="s">
        <v>39</v>
      </c>
      <c r="C1644" t="s">
        <v>91</v>
      </c>
      <c r="D1644" t="s">
        <v>81</v>
      </c>
      <c r="E1644" t="s">
        <v>126</v>
      </c>
      <c r="F1644" t="s">
        <v>73</v>
      </c>
      <c r="G1644" t="s">
        <v>74</v>
      </c>
      <c r="H1644" t="s">
        <v>123</v>
      </c>
      <c r="I1644" t="s">
        <v>84</v>
      </c>
      <c r="J1644" s="4">
        <v>8.1093795177776388E-4</v>
      </c>
    </row>
    <row r="1645" spans="1:10" x14ac:dyDescent="0.35">
      <c r="A1645" t="s">
        <v>18</v>
      </c>
      <c r="B1645" t="s">
        <v>39</v>
      </c>
      <c r="C1645" t="s">
        <v>91</v>
      </c>
      <c r="D1645" t="s">
        <v>81</v>
      </c>
      <c r="E1645" t="s">
        <v>101</v>
      </c>
      <c r="F1645" t="s">
        <v>73</v>
      </c>
      <c r="G1645" t="s">
        <v>74</v>
      </c>
      <c r="H1645" t="s">
        <v>123</v>
      </c>
      <c r="I1645" t="s">
        <v>84</v>
      </c>
      <c r="J1645" s="4">
        <v>0</v>
      </c>
    </row>
    <row r="1646" spans="1:10" x14ac:dyDescent="0.35">
      <c r="A1646" t="s">
        <v>18</v>
      </c>
      <c r="B1646" t="s">
        <v>39</v>
      </c>
      <c r="C1646" t="s">
        <v>91</v>
      </c>
      <c r="D1646" t="s">
        <v>81</v>
      </c>
      <c r="E1646" t="s">
        <v>104</v>
      </c>
      <c r="F1646" t="s">
        <v>73</v>
      </c>
      <c r="G1646" t="s">
        <v>74</v>
      </c>
      <c r="H1646" t="s">
        <v>123</v>
      </c>
      <c r="I1646" t="s">
        <v>84</v>
      </c>
      <c r="J1646" s="4">
        <v>0</v>
      </c>
    </row>
    <row r="1647" spans="1:10" x14ac:dyDescent="0.35">
      <c r="A1647" t="s">
        <v>18</v>
      </c>
      <c r="B1647" t="s">
        <v>39</v>
      </c>
      <c r="C1647" t="s">
        <v>91</v>
      </c>
      <c r="D1647" t="s">
        <v>81</v>
      </c>
      <c r="E1647" t="s">
        <v>106</v>
      </c>
      <c r="F1647" t="s">
        <v>73</v>
      </c>
      <c r="G1647" t="s">
        <v>74</v>
      </c>
      <c r="H1647" t="s">
        <v>123</v>
      </c>
      <c r="I1647" t="s">
        <v>84</v>
      </c>
      <c r="J1647" s="4">
        <v>0</v>
      </c>
    </row>
    <row r="1648" spans="1:10" x14ac:dyDescent="0.35">
      <c r="A1648" t="s">
        <v>18</v>
      </c>
      <c r="B1648" t="s">
        <v>39</v>
      </c>
      <c r="C1648" t="s">
        <v>92</v>
      </c>
      <c r="D1648" t="s">
        <v>81</v>
      </c>
      <c r="E1648" t="s">
        <v>119</v>
      </c>
      <c r="F1648" t="s">
        <v>73</v>
      </c>
      <c r="G1648" t="s">
        <v>74</v>
      </c>
      <c r="H1648" t="s">
        <v>123</v>
      </c>
      <c r="I1648" t="s">
        <v>84</v>
      </c>
      <c r="J1648" s="76">
        <f>'SUT_EU27 total'!$L$90</f>
        <v>0.13886309499777949</v>
      </c>
    </row>
    <row r="1649" spans="1:10" x14ac:dyDescent="0.35">
      <c r="A1649" t="s">
        <v>18</v>
      </c>
      <c r="B1649" t="s">
        <v>39</v>
      </c>
      <c r="C1649" t="s">
        <v>92</v>
      </c>
      <c r="D1649" t="s">
        <v>81</v>
      </c>
      <c r="E1649" t="s">
        <v>124</v>
      </c>
      <c r="F1649" t="s">
        <v>73</v>
      </c>
      <c r="G1649" t="s">
        <v>74</v>
      </c>
      <c r="H1649" t="s">
        <v>123</v>
      </c>
      <c r="I1649" t="s">
        <v>84</v>
      </c>
      <c r="J1649" s="76" cm="1">
        <f t="array" ref="J1649:J1657">'SUT_EU27 total'!$L$94:$L$102</f>
        <v>9.2968907089085616E-5</v>
      </c>
    </row>
    <row r="1650" spans="1:10" x14ac:dyDescent="0.35">
      <c r="A1650" t="s">
        <v>18</v>
      </c>
      <c r="B1650" t="s">
        <v>39</v>
      </c>
      <c r="C1650" t="s">
        <v>92</v>
      </c>
      <c r="D1650" t="s">
        <v>81</v>
      </c>
      <c r="E1650" t="s">
        <v>117</v>
      </c>
      <c r="F1650" t="s">
        <v>73</v>
      </c>
      <c r="G1650" t="s">
        <v>74</v>
      </c>
      <c r="H1650" t="s">
        <v>123</v>
      </c>
      <c r="I1650" t="s">
        <v>84</v>
      </c>
      <c r="J1650" s="4">
        <v>0</v>
      </c>
    </row>
    <row r="1651" spans="1:10" x14ac:dyDescent="0.35">
      <c r="A1651" t="s">
        <v>18</v>
      </c>
      <c r="B1651" t="s">
        <v>39</v>
      </c>
      <c r="C1651" t="s">
        <v>92</v>
      </c>
      <c r="D1651" t="s">
        <v>81</v>
      </c>
      <c r="E1651" t="s">
        <v>82</v>
      </c>
      <c r="F1651" t="s">
        <v>73</v>
      </c>
      <c r="G1651" t="s">
        <v>74</v>
      </c>
      <c r="H1651" t="s">
        <v>123</v>
      </c>
      <c r="I1651" t="s">
        <v>84</v>
      </c>
      <c r="J1651" s="4">
        <v>1.1251392039595793E-3</v>
      </c>
    </row>
    <row r="1652" spans="1:10" x14ac:dyDescent="0.35">
      <c r="A1652" t="s">
        <v>18</v>
      </c>
      <c r="B1652" t="s">
        <v>39</v>
      </c>
      <c r="C1652" t="s">
        <v>92</v>
      </c>
      <c r="D1652" t="s">
        <v>81</v>
      </c>
      <c r="E1652" t="s">
        <v>125</v>
      </c>
      <c r="F1652" t="s">
        <v>73</v>
      </c>
      <c r="G1652" t="s">
        <v>74</v>
      </c>
      <c r="H1652" t="s">
        <v>123</v>
      </c>
      <c r="I1652" t="s">
        <v>84</v>
      </c>
      <c r="J1652" s="4">
        <v>5.0048817841215026E-7</v>
      </c>
    </row>
    <row r="1653" spans="1:10" x14ac:dyDescent="0.35">
      <c r="A1653" t="s">
        <v>18</v>
      </c>
      <c r="B1653" t="s">
        <v>39</v>
      </c>
      <c r="C1653" t="s">
        <v>92</v>
      </c>
      <c r="D1653" t="s">
        <v>81</v>
      </c>
      <c r="E1653" t="s">
        <v>122</v>
      </c>
      <c r="F1653" t="s">
        <v>73</v>
      </c>
      <c r="G1653" t="s">
        <v>74</v>
      </c>
      <c r="H1653" t="s">
        <v>123</v>
      </c>
      <c r="I1653" t="s">
        <v>84</v>
      </c>
      <c r="J1653" s="4">
        <v>0</v>
      </c>
    </row>
    <row r="1654" spans="1:10" x14ac:dyDescent="0.35">
      <c r="A1654" t="s">
        <v>18</v>
      </c>
      <c r="B1654" t="s">
        <v>39</v>
      </c>
      <c r="C1654" t="s">
        <v>92</v>
      </c>
      <c r="D1654" t="s">
        <v>81</v>
      </c>
      <c r="E1654" t="s">
        <v>126</v>
      </c>
      <c r="F1654" t="s">
        <v>73</v>
      </c>
      <c r="G1654" t="s">
        <v>74</v>
      </c>
      <c r="H1654" t="s">
        <v>123</v>
      </c>
      <c r="I1654" t="s">
        <v>84</v>
      </c>
      <c r="J1654" s="4">
        <v>0</v>
      </c>
    </row>
    <row r="1655" spans="1:10" x14ac:dyDescent="0.35">
      <c r="A1655" t="s">
        <v>18</v>
      </c>
      <c r="B1655" t="s">
        <v>39</v>
      </c>
      <c r="C1655" t="s">
        <v>92</v>
      </c>
      <c r="D1655" t="s">
        <v>81</v>
      </c>
      <c r="E1655" t="s">
        <v>101</v>
      </c>
      <c r="F1655" t="s">
        <v>73</v>
      </c>
      <c r="G1655" t="s">
        <v>74</v>
      </c>
      <c r="H1655" t="s">
        <v>123</v>
      </c>
      <c r="I1655" t="s">
        <v>84</v>
      </c>
      <c r="J1655" s="4">
        <v>0</v>
      </c>
    </row>
    <row r="1656" spans="1:10" x14ac:dyDescent="0.35">
      <c r="A1656" t="s">
        <v>18</v>
      </c>
      <c r="B1656" t="s">
        <v>39</v>
      </c>
      <c r="C1656" t="s">
        <v>92</v>
      </c>
      <c r="D1656" t="s">
        <v>81</v>
      </c>
      <c r="E1656" t="s">
        <v>104</v>
      </c>
      <c r="F1656" t="s">
        <v>73</v>
      </c>
      <c r="G1656" t="s">
        <v>74</v>
      </c>
      <c r="H1656" t="s">
        <v>123</v>
      </c>
      <c r="I1656" t="s">
        <v>84</v>
      </c>
      <c r="J1656" s="4">
        <v>0</v>
      </c>
    </row>
    <row r="1657" spans="1:10" x14ac:dyDescent="0.35">
      <c r="A1657" t="s">
        <v>18</v>
      </c>
      <c r="B1657" t="s">
        <v>39</v>
      </c>
      <c r="C1657" t="s">
        <v>92</v>
      </c>
      <c r="D1657" t="s">
        <v>81</v>
      </c>
      <c r="E1657" t="s">
        <v>106</v>
      </c>
      <c r="F1657" t="s">
        <v>73</v>
      </c>
      <c r="G1657" t="s">
        <v>74</v>
      </c>
      <c r="H1657" t="s">
        <v>123</v>
      </c>
      <c r="I1657" t="s">
        <v>84</v>
      </c>
      <c r="J1657" s="4">
        <v>0</v>
      </c>
    </row>
    <row r="1658" spans="1:10" x14ac:dyDescent="0.35">
      <c r="A1658" t="s">
        <v>18</v>
      </c>
      <c r="B1658" t="s">
        <v>39</v>
      </c>
      <c r="C1658" t="s">
        <v>93</v>
      </c>
      <c r="D1658" t="s">
        <v>81</v>
      </c>
      <c r="E1658" t="s">
        <v>119</v>
      </c>
      <c r="F1658" t="s">
        <v>73</v>
      </c>
      <c r="G1658" t="s">
        <v>74</v>
      </c>
      <c r="H1658" t="s">
        <v>123</v>
      </c>
      <c r="I1658" t="s">
        <v>84</v>
      </c>
      <c r="J1658" s="76">
        <f>'SUT_EU27 total'!$L$107</f>
        <v>1.0000807460939076</v>
      </c>
    </row>
    <row r="1659" spans="1:10" x14ac:dyDescent="0.35">
      <c r="A1659" t="s">
        <v>18</v>
      </c>
      <c r="B1659" t="s">
        <v>39</v>
      </c>
      <c r="C1659" t="s">
        <v>93</v>
      </c>
      <c r="D1659" t="s">
        <v>81</v>
      </c>
      <c r="E1659" t="s">
        <v>124</v>
      </c>
      <c r="F1659" t="s">
        <v>73</v>
      </c>
      <c r="G1659" t="s">
        <v>74</v>
      </c>
      <c r="H1659" t="s">
        <v>123</v>
      </c>
      <c r="I1659" t="s">
        <v>84</v>
      </c>
      <c r="J1659" s="76" cm="1">
        <f t="array" ref="J1659:J1667">'SUT_EU27 total'!$L$111:$L$119</f>
        <v>3.7052409430862396E-4</v>
      </c>
    </row>
    <row r="1660" spans="1:10" x14ac:dyDescent="0.35">
      <c r="A1660" t="s">
        <v>18</v>
      </c>
      <c r="B1660" t="s">
        <v>39</v>
      </c>
      <c r="C1660" t="s">
        <v>93</v>
      </c>
      <c r="D1660" t="s">
        <v>81</v>
      </c>
      <c r="E1660" t="s">
        <v>117</v>
      </c>
      <c r="F1660" t="s">
        <v>73</v>
      </c>
      <c r="G1660" t="s">
        <v>74</v>
      </c>
      <c r="H1660" t="s">
        <v>123</v>
      </c>
      <c r="I1660" t="s">
        <v>84</v>
      </c>
      <c r="J1660" s="4">
        <v>5.8414042458127093E-3</v>
      </c>
    </row>
    <row r="1661" spans="1:10" x14ac:dyDescent="0.35">
      <c r="A1661" t="s">
        <v>18</v>
      </c>
      <c r="B1661" t="s">
        <v>39</v>
      </c>
      <c r="C1661" t="s">
        <v>93</v>
      </c>
      <c r="D1661" t="s">
        <v>81</v>
      </c>
      <c r="E1661" t="s">
        <v>82</v>
      </c>
      <c r="F1661" t="s">
        <v>73</v>
      </c>
      <c r="G1661" t="s">
        <v>74</v>
      </c>
      <c r="H1661" t="s">
        <v>123</v>
      </c>
      <c r="I1661" t="s">
        <v>84</v>
      </c>
      <c r="J1661" s="4">
        <v>5.0319447308723453E-3</v>
      </c>
    </row>
    <row r="1662" spans="1:10" x14ac:dyDescent="0.35">
      <c r="A1662" t="s">
        <v>18</v>
      </c>
      <c r="B1662" t="s">
        <v>39</v>
      </c>
      <c r="C1662" t="s">
        <v>93</v>
      </c>
      <c r="D1662" t="s">
        <v>81</v>
      </c>
      <c r="E1662" t="s">
        <v>125</v>
      </c>
      <c r="F1662" t="s">
        <v>73</v>
      </c>
      <c r="G1662" t="s">
        <v>74</v>
      </c>
      <c r="H1662" t="s">
        <v>123</v>
      </c>
      <c r="I1662" t="s">
        <v>84</v>
      </c>
      <c r="J1662" s="4">
        <v>4.336096678710085E-4</v>
      </c>
    </row>
    <row r="1663" spans="1:10" x14ac:dyDescent="0.35">
      <c r="A1663" t="s">
        <v>18</v>
      </c>
      <c r="B1663" t="s">
        <v>39</v>
      </c>
      <c r="C1663" t="s">
        <v>93</v>
      </c>
      <c r="D1663" t="s">
        <v>81</v>
      </c>
      <c r="E1663" t="s">
        <v>122</v>
      </c>
      <c r="F1663" t="s">
        <v>73</v>
      </c>
      <c r="G1663" t="s">
        <v>74</v>
      </c>
      <c r="H1663" t="s">
        <v>123</v>
      </c>
      <c r="I1663" t="s">
        <v>84</v>
      </c>
      <c r="J1663" s="4">
        <v>2.7129607609988112E-3</v>
      </c>
    </row>
    <row r="1664" spans="1:10" x14ac:dyDescent="0.35">
      <c r="A1664" t="s">
        <v>18</v>
      </c>
      <c r="B1664" t="s">
        <v>39</v>
      </c>
      <c r="C1664" t="s">
        <v>93</v>
      </c>
      <c r="D1664" t="s">
        <v>81</v>
      </c>
      <c r="E1664" t="s">
        <v>126</v>
      </c>
      <c r="F1664" t="s">
        <v>73</v>
      </c>
      <c r="G1664" t="s">
        <v>74</v>
      </c>
      <c r="H1664" t="s">
        <v>123</v>
      </c>
      <c r="I1664" t="s">
        <v>84</v>
      </c>
      <c r="J1664" s="4">
        <v>4.3855511603587784E-2</v>
      </c>
    </row>
    <row r="1665" spans="1:10" x14ac:dyDescent="0.35">
      <c r="A1665" t="s">
        <v>18</v>
      </c>
      <c r="B1665" t="s">
        <v>39</v>
      </c>
      <c r="C1665" t="s">
        <v>93</v>
      </c>
      <c r="D1665" t="s">
        <v>81</v>
      </c>
      <c r="E1665" t="s">
        <v>101</v>
      </c>
      <c r="F1665" t="s">
        <v>73</v>
      </c>
      <c r="G1665" t="s">
        <v>74</v>
      </c>
      <c r="H1665" t="s">
        <v>123</v>
      </c>
      <c r="I1665" t="s">
        <v>84</v>
      </c>
      <c r="J1665" s="4">
        <v>0</v>
      </c>
    </row>
    <row r="1666" spans="1:10" x14ac:dyDescent="0.35">
      <c r="A1666" t="s">
        <v>18</v>
      </c>
      <c r="B1666" t="s">
        <v>39</v>
      </c>
      <c r="C1666" t="s">
        <v>93</v>
      </c>
      <c r="D1666" t="s">
        <v>81</v>
      </c>
      <c r="E1666" t="s">
        <v>104</v>
      </c>
      <c r="F1666" t="s">
        <v>73</v>
      </c>
      <c r="G1666" t="s">
        <v>74</v>
      </c>
      <c r="H1666" t="s">
        <v>123</v>
      </c>
      <c r="I1666" t="s">
        <v>84</v>
      </c>
      <c r="J1666" s="4">
        <v>0</v>
      </c>
    </row>
    <row r="1667" spans="1:10" x14ac:dyDescent="0.35">
      <c r="A1667" t="s">
        <v>18</v>
      </c>
      <c r="B1667" t="s">
        <v>39</v>
      </c>
      <c r="C1667" t="s">
        <v>93</v>
      </c>
      <c r="D1667" t="s">
        <v>81</v>
      </c>
      <c r="E1667" t="s">
        <v>106</v>
      </c>
      <c r="F1667" t="s">
        <v>73</v>
      </c>
      <c r="G1667" t="s">
        <v>74</v>
      </c>
      <c r="H1667" t="s">
        <v>123</v>
      </c>
      <c r="I1667" t="s">
        <v>84</v>
      </c>
      <c r="J1667" s="4">
        <v>0</v>
      </c>
    </row>
    <row r="1668" spans="1:10" x14ac:dyDescent="0.35">
      <c r="A1668" t="s">
        <v>18</v>
      </c>
      <c r="B1668" t="s">
        <v>39</v>
      </c>
      <c r="C1668" t="s">
        <v>73</v>
      </c>
      <c r="D1668" t="s">
        <v>81</v>
      </c>
      <c r="E1668" t="s">
        <v>119</v>
      </c>
      <c r="F1668" t="s">
        <v>73</v>
      </c>
      <c r="G1668" t="s">
        <v>74</v>
      </c>
      <c r="H1668" t="s">
        <v>127</v>
      </c>
      <c r="I1668" t="s">
        <v>84</v>
      </c>
      <c r="J1668" s="76">
        <f>'SUT_EU27 total'!$M$22</f>
        <v>1.9500181678711294E-2</v>
      </c>
    </row>
    <row r="1669" spans="1:10" x14ac:dyDescent="0.35">
      <c r="A1669" t="s">
        <v>18</v>
      </c>
      <c r="B1669" t="s">
        <v>39</v>
      </c>
      <c r="C1669" t="s">
        <v>73</v>
      </c>
      <c r="D1669" t="s">
        <v>81</v>
      </c>
      <c r="E1669" t="s">
        <v>124</v>
      </c>
      <c r="F1669" t="s">
        <v>73</v>
      </c>
      <c r="G1669" t="s">
        <v>74</v>
      </c>
      <c r="H1669" t="s">
        <v>127</v>
      </c>
      <c r="I1669" t="s">
        <v>84</v>
      </c>
      <c r="J1669" s="76" cm="1">
        <f t="array" ref="J1669:J1674">'SUT_EU27 total'!$M$26:$M$31</f>
        <v>1.9404661061278542E-3</v>
      </c>
    </row>
    <row r="1670" spans="1:10" x14ac:dyDescent="0.35">
      <c r="A1670" t="s">
        <v>18</v>
      </c>
      <c r="B1670" t="s">
        <v>39</v>
      </c>
      <c r="C1670" t="s">
        <v>73</v>
      </c>
      <c r="D1670" t="s">
        <v>81</v>
      </c>
      <c r="E1670" t="s">
        <v>117</v>
      </c>
      <c r="F1670" t="s">
        <v>73</v>
      </c>
      <c r="G1670" t="s">
        <v>74</v>
      </c>
      <c r="H1670" t="s">
        <v>127</v>
      </c>
      <c r="I1670" t="s">
        <v>84</v>
      </c>
      <c r="J1670" s="4">
        <v>5.8423628191201782E-3</v>
      </c>
    </row>
    <row r="1671" spans="1:10" x14ac:dyDescent="0.35">
      <c r="A1671" t="s">
        <v>18</v>
      </c>
      <c r="B1671" t="s">
        <v>39</v>
      </c>
      <c r="C1671" t="s">
        <v>73</v>
      </c>
      <c r="D1671" t="s">
        <v>81</v>
      </c>
      <c r="E1671" t="s">
        <v>82</v>
      </c>
      <c r="F1671" t="s">
        <v>73</v>
      </c>
      <c r="G1671" t="s">
        <v>74</v>
      </c>
      <c r="H1671" t="s">
        <v>127</v>
      </c>
      <c r="I1671" t="s">
        <v>84</v>
      </c>
      <c r="J1671" s="4">
        <v>4.8981233243967828E-4</v>
      </c>
    </row>
    <row r="1672" spans="1:10" x14ac:dyDescent="0.35">
      <c r="A1672" t="s">
        <v>18</v>
      </c>
      <c r="B1672" t="s">
        <v>39</v>
      </c>
      <c r="C1672" t="s">
        <v>73</v>
      </c>
      <c r="D1672" t="s">
        <v>81</v>
      </c>
      <c r="E1672" t="s">
        <v>125</v>
      </c>
      <c r="F1672" t="s">
        <v>73</v>
      </c>
      <c r="G1672" t="s">
        <v>74</v>
      </c>
      <c r="H1672" t="s">
        <v>127</v>
      </c>
      <c r="I1672" t="s">
        <v>84</v>
      </c>
      <c r="J1672" s="4">
        <v>2.4658201215687387E-3</v>
      </c>
    </row>
    <row r="1673" spans="1:10" x14ac:dyDescent="0.35">
      <c r="A1673" t="s">
        <v>18</v>
      </c>
      <c r="B1673" t="s">
        <v>39</v>
      </c>
      <c r="C1673" t="s">
        <v>73</v>
      </c>
      <c r="D1673" t="s">
        <v>81</v>
      </c>
      <c r="E1673" t="s">
        <v>122</v>
      </c>
      <c r="F1673" t="s">
        <v>73</v>
      </c>
      <c r="G1673" t="s">
        <v>74</v>
      </c>
      <c r="H1673" t="s">
        <v>127</v>
      </c>
      <c r="I1673" t="s">
        <v>84</v>
      </c>
      <c r="J1673" s="4">
        <v>4.922711058263972E-4</v>
      </c>
    </row>
    <row r="1674" spans="1:10" x14ac:dyDescent="0.35">
      <c r="A1674" t="s">
        <v>18</v>
      </c>
      <c r="B1674" t="s">
        <v>39</v>
      </c>
      <c r="C1674" t="s">
        <v>73</v>
      </c>
      <c r="D1674" t="s">
        <v>81</v>
      </c>
      <c r="E1674" t="s">
        <v>126</v>
      </c>
      <c r="F1674" t="s">
        <v>73</v>
      </c>
      <c r="G1674" t="s">
        <v>74</v>
      </c>
      <c r="H1674" t="s">
        <v>127</v>
      </c>
      <c r="I1674" t="s">
        <v>84</v>
      </c>
      <c r="J1674" s="4">
        <v>0</v>
      </c>
    </row>
    <row r="1675" spans="1:10" x14ac:dyDescent="0.35">
      <c r="A1675" t="s">
        <v>18</v>
      </c>
      <c r="B1675" t="s">
        <v>39</v>
      </c>
      <c r="C1675" t="s">
        <v>73</v>
      </c>
      <c r="D1675" t="s">
        <v>81</v>
      </c>
      <c r="E1675" t="s">
        <v>101</v>
      </c>
      <c r="F1675" t="s">
        <v>73</v>
      </c>
      <c r="G1675" t="s">
        <v>74</v>
      </c>
      <c r="H1675" t="s">
        <v>127</v>
      </c>
      <c r="I1675" t="s">
        <v>84</v>
      </c>
      <c r="J1675" s="471" cm="1">
        <f t="array" ref="J1675:J1677">Sensitivity!J95:J97</f>
        <v>1.4077232662383567E-3</v>
      </c>
    </row>
    <row r="1676" spans="1:10" x14ac:dyDescent="0.35">
      <c r="A1676" t="s">
        <v>18</v>
      </c>
      <c r="B1676" t="s">
        <v>39</v>
      </c>
      <c r="C1676" t="s">
        <v>73</v>
      </c>
      <c r="D1676" t="s">
        <v>81</v>
      </c>
      <c r="E1676" t="s">
        <v>104</v>
      </c>
      <c r="F1676" t="s">
        <v>73</v>
      </c>
      <c r="G1676" t="s">
        <v>74</v>
      </c>
      <c r="H1676" t="s">
        <v>127</v>
      </c>
      <c r="I1676" t="s">
        <v>84</v>
      </c>
      <c r="J1676" s="460">
        <v>8.0722908260373052E-4</v>
      </c>
    </row>
    <row r="1677" spans="1:10" x14ac:dyDescent="0.35">
      <c r="A1677" t="s">
        <v>18</v>
      </c>
      <c r="B1677" t="s">
        <v>39</v>
      </c>
      <c r="C1677" t="s">
        <v>73</v>
      </c>
      <c r="D1677" t="s">
        <v>81</v>
      </c>
      <c r="E1677" t="s">
        <v>106</v>
      </c>
      <c r="F1677" t="s">
        <v>73</v>
      </c>
      <c r="G1677" t="s">
        <v>74</v>
      </c>
      <c r="H1677" t="s">
        <v>127</v>
      </c>
      <c r="I1677" t="s">
        <v>84</v>
      </c>
      <c r="J1677" s="460">
        <v>1.1998476511579127E-3</v>
      </c>
    </row>
    <row r="1678" spans="1:10" x14ac:dyDescent="0.35">
      <c r="A1678" t="s">
        <v>18</v>
      </c>
      <c r="B1678" t="s">
        <v>39</v>
      </c>
      <c r="C1678" t="s">
        <v>88</v>
      </c>
      <c r="D1678" t="s">
        <v>81</v>
      </c>
      <c r="E1678" t="s">
        <v>119</v>
      </c>
      <c r="F1678" t="s">
        <v>73</v>
      </c>
      <c r="G1678" t="s">
        <v>74</v>
      </c>
      <c r="H1678" t="s">
        <v>127</v>
      </c>
      <c r="I1678" t="s">
        <v>84</v>
      </c>
      <c r="J1678" s="76">
        <f>'SUT_EU27 total'!$M$39</f>
        <v>0.16108845734587587</v>
      </c>
    </row>
    <row r="1679" spans="1:10" x14ac:dyDescent="0.35">
      <c r="A1679" t="s">
        <v>18</v>
      </c>
      <c r="B1679" t="s">
        <v>39</v>
      </c>
      <c r="C1679" t="s">
        <v>88</v>
      </c>
      <c r="D1679" t="s">
        <v>81</v>
      </c>
      <c r="E1679" t="s">
        <v>124</v>
      </c>
      <c r="F1679" t="s">
        <v>73</v>
      </c>
      <c r="G1679" t="s">
        <v>74</v>
      </c>
      <c r="H1679" t="s">
        <v>127</v>
      </c>
      <c r="I1679" t="s">
        <v>84</v>
      </c>
      <c r="J1679" s="76" cm="1">
        <f t="array" ref="J1679:J1687">'SUT_EU27 total'!$L$43:$L$51</f>
        <v>5.0558836222750793E-4</v>
      </c>
    </row>
    <row r="1680" spans="1:10" x14ac:dyDescent="0.35">
      <c r="A1680" t="s">
        <v>18</v>
      </c>
      <c r="B1680" t="s">
        <v>39</v>
      </c>
      <c r="C1680" t="s">
        <v>88</v>
      </c>
      <c r="D1680" t="s">
        <v>81</v>
      </c>
      <c r="E1680" t="s">
        <v>117</v>
      </c>
      <c r="F1680" t="s">
        <v>73</v>
      </c>
      <c r="G1680" t="s">
        <v>74</v>
      </c>
      <c r="H1680" t="s">
        <v>127</v>
      </c>
      <c r="I1680" t="s">
        <v>84</v>
      </c>
      <c r="J1680" s="4">
        <v>4.8514464106651379E-3</v>
      </c>
    </row>
    <row r="1681" spans="1:10" x14ac:dyDescent="0.35">
      <c r="A1681" t="s">
        <v>18</v>
      </c>
      <c r="B1681" t="s">
        <v>39</v>
      </c>
      <c r="C1681" t="s">
        <v>88</v>
      </c>
      <c r="D1681" t="s">
        <v>81</v>
      </c>
      <c r="E1681" t="s">
        <v>82</v>
      </c>
      <c r="F1681" t="s">
        <v>73</v>
      </c>
      <c r="G1681" t="s">
        <v>74</v>
      </c>
      <c r="H1681" t="s">
        <v>127</v>
      </c>
      <c r="I1681" t="s">
        <v>84</v>
      </c>
      <c r="J1681" s="4">
        <v>1.109418436791091E-2</v>
      </c>
    </row>
    <row r="1682" spans="1:10" x14ac:dyDescent="0.35">
      <c r="A1682" t="s">
        <v>18</v>
      </c>
      <c r="B1682" t="s">
        <v>39</v>
      </c>
      <c r="C1682" t="s">
        <v>88</v>
      </c>
      <c r="D1682" t="s">
        <v>81</v>
      </c>
      <c r="E1682" t="s">
        <v>125</v>
      </c>
      <c r="F1682" t="s">
        <v>73</v>
      </c>
      <c r="G1682" t="s">
        <v>74</v>
      </c>
      <c r="H1682" t="s">
        <v>127</v>
      </c>
      <c r="I1682" t="s">
        <v>84</v>
      </c>
      <c r="J1682" s="4">
        <v>2.890870278990243E-5</v>
      </c>
    </row>
    <row r="1683" spans="1:10" x14ac:dyDescent="0.35">
      <c r="A1683" t="s">
        <v>18</v>
      </c>
      <c r="B1683" t="s">
        <v>39</v>
      </c>
      <c r="C1683" t="s">
        <v>88</v>
      </c>
      <c r="D1683" t="s">
        <v>81</v>
      </c>
      <c r="E1683" t="s">
        <v>122</v>
      </c>
      <c r="F1683" t="s">
        <v>73</v>
      </c>
      <c r="G1683" t="s">
        <v>74</v>
      </c>
      <c r="H1683" t="s">
        <v>127</v>
      </c>
      <c r="I1683" t="s">
        <v>84</v>
      </c>
      <c r="J1683" s="4">
        <v>0</v>
      </c>
    </row>
    <row r="1684" spans="1:10" x14ac:dyDescent="0.35">
      <c r="A1684" t="s">
        <v>18</v>
      </c>
      <c r="B1684" t="s">
        <v>39</v>
      </c>
      <c r="C1684" t="s">
        <v>88</v>
      </c>
      <c r="D1684" t="s">
        <v>81</v>
      </c>
      <c r="E1684" t="s">
        <v>126</v>
      </c>
      <c r="F1684" t="s">
        <v>73</v>
      </c>
      <c r="G1684" t="s">
        <v>74</v>
      </c>
      <c r="H1684" t="s">
        <v>127</v>
      </c>
      <c r="I1684" t="s">
        <v>84</v>
      </c>
      <c r="J1684" s="4">
        <v>2.8514320987501449E-3</v>
      </c>
    </row>
    <row r="1685" spans="1:10" x14ac:dyDescent="0.35">
      <c r="A1685" t="s">
        <v>18</v>
      </c>
      <c r="B1685" t="s">
        <v>39</v>
      </c>
      <c r="C1685" t="s">
        <v>88</v>
      </c>
      <c r="D1685" t="s">
        <v>81</v>
      </c>
      <c r="E1685" t="s">
        <v>101</v>
      </c>
      <c r="F1685" t="s">
        <v>73</v>
      </c>
      <c r="G1685" t="s">
        <v>74</v>
      </c>
      <c r="H1685" t="s">
        <v>127</v>
      </c>
      <c r="I1685" t="s">
        <v>84</v>
      </c>
      <c r="J1685" s="4">
        <v>0</v>
      </c>
    </row>
    <row r="1686" spans="1:10" x14ac:dyDescent="0.35">
      <c r="A1686" t="s">
        <v>18</v>
      </c>
      <c r="B1686" t="s">
        <v>39</v>
      </c>
      <c r="C1686" t="s">
        <v>88</v>
      </c>
      <c r="D1686" t="s">
        <v>81</v>
      </c>
      <c r="E1686" t="s">
        <v>104</v>
      </c>
      <c r="F1686" t="s">
        <v>73</v>
      </c>
      <c r="G1686" t="s">
        <v>74</v>
      </c>
      <c r="H1686" t="s">
        <v>127</v>
      </c>
      <c r="I1686" t="s">
        <v>84</v>
      </c>
      <c r="J1686" s="4">
        <v>0</v>
      </c>
    </row>
    <row r="1687" spans="1:10" x14ac:dyDescent="0.35">
      <c r="A1687" t="s">
        <v>18</v>
      </c>
      <c r="B1687" t="s">
        <v>39</v>
      </c>
      <c r="C1687" t="s">
        <v>88</v>
      </c>
      <c r="D1687" t="s">
        <v>81</v>
      </c>
      <c r="E1687" t="s">
        <v>106</v>
      </c>
      <c r="F1687" t="s">
        <v>73</v>
      </c>
      <c r="G1687" t="s">
        <v>74</v>
      </c>
      <c r="H1687" t="s">
        <v>127</v>
      </c>
      <c r="I1687" t="s">
        <v>84</v>
      </c>
      <c r="J1687" s="4">
        <v>0</v>
      </c>
    </row>
    <row r="1688" spans="1:10" x14ac:dyDescent="0.35">
      <c r="A1688" t="s">
        <v>18</v>
      </c>
      <c r="B1688" t="s">
        <v>39</v>
      </c>
      <c r="C1688" t="s">
        <v>90</v>
      </c>
      <c r="D1688" t="s">
        <v>81</v>
      </c>
      <c r="E1688" t="s">
        <v>119</v>
      </c>
      <c r="F1688" t="s">
        <v>73</v>
      </c>
      <c r="G1688" t="s">
        <v>74</v>
      </c>
      <c r="H1688" t="s">
        <v>127</v>
      </c>
      <c r="I1688" t="s">
        <v>84</v>
      </c>
      <c r="J1688" s="76">
        <f>'SUT_EU27 total'!$M$56</f>
        <v>2.949251079979006E-2</v>
      </c>
    </row>
    <row r="1689" spans="1:10" x14ac:dyDescent="0.35">
      <c r="A1689" t="s">
        <v>18</v>
      </c>
      <c r="B1689" t="s">
        <v>39</v>
      </c>
      <c r="C1689" t="s">
        <v>90</v>
      </c>
      <c r="D1689" t="s">
        <v>81</v>
      </c>
      <c r="E1689" t="s">
        <v>124</v>
      </c>
      <c r="F1689" t="s">
        <v>73</v>
      </c>
      <c r="G1689" t="s">
        <v>74</v>
      </c>
      <c r="H1689" t="s">
        <v>127</v>
      </c>
      <c r="I1689" t="s">
        <v>84</v>
      </c>
      <c r="J1689" s="76" cm="1">
        <f t="array" ref="J1689:J1697">'SUT_EU27 total'!$M$60:$M$68</f>
        <v>2.1047443073980527E-5</v>
      </c>
    </row>
    <row r="1690" spans="1:10" x14ac:dyDescent="0.35">
      <c r="A1690" t="s">
        <v>18</v>
      </c>
      <c r="B1690" t="s">
        <v>39</v>
      </c>
      <c r="C1690" t="s">
        <v>90</v>
      </c>
      <c r="D1690" t="s">
        <v>81</v>
      </c>
      <c r="E1690" t="s">
        <v>117</v>
      </c>
      <c r="F1690" t="s">
        <v>73</v>
      </c>
      <c r="G1690" t="s">
        <v>74</v>
      </c>
      <c r="H1690" t="s">
        <v>127</v>
      </c>
      <c r="I1690" t="s">
        <v>84</v>
      </c>
      <c r="J1690" s="4">
        <v>5.8414015621608938E-3</v>
      </c>
    </row>
    <row r="1691" spans="1:10" x14ac:dyDescent="0.35">
      <c r="A1691" t="s">
        <v>18</v>
      </c>
      <c r="B1691" t="s">
        <v>39</v>
      </c>
      <c r="C1691" t="s">
        <v>90</v>
      </c>
      <c r="D1691" t="s">
        <v>81</v>
      </c>
      <c r="E1691" t="s">
        <v>82</v>
      </c>
      <c r="F1691" t="s">
        <v>73</v>
      </c>
      <c r="G1691" t="s">
        <v>74</v>
      </c>
      <c r="H1691" t="s">
        <v>127</v>
      </c>
      <c r="I1691" t="s">
        <v>84</v>
      </c>
      <c r="J1691" s="4">
        <v>1.4521138379047227E-3</v>
      </c>
    </row>
    <row r="1692" spans="1:10" x14ac:dyDescent="0.35">
      <c r="A1692" t="s">
        <v>18</v>
      </c>
      <c r="B1692" t="s">
        <v>39</v>
      </c>
      <c r="C1692" t="s">
        <v>90</v>
      </c>
      <c r="D1692" t="s">
        <v>81</v>
      </c>
      <c r="E1692" t="s">
        <v>125</v>
      </c>
      <c r="F1692" t="s">
        <v>73</v>
      </c>
      <c r="G1692" t="s">
        <v>74</v>
      </c>
      <c r="H1692" t="s">
        <v>127</v>
      </c>
      <c r="I1692" t="s">
        <v>84</v>
      </c>
      <c r="J1692" s="4">
        <v>6.5130870114372285E-5</v>
      </c>
    </row>
    <row r="1693" spans="1:10" x14ac:dyDescent="0.35">
      <c r="A1693" t="s">
        <v>18</v>
      </c>
      <c r="B1693" t="s">
        <v>39</v>
      </c>
      <c r="C1693" t="s">
        <v>90</v>
      </c>
      <c r="D1693" t="s">
        <v>81</v>
      </c>
      <c r="E1693" t="s">
        <v>122</v>
      </c>
      <c r="F1693" t="s">
        <v>73</v>
      </c>
      <c r="G1693" t="s">
        <v>74</v>
      </c>
      <c r="H1693" t="s">
        <v>127</v>
      </c>
      <c r="I1693" t="s">
        <v>84</v>
      </c>
      <c r="J1693" s="4">
        <v>7.9476813317479189E-4</v>
      </c>
    </row>
    <row r="1694" spans="1:10" x14ac:dyDescent="0.35">
      <c r="A1694" t="s">
        <v>18</v>
      </c>
      <c r="B1694" t="s">
        <v>39</v>
      </c>
      <c r="C1694" t="s">
        <v>90</v>
      </c>
      <c r="D1694" t="s">
        <v>81</v>
      </c>
      <c r="E1694" t="s">
        <v>126</v>
      </c>
      <c r="F1694" t="s">
        <v>73</v>
      </c>
      <c r="G1694" t="s">
        <v>74</v>
      </c>
      <c r="H1694" t="s">
        <v>127</v>
      </c>
      <c r="I1694" t="s">
        <v>84</v>
      </c>
      <c r="J1694" s="4">
        <v>8.4821183458843076E-3</v>
      </c>
    </row>
    <row r="1695" spans="1:10" x14ac:dyDescent="0.35">
      <c r="A1695" t="s">
        <v>18</v>
      </c>
      <c r="B1695" t="s">
        <v>39</v>
      </c>
      <c r="C1695" t="s">
        <v>90</v>
      </c>
      <c r="D1695" t="s">
        <v>81</v>
      </c>
      <c r="E1695" t="s">
        <v>101</v>
      </c>
      <c r="F1695" t="s">
        <v>73</v>
      </c>
      <c r="G1695" t="s">
        <v>74</v>
      </c>
      <c r="H1695" t="s">
        <v>127</v>
      </c>
      <c r="I1695" t="s">
        <v>84</v>
      </c>
      <c r="J1695" s="4">
        <v>0</v>
      </c>
    </row>
    <row r="1696" spans="1:10" x14ac:dyDescent="0.35">
      <c r="A1696" t="s">
        <v>18</v>
      </c>
      <c r="B1696" t="s">
        <v>39</v>
      </c>
      <c r="C1696" t="s">
        <v>90</v>
      </c>
      <c r="D1696" t="s">
        <v>81</v>
      </c>
      <c r="E1696" t="s">
        <v>104</v>
      </c>
      <c r="F1696" t="s">
        <v>73</v>
      </c>
      <c r="G1696" t="s">
        <v>74</v>
      </c>
      <c r="H1696" t="s">
        <v>127</v>
      </c>
      <c r="I1696" t="s">
        <v>84</v>
      </c>
      <c r="J1696" s="4">
        <v>0</v>
      </c>
    </row>
    <row r="1697" spans="1:10" x14ac:dyDescent="0.35">
      <c r="A1697" t="s">
        <v>18</v>
      </c>
      <c r="B1697" t="s">
        <v>39</v>
      </c>
      <c r="C1697" t="s">
        <v>90</v>
      </c>
      <c r="D1697" t="s">
        <v>81</v>
      </c>
      <c r="E1697" t="s">
        <v>106</v>
      </c>
      <c r="F1697" t="s">
        <v>73</v>
      </c>
      <c r="G1697" t="s">
        <v>74</v>
      </c>
      <c r="H1697" t="s">
        <v>127</v>
      </c>
      <c r="I1697" t="s">
        <v>84</v>
      </c>
      <c r="J1697" s="4">
        <v>0</v>
      </c>
    </row>
    <row r="1698" spans="1:10" x14ac:dyDescent="0.35">
      <c r="A1698" t="s">
        <v>18</v>
      </c>
      <c r="B1698" t="s">
        <v>39</v>
      </c>
      <c r="C1698" t="s">
        <v>91</v>
      </c>
      <c r="D1698" t="s">
        <v>81</v>
      </c>
      <c r="E1698" t="s">
        <v>119</v>
      </c>
      <c r="F1698" t="s">
        <v>73</v>
      </c>
      <c r="G1698" t="s">
        <v>74</v>
      </c>
      <c r="H1698" t="s">
        <v>127</v>
      </c>
      <c r="I1698" t="s">
        <v>84</v>
      </c>
      <c r="J1698" s="76">
        <f>'SUT_EU27 total'!$M$73</f>
        <v>0.15097500908393557</v>
      </c>
    </row>
    <row r="1699" spans="1:10" x14ac:dyDescent="0.35">
      <c r="A1699" t="s">
        <v>18</v>
      </c>
      <c r="B1699" t="s">
        <v>39</v>
      </c>
      <c r="C1699" t="s">
        <v>91</v>
      </c>
      <c r="D1699" t="s">
        <v>81</v>
      </c>
      <c r="E1699" t="s">
        <v>124</v>
      </c>
      <c r="F1699" t="s">
        <v>73</v>
      </c>
      <c r="G1699" t="s">
        <v>74</v>
      </c>
      <c r="H1699" t="s">
        <v>127</v>
      </c>
      <c r="I1699" t="s">
        <v>84</v>
      </c>
      <c r="J1699" s="76" cm="1">
        <f t="array" ref="J1699:J1707">'SUT_EU27 total'!$M$77:$M$85</f>
        <v>6.7728942399646885E-5</v>
      </c>
    </row>
    <row r="1700" spans="1:10" x14ac:dyDescent="0.35">
      <c r="A1700" t="s">
        <v>18</v>
      </c>
      <c r="B1700" t="s">
        <v>39</v>
      </c>
      <c r="C1700" t="s">
        <v>91</v>
      </c>
      <c r="D1700" t="s">
        <v>81</v>
      </c>
      <c r="E1700" t="s">
        <v>117</v>
      </c>
      <c r="F1700" t="s">
        <v>73</v>
      </c>
      <c r="G1700" t="s">
        <v>74</v>
      </c>
      <c r="H1700" t="s">
        <v>127</v>
      </c>
      <c r="I1700" t="s">
        <v>84</v>
      </c>
      <c r="J1700" s="4">
        <v>5.6233849622410815E-3</v>
      </c>
    </row>
    <row r="1701" spans="1:10" x14ac:dyDescent="0.35">
      <c r="A1701" t="s">
        <v>18</v>
      </c>
      <c r="B1701" t="s">
        <v>39</v>
      </c>
      <c r="C1701" t="s">
        <v>91</v>
      </c>
      <c r="D1701" t="s">
        <v>81</v>
      </c>
      <c r="E1701" t="s">
        <v>82</v>
      </c>
      <c r="F1701" t="s">
        <v>73</v>
      </c>
      <c r="G1701" t="s">
        <v>74</v>
      </c>
      <c r="H1701" t="s">
        <v>127</v>
      </c>
      <c r="I1701" t="s">
        <v>84</v>
      </c>
      <c r="J1701" s="4">
        <v>1.8068055269127655E-3</v>
      </c>
    </row>
    <row r="1702" spans="1:10" x14ac:dyDescent="0.35">
      <c r="A1702" t="s">
        <v>18</v>
      </c>
      <c r="B1702" t="s">
        <v>39</v>
      </c>
      <c r="C1702" t="s">
        <v>91</v>
      </c>
      <c r="D1702" t="s">
        <v>81</v>
      </c>
      <c r="E1702" t="s">
        <v>125</v>
      </c>
      <c r="F1702" t="s">
        <v>73</v>
      </c>
      <c r="G1702" t="s">
        <v>74</v>
      </c>
      <c r="H1702" t="s">
        <v>127</v>
      </c>
      <c r="I1702" t="s">
        <v>84</v>
      </c>
      <c r="J1702" s="4">
        <v>5.6492118062760293E-6</v>
      </c>
    </row>
    <row r="1703" spans="1:10" x14ac:dyDescent="0.35">
      <c r="A1703" t="s">
        <v>18</v>
      </c>
      <c r="B1703" t="s">
        <v>39</v>
      </c>
      <c r="C1703" t="s">
        <v>91</v>
      </c>
      <c r="D1703" t="s">
        <v>81</v>
      </c>
      <c r="E1703" t="s">
        <v>122</v>
      </c>
      <c r="F1703" t="s">
        <v>73</v>
      </c>
      <c r="G1703" t="s">
        <v>74</v>
      </c>
      <c r="H1703" t="s">
        <v>127</v>
      </c>
      <c r="I1703" t="s">
        <v>84</v>
      </c>
      <c r="J1703" s="4">
        <v>0</v>
      </c>
    </row>
    <row r="1704" spans="1:10" x14ac:dyDescent="0.35">
      <c r="A1704" t="s">
        <v>18</v>
      </c>
      <c r="B1704" t="s">
        <v>39</v>
      </c>
      <c r="C1704" t="s">
        <v>91</v>
      </c>
      <c r="D1704" t="s">
        <v>81</v>
      </c>
      <c r="E1704" t="s">
        <v>126</v>
      </c>
      <c r="F1704" t="s">
        <v>73</v>
      </c>
      <c r="G1704" t="s">
        <v>74</v>
      </c>
      <c r="H1704" t="s">
        <v>127</v>
      </c>
      <c r="I1704" t="s">
        <v>84</v>
      </c>
      <c r="J1704" s="4">
        <v>8.1093795177776388E-4</v>
      </c>
    </row>
    <row r="1705" spans="1:10" x14ac:dyDescent="0.35">
      <c r="A1705" t="s">
        <v>18</v>
      </c>
      <c r="B1705" t="s">
        <v>39</v>
      </c>
      <c r="C1705" t="s">
        <v>91</v>
      </c>
      <c r="D1705" t="s">
        <v>81</v>
      </c>
      <c r="E1705" t="s">
        <v>101</v>
      </c>
      <c r="F1705" t="s">
        <v>73</v>
      </c>
      <c r="G1705" t="s">
        <v>74</v>
      </c>
      <c r="H1705" t="s">
        <v>127</v>
      </c>
      <c r="I1705" t="s">
        <v>84</v>
      </c>
      <c r="J1705" s="4">
        <v>0</v>
      </c>
    </row>
    <row r="1706" spans="1:10" x14ac:dyDescent="0.35">
      <c r="A1706" t="s">
        <v>18</v>
      </c>
      <c r="B1706" t="s">
        <v>39</v>
      </c>
      <c r="C1706" t="s">
        <v>91</v>
      </c>
      <c r="D1706" t="s">
        <v>81</v>
      </c>
      <c r="E1706" t="s">
        <v>104</v>
      </c>
      <c r="F1706" t="s">
        <v>73</v>
      </c>
      <c r="G1706" t="s">
        <v>74</v>
      </c>
      <c r="H1706" t="s">
        <v>127</v>
      </c>
      <c r="I1706" t="s">
        <v>84</v>
      </c>
      <c r="J1706" s="4">
        <v>0</v>
      </c>
    </row>
    <row r="1707" spans="1:10" x14ac:dyDescent="0.35">
      <c r="A1707" t="s">
        <v>18</v>
      </c>
      <c r="B1707" t="s">
        <v>39</v>
      </c>
      <c r="C1707" t="s">
        <v>91</v>
      </c>
      <c r="D1707" t="s">
        <v>81</v>
      </c>
      <c r="E1707" t="s">
        <v>106</v>
      </c>
      <c r="F1707" t="s">
        <v>73</v>
      </c>
      <c r="G1707" t="s">
        <v>74</v>
      </c>
      <c r="H1707" t="s">
        <v>127</v>
      </c>
      <c r="I1707" t="s">
        <v>84</v>
      </c>
      <c r="J1707" s="4">
        <v>0</v>
      </c>
    </row>
    <row r="1708" spans="1:10" x14ac:dyDescent="0.35">
      <c r="A1708" t="s">
        <v>18</v>
      </c>
      <c r="B1708" t="s">
        <v>39</v>
      </c>
      <c r="C1708" t="s">
        <v>92</v>
      </c>
      <c r="D1708" t="s">
        <v>81</v>
      </c>
      <c r="E1708" t="s">
        <v>119</v>
      </c>
      <c r="F1708" t="s">
        <v>73</v>
      </c>
      <c r="G1708" t="s">
        <v>74</v>
      </c>
      <c r="H1708" t="s">
        <v>127</v>
      </c>
      <c r="I1708" t="s">
        <v>84</v>
      </c>
      <c r="J1708" s="76">
        <f>'SUT_EU27 total'!$M$90</f>
        <v>0.13886309499777949</v>
      </c>
    </row>
    <row r="1709" spans="1:10" x14ac:dyDescent="0.35">
      <c r="A1709" t="s">
        <v>18</v>
      </c>
      <c r="B1709" t="s">
        <v>39</v>
      </c>
      <c r="C1709" t="s">
        <v>92</v>
      </c>
      <c r="D1709" t="s">
        <v>81</v>
      </c>
      <c r="E1709" t="s">
        <v>124</v>
      </c>
      <c r="F1709" t="s">
        <v>73</v>
      </c>
      <c r="G1709" t="s">
        <v>74</v>
      </c>
      <c r="H1709" t="s">
        <v>127</v>
      </c>
      <c r="I1709" t="s">
        <v>84</v>
      </c>
      <c r="J1709" s="76" cm="1">
        <f t="array" ref="J1709:J1717">'SUT_EU27 total'!$M$94:$M$102</f>
        <v>9.2968907089085616E-5</v>
      </c>
    </row>
    <row r="1710" spans="1:10" x14ac:dyDescent="0.35">
      <c r="A1710" t="s">
        <v>18</v>
      </c>
      <c r="B1710" t="s">
        <v>39</v>
      </c>
      <c r="C1710" t="s">
        <v>92</v>
      </c>
      <c r="D1710" t="s">
        <v>81</v>
      </c>
      <c r="E1710" t="s">
        <v>117</v>
      </c>
      <c r="F1710" t="s">
        <v>73</v>
      </c>
      <c r="G1710" t="s">
        <v>74</v>
      </c>
      <c r="H1710" t="s">
        <v>127</v>
      </c>
      <c r="I1710" t="s">
        <v>84</v>
      </c>
      <c r="J1710" s="4">
        <v>0</v>
      </c>
    </row>
    <row r="1711" spans="1:10" x14ac:dyDescent="0.35">
      <c r="A1711" t="s">
        <v>18</v>
      </c>
      <c r="B1711" t="s">
        <v>39</v>
      </c>
      <c r="C1711" t="s">
        <v>92</v>
      </c>
      <c r="D1711" t="s">
        <v>81</v>
      </c>
      <c r="E1711" t="s">
        <v>82</v>
      </c>
      <c r="F1711" t="s">
        <v>73</v>
      </c>
      <c r="G1711" t="s">
        <v>74</v>
      </c>
      <c r="H1711" t="s">
        <v>127</v>
      </c>
      <c r="I1711" t="s">
        <v>84</v>
      </c>
      <c r="J1711" s="4">
        <v>1.1251392039595793E-3</v>
      </c>
    </row>
    <row r="1712" spans="1:10" x14ac:dyDescent="0.35">
      <c r="A1712" t="s">
        <v>18</v>
      </c>
      <c r="B1712" t="s">
        <v>39</v>
      </c>
      <c r="C1712" t="s">
        <v>92</v>
      </c>
      <c r="D1712" t="s">
        <v>81</v>
      </c>
      <c r="E1712" t="s">
        <v>125</v>
      </c>
      <c r="F1712" t="s">
        <v>73</v>
      </c>
      <c r="G1712" t="s">
        <v>74</v>
      </c>
      <c r="H1712" t="s">
        <v>127</v>
      </c>
      <c r="I1712" t="s">
        <v>84</v>
      </c>
      <c r="J1712" s="4">
        <v>5.0048817841215026E-7</v>
      </c>
    </row>
    <row r="1713" spans="1:10" x14ac:dyDescent="0.35">
      <c r="A1713" t="s">
        <v>18</v>
      </c>
      <c r="B1713" t="s">
        <v>39</v>
      </c>
      <c r="C1713" t="s">
        <v>92</v>
      </c>
      <c r="D1713" t="s">
        <v>81</v>
      </c>
      <c r="E1713" t="s">
        <v>122</v>
      </c>
      <c r="F1713" t="s">
        <v>73</v>
      </c>
      <c r="G1713" t="s">
        <v>74</v>
      </c>
      <c r="H1713" t="s">
        <v>127</v>
      </c>
      <c r="I1713" t="s">
        <v>84</v>
      </c>
      <c r="J1713" s="4">
        <v>0</v>
      </c>
    </row>
    <row r="1714" spans="1:10" x14ac:dyDescent="0.35">
      <c r="A1714" t="s">
        <v>18</v>
      </c>
      <c r="B1714" t="s">
        <v>39</v>
      </c>
      <c r="C1714" t="s">
        <v>92</v>
      </c>
      <c r="D1714" t="s">
        <v>81</v>
      </c>
      <c r="E1714" t="s">
        <v>126</v>
      </c>
      <c r="F1714" t="s">
        <v>73</v>
      </c>
      <c r="G1714" t="s">
        <v>74</v>
      </c>
      <c r="H1714" t="s">
        <v>127</v>
      </c>
      <c r="I1714" t="s">
        <v>84</v>
      </c>
      <c r="J1714" s="4">
        <v>0</v>
      </c>
    </row>
    <row r="1715" spans="1:10" x14ac:dyDescent="0.35">
      <c r="A1715" t="s">
        <v>18</v>
      </c>
      <c r="B1715" t="s">
        <v>39</v>
      </c>
      <c r="C1715" t="s">
        <v>92</v>
      </c>
      <c r="D1715" t="s">
        <v>81</v>
      </c>
      <c r="E1715" t="s">
        <v>101</v>
      </c>
      <c r="F1715" t="s">
        <v>73</v>
      </c>
      <c r="G1715" t="s">
        <v>74</v>
      </c>
      <c r="H1715" t="s">
        <v>127</v>
      </c>
      <c r="I1715" t="s">
        <v>84</v>
      </c>
      <c r="J1715" s="4">
        <v>0</v>
      </c>
    </row>
    <row r="1716" spans="1:10" x14ac:dyDescent="0.35">
      <c r="A1716" t="s">
        <v>18</v>
      </c>
      <c r="B1716" t="s">
        <v>39</v>
      </c>
      <c r="C1716" t="s">
        <v>92</v>
      </c>
      <c r="D1716" t="s">
        <v>81</v>
      </c>
      <c r="E1716" t="s">
        <v>104</v>
      </c>
      <c r="F1716" t="s">
        <v>73</v>
      </c>
      <c r="G1716" t="s">
        <v>74</v>
      </c>
      <c r="H1716" t="s">
        <v>127</v>
      </c>
      <c r="I1716" t="s">
        <v>84</v>
      </c>
      <c r="J1716" s="4">
        <v>0</v>
      </c>
    </row>
    <row r="1717" spans="1:10" x14ac:dyDescent="0.35">
      <c r="A1717" t="s">
        <v>18</v>
      </c>
      <c r="B1717" t="s">
        <v>39</v>
      </c>
      <c r="C1717" t="s">
        <v>92</v>
      </c>
      <c r="D1717" t="s">
        <v>81</v>
      </c>
      <c r="E1717" t="s">
        <v>106</v>
      </c>
      <c r="F1717" t="s">
        <v>73</v>
      </c>
      <c r="G1717" t="s">
        <v>74</v>
      </c>
      <c r="H1717" t="s">
        <v>127</v>
      </c>
      <c r="I1717" t="s">
        <v>84</v>
      </c>
      <c r="J1717" s="4">
        <v>0</v>
      </c>
    </row>
    <row r="1718" spans="1:10" x14ac:dyDescent="0.35">
      <c r="A1718" t="s">
        <v>18</v>
      </c>
      <c r="B1718" t="s">
        <v>39</v>
      </c>
      <c r="C1718" t="s">
        <v>93</v>
      </c>
      <c r="D1718" t="s">
        <v>81</v>
      </c>
      <c r="E1718" t="s">
        <v>119</v>
      </c>
      <c r="F1718" t="s">
        <v>73</v>
      </c>
      <c r="G1718" t="s">
        <v>74</v>
      </c>
      <c r="H1718" t="s">
        <v>127</v>
      </c>
      <c r="I1718" t="s">
        <v>84</v>
      </c>
      <c r="J1718" s="76">
        <f>'SUT_EU27 total'!$M$107</f>
        <v>1.0000807460939076</v>
      </c>
    </row>
    <row r="1719" spans="1:10" x14ac:dyDescent="0.35">
      <c r="A1719" t="s">
        <v>18</v>
      </c>
      <c r="B1719" t="s">
        <v>39</v>
      </c>
      <c r="C1719" t="s">
        <v>93</v>
      </c>
      <c r="D1719" t="s">
        <v>81</v>
      </c>
      <c r="E1719" t="s">
        <v>124</v>
      </c>
      <c r="F1719" t="s">
        <v>73</v>
      </c>
      <c r="G1719" t="s">
        <v>74</v>
      </c>
      <c r="H1719" t="s">
        <v>127</v>
      </c>
      <c r="I1719" t="s">
        <v>84</v>
      </c>
      <c r="J1719" s="76" cm="1">
        <f t="array" ref="J1719:J1727">'SUT_EU27 total'!$M$111:$M$119</f>
        <v>3.7052409430862396E-4</v>
      </c>
    </row>
    <row r="1720" spans="1:10" x14ac:dyDescent="0.35">
      <c r="A1720" t="s">
        <v>18</v>
      </c>
      <c r="B1720" t="s">
        <v>39</v>
      </c>
      <c r="C1720" t="s">
        <v>93</v>
      </c>
      <c r="D1720" t="s">
        <v>81</v>
      </c>
      <c r="E1720" t="s">
        <v>117</v>
      </c>
      <c r="F1720" t="s">
        <v>73</v>
      </c>
      <c r="G1720" t="s">
        <v>74</v>
      </c>
      <c r="H1720" t="s">
        <v>127</v>
      </c>
      <c r="I1720" t="s">
        <v>84</v>
      </c>
      <c r="J1720" s="4">
        <v>5.8414042458127093E-3</v>
      </c>
    </row>
    <row r="1721" spans="1:10" x14ac:dyDescent="0.35">
      <c r="A1721" t="s">
        <v>18</v>
      </c>
      <c r="B1721" t="s">
        <v>39</v>
      </c>
      <c r="C1721" t="s">
        <v>93</v>
      </c>
      <c r="D1721" t="s">
        <v>81</v>
      </c>
      <c r="E1721" t="s">
        <v>82</v>
      </c>
      <c r="F1721" t="s">
        <v>73</v>
      </c>
      <c r="G1721" t="s">
        <v>74</v>
      </c>
      <c r="H1721" t="s">
        <v>127</v>
      </c>
      <c r="I1721" t="s">
        <v>84</v>
      </c>
      <c r="J1721" s="4">
        <v>5.0319447308723453E-3</v>
      </c>
    </row>
    <row r="1722" spans="1:10" x14ac:dyDescent="0.35">
      <c r="A1722" t="s">
        <v>18</v>
      </c>
      <c r="B1722" t="s">
        <v>39</v>
      </c>
      <c r="C1722" t="s">
        <v>93</v>
      </c>
      <c r="D1722" t="s">
        <v>81</v>
      </c>
      <c r="E1722" t="s">
        <v>125</v>
      </c>
      <c r="F1722" t="s">
        <v>73</v>
      </c>
      <c r="G1722" t="s">
        <v>74</v>
      </c>
      <c r="H1722" t="s">
        <v>127</v>
      </c>
      <c r="I1722" t="s">
        <v>84</v>
      </c>
      <c r="J1722" s="4">
        <v>4.336096678710085E-4</v>
      </c>
    </row>
    <row r="1723" spans="1:10" x14ac:dyDescent="0.35">
      <c r="A1723" t="s">
        <v>18</v>
      </c>
      <c r="B1723" t="s">
        <v>39</v>
      </c>
      <c r="C1723" t="s">
        <v>93</v>
      </c>
      <c r="D1723" t="s">
        <v>81</v>
      </c>
      <c r="E1723" t="s">
        <v>122</v>
      </c>
      <c r="F1723" t="s">
        <v>73</v>
      </c>
      <c r="G1723" t="s">
        <v>74</v>
      </c>
      <c r="H1723" t="s">
        <v>127</v>
      </c>
      <c r="I1723" t="s">
        <v>84</v>
      </c>
      <c r="J1723" s="4">
        <v>2.7129607609988112E-3</v>
      </c>
    </row>
    <row r="1724" spans="1:10" x14ac:dyDescent="0.35">
      <c r="A1724" t="s">
        <v>18</v>
      </c>
      <c r="B1724" t="s">
        <v>39</v>
      </c>
      <c r="C1724" t="s">
        <v>93</v>
      </c>
      <c r="D1724" t="s">
        <v>81</v>
      </c>
      <c r="E1724" t="s">
        <v>126</v>
      </c>
      <c r="F1724" t="s">
        <v>73</v>
      </c>
      <c r="G1724" t="s">
        <v>74</v>
      </c>
      <c r="H1724" t="s">
        <v>127</v>
      </c>
      <c r="I1724" t="s">
        <v>84</v>
      </c>
      <c r="J1724" s="4">
        <v>4.3855511603587784E-2</v>
      </c>
    </row>
    <row r="1725" spans="1:10" x14ac:dyDescent="0.35">
      <c r="A1725" t="s">
        <v>18</v>
      </c>
      <c r="B1725" t="s">
        <v>39</v>
      </c>
      <c r="C1725" t="s">
        <v>93</v>
      </c>
      <c r="D1725" t="s">
        <v>81</v>
      </c>
      <c r="E1725" t="s">
        <v>101</v>
      </c>
      <c r="F1725" t="s">
        <v>73</v>
      </c>
      <c r="G1725" t="s">
        <v>74</v>
      </c>
      <c r="H1725" t="s">
        <v>127</v>
      </c>
      <c r="I1725" t="s">
        <v>84</v>
      </c>
      <c r="J1725" s="4">
        <v>0</v>
      </c>
    </row>
    <row r="1726" spans="1:10" x14ac:dyDescent="0.35">
      <c r="A1726" t="s">
        <v>18</v>
      </c>
      <c r="B1726" t="s">
        <v>39</v>
      </c>
      <c r="C1726" t="s">
        <v>93</v>
      </c>
      <c r="D1726" t="s">
        <v>81</v>
      </c>
      <c r="E1726" t="s">
        <v>104</v>
      </c>
      <c r="F1726" t="s">
        <v>73</v>
      </c>
      <c r="G1726" t="s">
        <v>74</v>
      </c>
      <c r="H1726" t="s">
        <v>127</v>
      </c>
      <c r="I1726" t="s">
        <v>84</v>
      </c>
      <c r="J1726" s="4">
        <v>0</v>
      </c>
    </row>
    <row r="1727" spans="1:10" x14ac:dyDescent="0.35">
      <c r="A1727" t="s">
        <v>18</v>
      </c>
      <c r="B1727" t="s">
        <v>39</v>
      </c>
      <c r="C1727" t="s">
        <v>93</v>
      </c>
      <c r="D1727" t="s">
        <v>81</v>
      </c>
      <c r="E1727" t="s">
        <v>106</v>
      </c>
      <c r="F1727" t="s">
        <v>73</v>
      </c>
      <c r="G1727" t="s">
        <v>74</v>
      </c>
      <c r="H1727" t="s">
        <v>127</v>
      </c>
      <c r="I1727" t="s">
        <v>84</v>
      </c>
      <c r="J1727" s="4">
        <v>0</v>
      </c>
    </row>
    <row r="1728" spans="1:10" x14ac:dyDescent="0.35">
      <c r="A1728" t="s">
        <v>18</v>
      </c>
      <c r="B1728" t="s">
        <v>39</v>
      </c>
      <c r="C1728" t="s">
        <v>73</v>
      </c>
      <c r="D1728" t="s">
        <v>81</v>
      </c>
      <c r="E1728" t="s">
        <v>82</v>
      </c>
      <c r="F1728" t="s">
        <v>73</v>
      </c>
      <c r="G1728" t="s">
        <v>74</v>
      </c>
      <c r="H1728" t="s">
        <v>128</v>
      </c>
      <c r="I1728" t="s">
        <v>84</v>
      </c>
      <c r="J1728" s="76">
        <f>'SUT_EU27 total'!$N$28</f>
        <v>1.4658301341380521E-2</v>
      </c>
    </row>
    <row r="1729" spans="1:10" x14ac:dyDescent="0.35">
      <c r="A1729" t="s">
        <v>18</v>
      </c>
      <c r="B1729" t="s">
        <v>39</v>
      </c>
      <c r="C1729" t="s">
        <v>73</v>
      </c>
      <c r="D1729" t="s">
        <v>81</v>
      </c>
      <c r="E1729" t="s">
        <v>86</v>
      </c>
      <c r="F1729" t="s">
        <v>73</v>
      </c>
      <c r="G1729" t="s">
        <v>74</v>
      </c>
      <c r="H1729" t="s">
        <v>128</v>
      </c>
      <c r="I1729" t="s">
        <v>84</v>
      </c>
      <c r="J1729" s="76">
        <f>'SUT_EU27 total'!$N$35</f>
        <v>3.0740776778828832E-3</v>
      </c>
    </row>
    <row r="1730" spans="1:10" x14ac:dyDescent="0.35">
      <c r="A1730" t="s">
        <v>18</v>
      </c>
      <c r="B1730" t="s">
        <v>39</v>
      </c>
      <c r="C1730" t="s">
        <v>88</v>
      </c>
      <c r="D1730" t="s">
        <v>81</v>
      </c>
      <c r="E1730" t="s">
        <v>82</v>
      </c>
      <c r="F1730" t="s">
        <v>73</v>
      </c>
      <c r="G1730" t="s">
        <v>74</v>
      </c>
      <c r="H1730" t="s">
        <v>128</v>
      </c>
      <c r="I1730" t="s">
        <v>84</v>
      </c>
      <c r="J1730" s="76">
        <f>'SUT_EU27 total'!$N$45</f>
        <v>9.2276548594747033E-3</v>
      </c>
    </row>
    <row r="1731" spans="1:10" x14ac:dyDescent="0.35">
      <c r="A1731" t="s">
        <v>18</v>
      </c>
      <c r="B1731" t="s">
        <v>39</v>
      </c>
      <c r="C1731" t="s">
        <v>88</v>
      </c>
      <c r="D1731" t="s">
        <v>81</v>
      </c>
      <c r="E1731" t="s">
        <v>86</v>
      </c>
      <c r="F1731" t="s">
        <v>73</v>
      </c>
      <c r="G1731" t="s">
        <v>74</v>
      </c>
      <c r="H1731" t="s">
        <v>128</v>
      </c>
      <c r="I1731" t="s">
        <v>84</v>
      </c>
      <c r="J1731" s="76">
        <f>'SUT_EU27 total'!$N$52</f>
        <v>6.9627451701437512E-2</v>
      </c>
    </row>
    <row r="1732" spans="1:10" x14ac:dyDescent="0.35">
      <c r="A1732" t="s">
        <v>18</v>
      </c>
      <c r="B1732" t="s">
        <v>39</v>
      </c>
      <c r="C1732" t="s">
        <v>90</v>
      </c>
      <c r="D1732" t="s">
        <v>81</v>
      </c>
      <c r="E1732" t="s">
        <v>82</v>
      </c>
      <c r="F1732" t="s">
        <v>73</v>
      </c>
      <c r="G1732" t="s">
        <v>74</v>
      </c>
      <c r="H1732" t="s">
        <v>128</v>
      </c>
      <c r="I1732" t="s">
        <v>84</v>
      </c>
      <c r="J1732" s="76">
        <f>'SUT_EU27 total'!$N$62</f>
        <v>2.2200107734217647E-6</v>
      </c>
    </row>
    <row r="1733" spans="1:10" x14ac:dyDescent="0.35">
      <c r="A1733" t="s">
        <v>18</v>
      </c>
      <c r="B1733" t="s">
        <v>39</v>
      </c>
      <c r="C1733" t="s">
        <v>90</v>
      </c>
      <c r="D1733" t="s">
        <v>81</v>
      </c>
      <c r="E1733" t="s">
        <v>86</v>
      </c>
      <c r="F1733" t="s">
        <v>73</v>
      </c>
      <c r="G1733" t="s">
        <v>74</v>
      </c>
      <c r="H1733" t="s">
        <v>128</v>
      </c>
      <c r="I1733" t="s">
        <v>84</v>
      </c>
      <c r="J1733" s="76">
        <f>'SUT_EU27 total'!$N$69</f>
        <v>9.1135123377023061E-3</v>
      </c>
    </row>
    <row r="1734" spans="1:10" x14ac:dyDescent="0.35">
      <c r="A1734" t="s">
        <v>18</v>
      </c>
      <c r="B1734" t="s">
        <v>39</v>
      </c>
      <c r="C1734" t="s">
        <v>91</v>
      </c>
      <c r="D1734" t="s">
        <v>81</v>
      </c>
      <c r="E1734" t="s">
        <v>82</v>
      </c>
      <c r="F1734" t="s">
        <v>73</v>
      </c>
      <c r="G1734" t="s">
        <v>74</v>
      </c>
      <c r="H1734" t="s">
        <v>128</v>
      </c>
      <c r="I1734" t="s">
        <v>84</v>
      </c>
      <c r="J1734" s="76">
        <f>'SUT_EU27 total'!$N$79</f>
        <v>4.3195382907628159E-4</v>
      </c>
    </row>
    <row r="1735" spans="1:10" x14ac:dyDescent="0.35">
      <c r="A1735" t="s">
        <v>18</v>
      </c>
      <c r="B1735" t="s">
        <v>39</v>
      </c>
      <c r="C1735" t="s">
        <v>91</v>
      </c>
      <c r="D1735" t="s">
        <v>81</v>
      </c>
      <c r="E1735" t="s">
        <v>86</v>
      </c>
      <c r="F1735" t="s">
        <v>73</v>
      </c>
      <c r="G1735" t="s">
        <v>74</v>
      </c>
      <c r="H1735" t="s">
        <v>128</v>
      </c>
      <c r="I1735" t="s">
        <v>84</v>
      </c>
      <c r="J1735" s="76">
        <f>'SUT_EU27 total'!$N$86</f>
        <v>1.1339568587203704E-2</v>
      </c>
    </row>
    <row r="1736" spans="1:10" x14ac:dyDescent="0.35">
      <c r="A1736" t="s">
        <v>18</v>
      </c>
      <c r="B1736" t="s">
        <v>39</v>
      </c>
      <c r="C1736" t="s">
        <v>92</v>
      </c>
      <c r="D1736" t="s">
        <v>81</v>
      </c>
      <c r="E1736" t="s">
        <v>82</v>
      </c>
      <c r="F1736" t="s">
        <v>73</v>
      </c>
      <c r="G1736" t="s">
        <v>74</v>
      </c>
      <c r="H1736" t="s">
        <v>128</v>
      </c>
      <c r="I1736" t="s">
        <v>84</v>
      </c>
      <c r="J1736" s="76">
        <f>'SUT_EU27 total'!$N$96</f>
        <v>5.9963902402539811E-4</v>
      </c>
    </row>
    <row r="1737" spans="1:10" x14ac:dyDescent="0.35">
      <c r="A1737" t="s">
        <v>18</v>
      </c>
      <c r="B1737" t="s">
        <v>39</v>
      </c>
      <c r="C1737" t="s">
        <v>92</v>
      </c>
      <c r="D1737" t="s">
        <v>81</v>
      </c>
      <c r="E1737" t="s">
        <v>86</v>
      </c>
      <c r="F1737" t="s">
        <v>73</v>
      </c>
      <c r="G1737" t="s">
        <v>74</v>
      </c>
      <c r="H1737" t="s">
        <v>128</v>
      </c>
      <c r="I1737" t="s">
        <v>84</v>
      </c>
      <c r="J1737" s="76">
        <f>'SUT_EU27 total'!$N$103</f>
        <v>7.0614092017150581E-3</v>
      </c>
    </row>
    <row r="1738" spans="1:10" x14ac:dyDescent="0.35">
      <c r="A1738" t="s">
        <v>18</v>
      </c>
      <c r="B1738" t="s">
        <v>39</v>
      </c>
      <c r="C1738" t="s">
        <v>93</v>
      </c>
      <c r="D1738" t="s">
        <v>81</v>
      </c>
      <c r="E1738" t="s">
        <v>82</v>
      </c>
      <c r="F1738" t="s">
        <v>73</v>
      </c>
      <c r="G1738" t="s">
        <v>74</v>
      </c>
      <c r="H1738" t="s">
        <v>128</v>
      </c>
      <c r="I1738" t="s">
        <v>84</v>
      </c>
      <c r="J1738" s="76">
        <f>'SUT_EU27 total'!$N$113</f>
        <v>2.4854239602480213E-3</v>
      </c>
    </row>
    <row r="1739" spans="1:10" x14ac:dyDescent="0.35">
      <c r="A1739" t="s">
        <v>18</v>
      </c>
      <c r="B1739" t="s">
        <v>39</v>
      </c>
      <c r="C1739" t="s">
        <v>93</v>
      </c>
      <c r="D1739" t="s">
        <v>81</v>
      </c>
      <c r="E1739" t="s">
        <v>86</v>
      </c>
      <c r="F1739" t="s">
        <v>73</v>
      </c>
      <c r="G1739" t="s">
        <v>74</v>
      </c>
      <c r="H1739" t="s">
        <v>128</v>
      </c>
      <c r="I1739" t="s">
        <v>84</v>
      </c>
      <c r="J1739" s="76">
        <f>'SUT_EU27 total'!$N$120</f>
        <v>3.1580644155014347E-2</v>
      </c>
    </row>
    <row r="1740" spans="1:10" x14ac:dyDescent="0.35">
      <c r="A1740" t="s">
        <v>18</v>
      </c>
      <c r="B1740" t="s">
        <v>39</v>
      </c>
      <c r="C1740" t="s">
        <v>73</v>
      </c>
      <c r="D1740" t="s">
        <v>81</v>
      </c>
      <c r="E1740" t="s">
        <v>82</v>
      </c>
      <c r="F1740" t="s">
        <v>73</v>
      </c>
      <c r="G1740" t="s">
        <v>74</v>
      </c>
      <c r="H1740" t="s">
        <v>129</v>
      </c>
      <c r="I1740" t="s">
        <v>84</v>
      </c>
      <c r="J1740" s="76">
        <f>'SUT_EU27 total'!$O$28</f>
        <v>1.4658301341380521E-2</v>
      </c>
    </row>
    <row r="1741" spans="1:10" x14ac:dyDescent="0.35">
      <c r="A1741" t="s">
        <v>18</v>
      </c>
      <c r="B1741" t="s">
        <v>39</v>
      </c>
      <c r="C1741" t="s">
        <v>73</v>
      </c>
      <c r="D1741" t="s">
        <v>81</v>
      </c>
      <c r="E1741" t="s">
        <v>86</v>
      </c>
      <c r="F1741" t="s">
        <v>73</v>
      </c>
      <c r="G1741" t="s">
        <v>74</v>
      </c>
      <c r="H1741" t="s">
        <v>129</v>
      </c>
      <c r="I1741" t="s">
        <v>84</v>
      </c>
      <c r="J1741" s="76">
        <f>'SUT_EU27 total'!$O$35</f>
        <v>3.0740776778828832E-3</v>
      </c>
    </row>
    <row r="1742" spans="1:10" x14ac:dyDescent="0.35">
      <c r="A1742" t="s">
        <v>18</v>
      </c>
      <c r="B1742" t="s">
        <v>39</v>
      </c>
      <c r="C1742" t="s">
        <v>88</v>
      </c>
      <c r="D1742" t="s">
        <v>81</v>
      </c>
      <c r="E1742" t="s">
        <v>82</v>
      </c>
      <c r="F1742" t="s">
        <v>73</v>
      </c>
      <c r="G1742" t="s">
        <v>74</v>
      </c>
      <c r="H1742" t="s">
        <v>129</v>
      </c>
      <c r="I1742" t="s">
        <v>84</v>
      </c>
      <c r="J1742" s="76">
        <f>'SUT_EU27 total'!$O$45</f>
        <v>9.2276548594747033E-3</v>
      </c>
    </row>
    <row r="1743" spans="1:10" x14ac:dyDescent="0.35">
      <c r="A1743" t="s">
        <v>18</v>
      </c>
      <c r="B1743" t="s">
        <v>39</v>
      </c>
      <c r="C1743" t="s">
        <v>88</v>
      </c>
      <c r="D1743" t="s">
        <v>81</v>
      </c>
      <c r="E1743" t="s">
        <v>86</v>
      </c>
      <c r="F1743" t="s">
        <v>73</v>
      </c>
      <c r="G1743" t="s">
        <v>74</v>
      </c>
      <c r="H1743" t="s">
        <v>129</v>
      </c>
      <c r="I1743" t="s">
        <v>84</v>
      </c>
      <c r="J1743" s="76">
        <f>'SUT_EU27 total'!$O$52</f>
        <v>6.9627451701437512E-2</v>
      </c>
    </row>
    <row r="1744" spans="1:10" x14ac:dyDescent="0.35">
      <c r="A1744" t="s">
        <v>18</v>
      </c>
      <c r="B1744" t="s">
        <v>39</v>
      </c>
      <c r="C1744" t="s">
        <v>90</v>
      </c>
      <c r="D1744" t="s">
        <v>81</v>
      </c>
      <c r="E1744" t="s">
        <v>82</v>
      </c>
      <c r="F1744" t="s">
        <v>73</v>
      </c>
      <c r="G1744" t="s">
        <v>74</v>
      </c>
      <c r="H1744" t="s">
        <v>129</v>
      </c>
      <c r="I1744" t="s">
        <v>84</v>
      </c>
      <c r="J1744" s="76">
        <f>'SUT_EU27 total'!$O$62</f>
        <v>2.2200107734217647E-6</v>
      </c>
    </row>
    <row r="1745" spans="1:10" x14ac:dyDescent="0.35">
      <c r="A1745" t="s">
        <v>18</v>
      </c>
      <c r="B1745" t="s">
        <v>39</v>
      </c>
      <c r="C1745" t="s">
        <v>90</v>
      </c>
      <c r="D1745" t="s">
        <v>81</v>
      </c>
      <c r="E1745" t="s">
        <v>86</v>
      </c>
      <c r="F1745" t="s">
        <v>73</v>
      </c>
      <c r="G1745" t="s">
        <v>74</v>
      </c>
      <c r="H1745" t="s">
        <v>129</v>
      </c>
      <c r="I1745" t="s">
        <v>84</v>
      </c>
      <c r="J1745" s="76">
        <f>'SUT_EU27 total'!$O$69</f>
        <v>9.1135123377023061E-3</v>
      </c>
    </row>
    <row r="1746" spans="1:10" x14ac:dyDescent="0.35">
      <c r="A1746" t="s">
        <v>18</v>
      </c>
      <c r="B1746" t="s">
        <v>39</v>
      </c>
      <c r="C1746" t="s">
        <v>91</v>
      </c>
      <c r="D1746" t="s">
        <v>81</v>
      </c>
      <c r="E1746" t="s">
        <v>82</v>
      </c>
      <c r="F1746" t="s">
        <v>73</v>
      </c>
      <c r="G1746" t="s">
        <v>74</v>
      </c>
      <c r="H1746" t="s">
        <v>129</v>
      </c>
      <c r="I1746" t="s">
        <v>84</v>
      </c>
      <c r="J1746" s="76">
        <f>'SUT_EU27 total'!$O$79</f>
        <v>4.3195382907628159E-4</v>
      </c>
    </row>
    <row r="1747" spans="1:10" x14ac:dyDescent="0.35">
      <c r="A1747" t="s">
        <v>18</v>
      </c>
      <c r="B1747" t="s">
        <v>39</v>
      </c>
      <c r="C1747" t="s">
        <v>91</v>
      </c>
      <c r="D1747" t="s">
        <v>81</v>
      </c>
      <c r="E1747" t="s">
        <v>86</v>
      </c>
      <c r="F1747" t="s">
        <v>73</v>
      </c>
      <c r="G1747" t="s">
        <v>74</v>
      </c>
      <c r="H1747" t="s">
        <v>129</v>
      </c>
      <c r="I1747" t="s">
        <v>84</v>
      </c>
      <c r="J1747" s="76">
        <f>'SUT_EU27 total'!$O$86</f>
        <v>1.1339568587203704E-2</v>
      </c>
    </row>
    <row r="1748" spans="1:10" x14ac:dyDescent="0.35">
      <c r="A1748" t="s">
        <v>18</v>
      </c>
      <c r="B1748" t="s">
        <v>39</v>
      </c>
      <c r="C1748" t="s">
        <v>92</v>
      </c>
      <c r="D1748" t="s">
        <v>81</v>
      </c>
      <c r="E1748" t="s">
        <v>82</v>
      </c>
      <c r="F1748" t="s">
        <v>73</v>
      </c>
      <c r="G1748" t="s">
        <v>74</v>
      </c>
      <c r="H1748" t="s">
        <v>129</v>
      </c>
      <c r="I1748" t="s">
        <v>84</v>
      </c>
      <c r="J1748" s="76">
        <f>'SUT_EU27 total'!$O$96</f>
        <v>5.9963902402539811E-4</v>
      </c>
    </row>
    <row r="1749" spans="1:10" x14ac:dyDescent="0.35">
      <c r="A1749" t="s">
        <v>18</v>
      </c>
      <c r="B1749" t="s">
        <v>39</v>
      </c>
      <c r="C1749" t="s">
        <v>92</v>
      </c>
      <c r="D1749" t="s">
        <v>81</v>
      </c>
      <c r="E1749" t="s">
        <v>86</v>
      </c>
      <c r="F1749" t="s">
        <v>73</v>
      </c>
      <c r="G1749" t="s">
        <v>74</v>
      </c>
      <c r="H1749" t="s">
        <v>129</v>
      </c>
      <c r="I1749" t="s">
        <v>84</v>
      </c>
      <c r="J1749" s="76">
        <f>'SUT_EU27 total'!$O$103</f>
        <v>7.0614092017150581E-3</v>
      </c>
    </row>
    <row r="1750" spans="1:10" x14ac:dyDescent="0.35">
      <c r="A1750" t="s">
        <v>18</v>
      </c>
      <c r="B1750" t="s">
        <v>39</v>
      </c>
      <c r="C1750" t="s">
        <v>93</v>
      </c>
      <c r="D1750" t="s">
        <v>81</v>
      </c>
      <c r="E1750" t="s">
        <v>82</v>
      </c>
      <c r="F1750" t="s">
        <v>73</v>
      </c>
      <c r="G1750" t="s">
        <v>74</v>
      </c>
      <c r="H1750" t="s">
        <v>129</v>
      </c>
      <c r="I1750" t="s">
        <v>84</v>
      </c>
      <c r="J1750" s="76">
        <f>'SUT_EU27 total'!$O$113</f>
        <v>2.4854239602480213E-3</v>
      </c>
    </row>
    <row r="1751" spans="1:10" x14ac:dyDescent="0.35">
      <c r="A1751" t="s">
        <v>18</v>
      </c>
      <c r="B1751" t="s">
        <v>39</v>
      </c>
      <c r="C1751" t="s">
        <v>93</v>
      </c>
      <c r="D1751" t="s">
        <v>81</v>
      </c>
      <c r="E1751" t="s">
        <v>86</v>
      </c>
      <c r="F1751" t="s">
        <v>73</v>
      </c>
      <c r="G1751" t="s">
        <v>74</v>
      </c>
      <c r="H1751" t="s">
        <v>129</v>
      </c>
      <c r="I1751" t="s">
        <v>84</v>
      </c>
      <c r="J1751" s="76">
        <f>'SUT_EU27 total'!$O$120</f>
        <v>3.1580644155014347E-2</v>
      </c>
    </row>
    <row r="1752" spans="1:10" x14ac:dyDescent="0.35">
      <c r="A1752" t="s">
        <v>18</v>
      </c>
      <c r="B1752" t="s">
        <v>39</v>
      </c>
      <c r="C1752" t="s">
        <v>73</v>
      </c>
      <c r="D1752" t="s">
        <v>81</v>
      </c>
      <c r="E1752" t="s">
        <v>82</v>
      </c>
      <c r="F1752" t="s">
        <v>73</v>
      </c>
      <c r="G1752" t="s">
        <v>74</v>
      </c>
      <c r="H1752" t="s">
        <v>130</v>
      </c>
      <c r="I1752" t="s">
        <v>84</v>
      </c>
      <c r="J1752" s="76">
        <f>'SUT_EU27 total'!$Q$28</f>
        <v>7.0611384178638645E-2</v>
      </c>
    </row>
    <row r="1753" spans="1:10" x14ac:dyDescent="0.35">
      <c r="A1753" t="s">
        <v>18</v>
      </c>
      <c r="B1753" t="s">
        <v>39</v>
      </c>
      <c r="C1753" t="s">
        <v>88</v>
      </c>
      <c r="D1753" t="s">
        <v>81</v>
      </c>
      <c r="E1753" t="s">
        <v>82</v>
      </c>
      <c r="F1753" t="s">
        <v>73</v>
      </c>
      <c r="G1753" t="s">
        <v>74</v>
      </c>
      <c r="H1753" t="s">
        <v>130</v>
      </c>
      <c r="I1753" t="s">
        <v>84</v>
      </c>
      <c r="J1753" s="76">
        <f>'SUT_EU27 total'!$Q$45</f>
        <v>4.4451090694311274E-2</v>
      </c>
    </row>
    <row r="1754" spans="1:10" x14ac:dyDescent="0.35">
      <c r="A1754" t="s">
        <v>18</v>
      </c>
      <c r="B1754" t="s">
        <v>39</v>
      </c>
      <c r="C1754" t="s">
        <v>90</v>
      </c>
      <c r="D1754" t="s">
        <v>81</v>
      </c>
      <c r="E1754" t="s">
        <v>82</v>
      </c>
      <c r="F1754" t="s">
        <v>73</v>
      </c>
      <c r="G1754" t="s">
        <v>74</v>
      </c>
      <c r="H1754" t="s">
        <v>130</v>
      </c>
      <c r="I1754" t="s">
        <v>84</v>
      </c>
      <c r="J1754" s="76">
        <f>'SUT_EU27 total'!$Q$62</f>
        <v>1.0694147292515508E-5</v>
      </c>
    </row>
    <row r="1755" spans="1:10" x14ac:dyDescent="0.35">
      <c r="A1755" t="s">
        <v>18</v>
      </c>
      <c r="B1755" t="s">
        <v>39</v>
      </c>
      <c r="C1755" t="s">
        <v>91</v>
      </c>
      <c r="D1755" t="s">
        <v>81</v>
      </c>
      <c r="E1755" t="s">
        <v>82</v>
      </c>
      <c r="F1755" t="s">
        <v>73</v>
      </c>
      <c r="G1755" t="s">
        <v>74</v>
      </c>
      <c r="H1755" t="s">
        <v>130</v>
      </c>
      <c r="I1755" t="s">
        <v>84</v>
      </c>
      <c r="J1755" s="76">
        <f>'SUT_EU27 total'!$Q$79</f>
        <v>2.0807907452574416E-3</v>
      </c>
    </row>
    <row r="1756" spans="1:10" x14ac:dyDescent="0.35">
      <c r="A1756" t="s">
        <v>18</v>
      </c>
      <c r="B1756" t="s">
        <v>39</v>
      </c>
      <c r="C1756" t="s">
        <v>92</v>
      </c>
      <c r="D1756" t="s">
        <v>81</v>
      </c>
      <c r="E1756" t="s">
        <v>82</v>
      </c>
      <c r="F1756" t="s">
        <v>73</v>
      </c>
      <c r="G1756" t="s">
        <v>74</v>
      </c>
      <c r="H1756" t="s">
        <v>130</v>
      </c>
      <c r="I1756" t="s">
        <v>84</v>
      </c>
      <c r="J1756" s="76">
        <f>'SUT_EU27 total'!$Q$96</f>
        <v>2.8885571737041122E-3</v>
      </c>
    </row>
    <row r="1757" spans="1:10" x14ac:dyDescent="0.35">
      <c r="A1757" t="s">
        <v>18</v>
      </c>
      <c r="B1757" t="s">
        <v>39</v>
      </c>
      <c r="C1757" t="s">
        <v>93</v>
      </c>
      <c r="D1757" t="s">
        <v>81</v>
      </c>
      <c r="E1757" t="s">
        <v>82</v>
      </c>
      <c r="F1757" t="s">
        <v>73</v>
      </c>
      <c r="G1757" t="s">
        <v>74</v>
      </c>
      <c r="H1757" t="s">
        <v>130</v>
      </c>
      <c r="I1757" t="s">
        <v>84</v>
      </c>
      <c r="J1757" s="76">
        <f>'SUT_EU27 total'!$Q$113</f>
        <v>1.1972685102906883E-2</v>
      </c>
    </row>
    <row r="1758" spans="1:10" x14ac:dyDescent="0.35">
      <c r="A1758" t="s">
        <v>18</v>
      </c>
      <c r="B1758" t="s">
        <v>39</v>
      </c>
      <c r="C1758" t="s">
        <v>73</v>
      </c>
      <c r="D1758" t="s">
        <v>81</v>
      </c>
      <c r="E1758" t="s">
        <v>131</v>
      </c>
      <c r="F1758" t="s">
        <v>73</v>
      </c>
      <c r="G1758" t="s">
        <v>74</v>
      </c>
      <c r="H1758" t="s">
        <v>112</v>
      </c>
      <c r="I1758" t="s">
        <v>84</v>
      </c>
      <c r="J1758" s="76">
        <f>'SUT_EU27 total'!$R$24</f>
        <v>4.0146105919003111E-8</v>
      </c>
    </row>
    <row r="1759" spans="1:10" x14ac:dyDescent="0.35">
      <c r="A1759" t="s">
        <v>18</v>
      </c>
      <c r="B1759" t="s">
        <v>39</v>
      </c>
      <c r="C1759" t="s">
        <v>73</v>
      </c>
      <c r="D1759" t="s">
        <v>81</v>
      </c>
      <c r="E1759" t="s">
        <v>122</v>
      </c>
      <c r="F1759" t="s">
        <v>73</v>
      </c>
      <c r="G1759" t="s">
        <v>74</v>
      </c>
      <c r="H1759" t="s">
        <v>112</v>
      </c>
      <c r="I1759" t="s">
        <v>84</v>
      </c>
      <c r="J1759" s="76">
        <f>'SUT_EU27 total'!$R$30</f>
        <v>3.9708116569218732E-4</v>
      </c>
    </row>
    <row r="1760" spans="1:10" x14ac:dyDescent="0.35">
      <c r="A1760" t="s">
        <v>18</v>
      </c>
      <c r="B1760" t="s">
        <v>39</v>
      </c>
      <c r="C1760" t="s">
        <v>73</v>
      </c>
      <c r="D1760" t="s">
        <v>81</v>
      </c>
      <c r="E1760" t="s">
        <v>101</v>
      </c>
      <c r="F1760" t="s">
        <v>73</v>
      </c>
      <c r="G1760" t="s">
        <v>74</v>
      </c>
      <c r="H1760" t="s">
        <v>112</v>
      </c>
      <c r="I1760" t="s">
        <v>84</v>
      </c>
      <c r="J1760" s="471" cm="1">
        <f t="array" ref="J1760:J1762">Sensitivity!J98:J100</f>
        <v>4.6878208830362335E-7</v>
      </c>
    </row>
    <row r="1761" spans="1:10" x14ac:dyDescent="0.35">
      <c r="A1761" t="s">
        <v>18</v>
      </c>
      <c r="B1761" t="s">
        <v>39</v>
      </c>
      <c r="C1761" t="s">
        <v>73</v>
      </c>
      <c r="D1761" t="s">
        <v>81</v>
      </c>
      <c r="E1761" t="s">
        <v>104</v>
      </c>
      <c r="F1761" t="s">
        <v>73</v>
      </c>
      <c r="G1761" t="s">
        <v>74</v>
      </c>
      <c r="H1761" t="s">
        <v>112</v>
      </c>
      <c r="I1761" t="s">
        <v>84</v>
      </c>
      <c r="J1761" s="460">
        <v>2.6881315678867343E-7</v>
      </c>
    </row>
    <row r="1762" spans="1:10" x14ac:dyDescent="0.35">
      <c r="A1762" t="s">
        <v>18</v>
      </c>
      <c r="B1762" t="s">
        <v>39</v>
      </c>
      <c r="C1762" t="s">
        <v>73</v>
      </c>
      <c r="D1762" t="s">
        <v>81</v>
      </c>
      <c r="E1762" t="s">
        <v>106</v>
      </c>
      <c r="F1762" t="s">
        <v>73</v>
      </c>
      <c r="G1762" t="s">
        <v>74</v>
      </c>
      <c r="H1762" t="s">
        <v>112</v>
      </c>
      <c r="I1762" t="s">
        <v>84</v>
      </c>
      <c r="J1762" s="460">
        <v>3.99557996266552E-7</v>
      </c>
    </row>
    <row r="1763" spans="1:10" x14ac:dyDescent="0.35">
      <c r="A1763" t="s">
        <v>18</v>
      </c>
      <c r="B1763" t="s">
        <v>39</v>
      </c>
      <c r="C1763" t="s">
        <v>88</v>
      </c>
      <c r="D1763" t="s">
        <v>81</v>
      </c>
      <c r="E1763" t="s">
        <v>131</v>
      </c>
      <c r="F1763" t="s">
        <v>73</v>
      </c>
      <c r="G1763" t="s">
        <v>74</v>
      </c>
      <c r="H1763" t="s">
        <v>112</v>
      </c>
      <c r="I1763" t="s">
        <v>84</v>
      </c>
      <c r="J1763" s="4">
        <f>'SUT_EU27 total'!$R$41</f>
        <v>0</v>
      </c>
    </row>
    <row r="1764" spans="1:10" x14ac:dyDescent="0.35">
      <c r="A1764" t="s">
        <v>18</v>
      </c>
      <c r="B1764" t="s">
        <v>39</v>
      </c>
      <c r="C1764" t="s">
        <v>88</v>
      </c>
      <c r="D1764" t="s">
        <v>81</v>
      </c>
      <c r="E1764" t="s">
        <v>122</v>
      </c>
      <c r="F1764" t="s">
        <v>73</v>
      </c>
      <c r="G1764" t="s">
        <v>74</v>
      </c>
      <c r="H1764" t="s">
        <v>112</v>
      </c>
      <c r="I1764" t="s">
        <v>84</v>
      </c>
      <c r="J1764" s="76">
        <f>'SUT_EU27 total'!$R$47</f>
        <v>0</v>
      </c>
    </row>
    <row r="1765" spans="1:10" x14ac:dyDescent="0.35">
      <c r="A1765" t="s">
        <v>18</v>
      </c>
      <c r="B1765" t="s">
        <v>39</v>
      </c>
      <c r="C1765" t="s">
        <v>88</v>
      </c>
      <c r="D1765" t="s">
        <v>81</v>
      </c>
      <c r="E1765" t="s">
        <v>101</v>
      </c>
      <c r="F1765" t="s">
        <v>73</v>
      </c>
      <c r="G1765" t="s">
        <v>74</v>
      </c>
      <c r="H1765" t="s">
        <v>112</v>
      </c>
      <c r="I1765" t="s">
        <v>84</v>
      </c>
      <c r="J1765" s="4" cm="1">
        <f t="array" ref="J1765:J1767">'SUT_EU27 total'!$R$49:$R$51</f>
        <v>0</v>
      </c>
    </row>
    <row r="1766" spans="1:10" x14ac:dyDescent="0.35">
      <c r="A1766" t="s">
        <v>18</v>
      </c>
      <c r="B1766" t="s">
        <v>39</v>
      </c>
      <c r="C1766" t="s">
        <v>88</v>
      </c>
      <c r="D1766" t="s">
        <v>81</v>
      </c>
      <c r="E1766" t="s">
        <v>104</v>
      </c>
      <c r="F1766" t="s">
        <v>73</v>
      </c>
      <c r="G1766" t="s">
        <v>74</v>
      </c>
      <c r="H1766" t="s">
        <v>112</v>
      </c>
      <c r="I1766" t="s">
        <v>84</v>
      </c>
      <c r="J1766" s="4">
        <v>0</v>
      </c>
    </row>
    <row r="1767" spans="1:10" x14ac:dyDescent="0.35">
      <c r="A1767" t="s">
        <v>18</v>
      </c>
      <c r="B1767" t="s">
        <v>39</v>
      </c>
      <c r="C1767" t="s">
        <v>88</v>
      </c>
      <c r="D1767" t="s">
        <v>81</v>
      </c>
      <c r="E1767" t="s">
        <v>106</v>
      </c>
      <c r="F1767" t="s">
        <v>73</v>
      </c>
      <c r="G1767" t="s">
        <v>74</v>
      </c>
      <c r="H1767" t="s">
        <v>112</v>
      </c>
      <c r="I1767" t="s">
        <v>84</v>
      </c>
      <c r="J1767" s="4">
        <v>0</v>
      </c>
    </row>
    <row r="1768" spans="1:10" x14ac:dyDescent="0.35">
      <c r="A1768" t="s">
        <v>18</v>
      </c>
      <c r="B1768" t="s">
        <v>39</v>
      </c>
      <c r="C1768" t="s">
        <v>90</v>
      </c>
      <c r="D1768" t="s">
        <v>81</v>
      </c>
      <c r="E1768" t="s">
        <v>131</v>
      </c>
      <c r="F1768" t="s">
        <v>73</v>
      </c>
      <c r="G1768" t="s">
        <v>74</v>
      </c>
      <c r="H1768" t="s">
        <v>112</v>
      </c>
      <c r="I1768" t="s">
        <v>84</v>
      </c>
      <c r="J1768" s="4">
        <f>'SUT_EU27 total'!$R$58</f>
        <v>0</v>
      </c>
    </row>
    <row r="1769" spans="1:10" x14ac:dyDescent="0.35">
      <c r="A1769" t="s">
        <v>18</v>
      </c>
      <c r="B1769" t="s">
        <v>39</v>
      </c>
      <c r="C1769" t="s">
        <v>90</v>
      </c>
      <c r="D1769" t="s">
        <v>81</v>
      </c>
      <c r="E1769" t="s">
        <v>122</v>
      </c>
      <c r="F1769" t="s">
        <v>73</v>
      </c>
      <c r="G1769" t="s">
        <v>74</v>
      </c>
      <c r="H1769" t="s">
        <v>112</v>
      </c>
      <c r="I1769" t="s">
        <v>84</v>
      </c>
      <c r="J1769" s="76">
        <f>'SUT_EU27 total'!$R$64</f>
        <v>6.4108466461028498E-4</v>
      </c>
    </row>
    <row r="1770" spans="1:10" x14ac:dyDescent="0.35">
      <c r="A1770" t="s">
        <v>18</v>
      </c>
      <c r="B1770" t="s">
        <v>39</v>
      </c>
      <c r="C1770" t="s">
        <v>90</v>
      </c>
      <c r="D1770" t="s">
        <v>81</v>
      </c>
      <c r="E1770" t="s">
        <v>101</v>
      </c>
      <c r="F1770" t="s">
        <v>73</v>
      </c>
      <c r="G1770" t="s">
        <v>74</v>
      </c>
      <c r="H1770" t="s">
        <v>112</v>
      </c>
      <c r="I1770" t="s">
        <v>84</v>
      </c>
      <c r="J1770" s="4" cm="1">
        <f t="array" ref="J1770:J1772">'SUT_EU27 total'!$R$66:$R$68</f>
        <v>0</v>
      </c>
    </row>
    <row r="1771" spans="1:10" x14ac:dyDescent="0.35">
      <c r="A1771" t="s">
        <v>18</v>
      </c>
      <c r="B1771" t="s">
        <v>39</v>
      </c>
      <c r="C1771" t="s">
        <v>90</v>
      </c>
      <c r="D1771" t="s">
        <v>81</v>
      </c>
      <c r="E1771" t="s">
        <v>104</v>
      </c>
      <c r="F1771" t="s">
        <v>73</v>
      </c>
      <c r="G1771" t="s">
        <v>74</v>
      </c>
      <c r="H1771" t="s">
        <v>112</v>
      </c>
      <c r="I1771" t="s">
        <v>84</v>
      </c>
      <c r="J1771" s="4">
        <v>0</v>
      </c>
    </row>
    <row r="1772" spans="1:10" x14ac:dyDescent="0.35">
      <c r="A1772" t="s">
        <v>18</v>
      </c>
      <c r="B1772" t="s">
        <v>39</v>
      </c>
      <c r="C1772" t="s">
        <v>90</v>
      </c>
      <c r="D1772" t="s">
        <v>81</v>
      </c>
      <c r="E1772" t="s">
        <v>106</v>
      </c>
      <c r="F1772" t="s">
        <v>73</v>
      </c>
      <c r="G1772" t="s">
        <v>74</v>
      </c>
      <c r="H1772" t="s">
        <v>112</v>
      </c>
      <c r="I1772" t="s">
        <v>84</v>
      </c>
      <c r="J1772" s="4">
        <v>0</v>
      </c>
    </row>
    <row r="1773" spans="1:10" x14ac:dyDescent="0.35">
      <c r="A1773" t="s">
        <v>18</v>
      </c>
      <c r="B1773" t="s">
        <v>39</v>
      </c>
      <c r="C1773" t="s">
        <v>91</v>
      </c>
      <c r="D1773" t="s">
        <v>81</v>
      </c>
      <c r="E1773" t="s">
        <v>131</v>
      </c>
      <c r="F1773" t="s">
        <v>73</v>
      </c>
      <c r="G1773" t="s">
        <v>74</v>
      </c>
      <c r="H1773" t="s">
        <v>112</v>
      </c>
      <c r="I1773" t="s">
        <v>84</v>
      </c>
      <c r="J1773" s="4">
        <f>'SUT_EU27 total'!$R$75</f>
        <v>0</v>
      </c>
    </row>
    <row r="1774" spans="1:10" x14ac:dyDescent="0.35">
      <c r="A1774" t="s">
        <v>18</v>
      </c>
      <c r="B1774" t="s">
        <v>39</v>
      </c>
      <c r="C1774" t="s">
        <v>91</v>
      </c>
      <c r="D1774" t="s">
        <v>81</v>
      </c>
      <c r="E1774" t="s">
        <v>122</v>
      </c>
      <c r="F1774" t="s">
        <v>73</v>
      </c>
      <c r="G1774" t="s">
        <v>74</v>
      </c>
      <c r="H1774" t="s">
        <v>112</v>
      </c>
      <c r="I1774" t="s">
        <v>84</v>
      </c>
      <c r="J1774" s="76">
        <f>'SUT_EU27 total'!$R$81</f>
        <v>0</v>
      </c>
    </row>
    <row r="1775" spans="1:10" x14ac:dyDescent="0.35">
      <c r="A1775" t="s">
        <v>18</v>
      </c>
      <c r="B1775" t="s">
        <v>39</v>
      </c>
      <c r="C1775" t="s">
        <v>91</v>
      </c>
      <c r="D1775" t="s">
        <v>81</v>
      </c>
      <c r="E1775" t="s">
        <v>101</v>
      </c>
      <c r="F1775" t="s">
        <v>73</v>
      </c>
      <c r="G1775" t="s">
        <v>74</v>
      </c>
      <c r="H1775" t="s">
        <v>112</v>
      </c>
      <c r="I1775" t="s">
        <v>84</v>
      </c>
      <c r="J1775" s="4" cm="1">
        <f t="array" ref="J1775:J1777">'SUT_EU27 total'!$R$83:$R$85</f>
        <v>0</v>
      </c>
    </row>
    <row r="1776" spans="1:10" x14ac:dyDescent="0.35">
      <c r="A1776" t="s">
        <v>18</v>
      </c>
      <c r="B1776" t="s">
        <v>39</v>
      </c>
      <c r="C1776" t="s">
        <v>91</v>
      </c>
      <c r="D1776" t="s">
        <v>81</v>
      </c>
      <c r="E1776" t="s">
        <v>104</v>
      </c>
      <c r="F1776" t="s">
        <v>73</v>
      </c>
      <c r="G1776" t="s">
        <v>74</v>
      </c>
      <c r="H1776" t="s">
        <v>112</v>
      </c>
      <c r="I1776" t="s">
        <v>84</v>
      </c>
      <c r="J1776" s="4">
        <v>0</v>
      </c>
    </row>
    <row r="1777" spans="1:10" x14ac:dyDescent="0.35">
      <c r="A1777" t="s">
        <v>18</v>
      </c>
      <c r="B1777" t="s">
        <v>39</v>
      </c>
      <c r="C1777" t="s">
        <v>91</v>
      </c>
      <c r="D1777" t="s">
        <v>81</v>
      </c>
      <c r="E1777" t="s">
        <v>106</v>
      </c>
      <c r="F1777" t="s">
        <v>73</v>
      </c>
      <c r="G1777" t="s">
        <v>74</v>
      </c>
      <c r="H1777" t="s">
        <v>112</v>
      </c>
      <c r="I1777" t="s">
        <v>84</v>
      </c>
      <c r="J1777" s="4">
        <v>0</v>
      </c>
    </row>
    <row r="1778" spans="1:10" x14ac:dyDescent="0.35">
      <c r="A1778" t="s">
        <v>18</v>
      </c>
      <c r="B1778" t="s">
        <v>39</v>
      </c>
      <c r="C1778" t="s">
        <v>92</v>
      </c>
      <c r="D1778" t="s">
        <v>81</v>
      </c>
      <c r="E1778" t="s">
        <v>131</v>
      </c>
      <c r="F1778" t="s">
        <v>73</v>
      </c>
      <c r="G1778" t="s">
        <v>74</v>
      </c>
      <c r="H1778" t="s">
        <v>112</v>
      </c>
      <c r="I1778" t="s">
        <v>84</v>
      </c>
      <c r="J1778" s="4">
        <f>'SUT_EU27 total'!$R$92</f>
        <v>0</v>
      </c>
    </row>
    <row r="1779" spans="1:10" x14ac:dyDescent="0.35">
      <c r="A1779" t="s">
        <v>18</v>
      </c>
      <c r="B1779" t="s">
        <v>39</v>
      </c>
      <c r="C1779" t="s">
        <v>92</v>
      </c>
      <c r="D1779" t="s">
        <v>81</v>
      </c>
      <c r="E1779" t="s">
        <v>122</v>
      </c>
      <c r="F1779" t="s">
        <v>73</v>
      </c>
      <c r="G1779" t="s">
        <v>74</v>
      </c>
      <c r="H1779" t="s">
        <v>112</v>
      </c>
      <c r="I1779" t="s">
        <v>84</v>
      </c>
      <c r="J1779" s="76">
        <f>'SUT_EU27 total'!$R$98</f>
        <v>0</v>
      </c>
    </row>
    <row r="1780" spans="1:10" x14ac:dyDescent="0.35">
      <c r="A1780" t="s">
        <v>18</v>
      </c>
      <c r="B1780" t="s">
        <v>39</v>
      </c>
      <c r="C1780" t="s">
        <v>92</v>
      </c>
      <c r="D1780" t="s">
        <v>81</v>
      </c>
      <c r="E1780" t="s">
        <v>101</v>
      </c>
      <c r="F1780" t="s">
        <v>73</v>
      </c>
      <c r="G1780" t="s">
        <v>74</v>
      </c>
      <c r="H1780" t="s">
        <v>112</v>
      </c>
      <c r="I1780" t="s">
        <v>84</v>
      </c>
      <c r="J1780" s="4" cm="1">
        <f t="array" ref="J1780:J1782">'SUT_EU27 total'!$R$100:$R$102</f>
        <v>0</v>
      </c>
    </row>
    <row r="1781" spans="1:10" x14ac:dyDescent="0.35">
      <c r="A1781" t="s">
        <v>18</v>
      </c>
      <c r="B1781" t="s">
        <v>39</v>
      </c>
      <c r="C1781" t="s">
        <v>92</v>
      </c>
      <c r="D1781" t="s">
        <v>81</v>
      </c>
      <c r="E1781" t="s">
        <v>104</v>
      </c>
      <c r="F1781" t="s">
        <v>73</v>
      </c>
      <c r="G1781" t="s">
        <v>74</v>
      </c>
      <c r="H1781" t="s">
        <v>112</v>
      </c>
      <c r="I1781" t="s">
        <v>84</v>
      </c>
      <c r="J1781" s="4">
        <v>0</v>
      </c>
    </row>
    <row r="1782" spans="1:10" x14ac:dyDescent="0.35">
      <c r="A1782" t="s">
        <v>18</v>
      </c>
      <c r="B1782" t="s">
        <v>39</v>
      </c>
      <c r="C1782" t="s">
        <v>92</v>
      </c>
      <c r="D1782" t="s">
        <v>81</v>
      </c>
      <c r="E1782" t="s">
        <v>106</v>
      </c>
      <c r="F1782" t="s">
        <v>73</v>
      </c>
      <c r="G1782" t="s">
        <v>74</v>
      </c>
      <c r="H1782" t="s">
        <v>112</v>
      </c>
      <c r="I1782" t="s">
        <v>84</v>
      </c>
      <c r="J1782" s="4">
        <v>0</v>
      </c>
    </row>
    <row r="1783" spans="1:10" x14ac:dyDescent="0.35">
      <c r="A1783" t="s">
        <v>18</v>
      </c>
      <c r="B1783" t="s">
        <v>39</v>
      </c>
      <c r="C1783" t="s">
        <v>93</v>
      </c>
      <c r="D1783" t="s">
        <v>81</v>
      </c>
      <c r="E1783" t="s">
        <v>131</v>
      </c>
      <c r="F1783" t="s">
        <v>73</v>
      </c>
      <c r="G1783" t="s">
        <v>74</v>
      </c>
      <c r="H1783" t="s">
        <v>112</v>
      </c>
      <c r="I1783" t="s">
        <v>84</v>
      </c>
      <c r="J1783" s="4">
        <f>'SUT_EU27 total'!$R$109</f>
        <v>0</v>
      </c>
    </row>
    <row r="1784" spans="1:10" x14ac:dyDescent="0.35">
      <c r="A1784" t="s">
        <v>18</v>
      </c>
      <c r="B1784" t="s">
        <v>39</v>
      </c>
      <c r="C1784" t="s">
        <v>93</v>
      </c>
      <c r="D1784" t="s">
        <v>81</v>
      </c>
      <c r="E1784" t="s">
        <v>122</v>
      </c>
      <c r="F1784" t="s">
        <v>73</v>
      </c>
      <c r="G1784" t="s">
        <v>74</v>
      </c>
      <c r="H1784" t="s">
        <v>112</v>
      </c>
      <c r="I1784" t="s">
        <v>84</v>
      </c>
      <c r="J1784" s="76">
        <f>'SUT_EU27 total'!$R$115</f>
        <v>2.188358424259166E-3</v>
      </c>
    </row>
    <row r="1785" spans="1:10" x14ac:dyDescent="0.35">
      <c r="A1785" t="s">
        <v>18</v>
      </c>
      <c r="B1785" t="s">
        <v>39</v>
      </c>
      <c r="C1785" t="s">
        <v>93</v>
      </c>
      <c r="D1785" t="s">
        <v>81</v>
      </c>
      <c r="E1785" t="s">
        <v>101</v>
      </c>
      <c r="F1785" t="s">
        <v>73</v>
      </c>
      <c r="G1785" t="s">
        <v>74</v>
      </c>
      <c r="H1785" t="s">
        <v>112</v>
      </c>
      <c r="I1785" t="s">
        <v>84</v>
      </c>
      <c r="J1785" s="4" cm="1">
        <f t="array" ref="J1785:J1787">'SUT_EU27 total'!$R$117:$R$119</f>
        <v>0</v>
      </c>
    </row>
    <row r="1786" spans="1:10" x14ac:dyDescent="0.35">
      <c r="A1786" t="s">
        <v>18</v>
      </c>
      <c r="B1786" t="s">
        <v>39</v>
      </c>
      <c r="C1786" t="s">
        <v>93</v>
      </c>
      <c r="D1786" t="s">
        <v>81</v>
      </c>
      <c r="E1786" t="s">
        <v>104</v>
      </c>
      <c r="F1786" t="s">
        <v>73</v>
      </c>
      <c r="G1786" t="s">
        <v>74</v>
      </c>
      <c r="H1786" t="s">
        <v>112</v>
      </c>
      <c r="I1786" t="s">
        <v>84</v>
      </c>
      <c r="J1786" s="4">
        <v>0</v>
      </c>
    </row>
    <row r="1787" spans="1:10" x14ac:dyDescent="0.35">
      <c r="A1787" t="s">
        <v>18</v>
      </c>
      <c r="B1787" t="s">
        <v>39</v>
      </c>
      <c r="C1787" t="s">
        <v>93</v>
      </c>
      <c r="D1787" t="s">
        <v>81</v>
      </c>
      <c r="E1787" t="s">
        <v>106</v>
      </c>
      <c r="F1787" t="s">
        <v>73</v>
      </c>
      <c r="G1787" t="s">
        <v>74</v>
      </c>
      <c r="H1787" t="s">
        <v>112</v>
      </c>
      <c r="I1787" t="s">
        <v>84</v>
      </c>
      <c r="J1787" s="4">
        <v>0</v>
      </c>
    </row>
    <row r="1788" spans="1:10" x14ac:dyDescent="0.35">
      <c r="A1788" t="s">
        <v>18</v>
      </c>
      <c r="B1788" t="s">
        <v>39</v>
      </c>
      <c r="C1788" t="s">
        <v>73</v>
      </c>
      <c r="D1788" t="s">
        <v>81</v>
      </c>
      <c r="E1788" t="s">
        <v>131</v>
      </c>
      <c r="F1788" t="s">
        <v>73</v>
      </c>
      <c r="G1788" t="s">
        <v>74</v>
      </c>
      <c r="H1788" t="s">
        <v>113</v>
      </c>
      <c r="I1788" t="s">
        <v>84</v>
      </c>
      <c r="J1788" s="76">
        <f>'SUT_EU27 total'!$S$24</f>
        <v>5.0294789999999994E-8</v>
      </c>
    </row>
    <row r="1789" spans="1:10" x14ac:dyDescent="0.35">
      <c r="A1789" t="s">
        <v>18</v>
      </c>
      <c r="B1789" t="s">
        <v>39</v>
      </c>
      <c r="C1789" t="s">
        <v>73</v>
      </c>
      <c r="D1789" t="s">
        <v>81</v>
      </c>
      <c r="E1789" t="s">
        <v>101</v>
      </c>
      <c r="F1789" t="s">
        <v>73</v>
      </c>
      <c r="G1789" t="s">
        <v>74</v>
      </c>
      <c r="H1789" t="s">
        <v>113</v>
      </c>
      <c r="I1789" t="s">
        <v>84</v>
      </c>
      <c r="J1789" s="471" cm="1">
        <f t="array" ref="J1789:J1791">Sensitivity!J101:J103</f>
        <v>6.8810429691480707E-5</v>
      </c>
    </row>
    <row r="1790" spans="1:10" x14ac:dyDescent="0.35">
      <c r="A1790" t="s">
        <v>18</v>
      </c>
      <c r="B1790" t="s">
        <v>39</v>
      </c>
      <c r="C1790" t="s">
        <v>73</v>
      </c>
      <c r="D1790" t="s">
        <v>81</v>
      </c>
      <c r="E1790" t="s">
        <v>104</v>
      </c>
      <c r="F1790" t="s">
        <v>73</v>
      </c>
      <c r="G1790" t="s">
        <v>74</v>
      </c>
      <c r="H1790" t="s">
        <v>113</v>
      </c>
      <c r="I1790" t="s">
        <v>84</v>
      </c>
      <c r="J1790" s="460">
        <v>3.9457883069482079E-5</v>
      </c>
    </row>
    <row r="1791" spans="1:10" x14ac:dyDescent="0.35">
      <c r="A1791" t="s">
        <v>18</v>
      </c>
      <c r="B1791" t="s">
        <v>39</v>
      </c>
      <c r="C1791" t="s">
        <v>73</v>
      </c>
      <c r="D1791" t="s">
        <v>81</v>
      </c>
      <c r="E1791" t="s">
        <v>106</v>
      </c>
      <c r="F1791" t="s">
        <v>73</v>
      </c>
      <c r="G1791" t="s">
        <v>74</v>
      </c>
      <c r="H1791" t="s">
        <v>113</v>
      </c>
      <c r="I1791" t="s">
        <v>84</v>
      </c>
      <c r="J1791" s="460">
        <v>5.8649334297860749E-5</v>
      </c>
    </row>
    <row r="1792" spans="1:10" x14ac:dyDescent="0.35">
      <c r="A1792" t="s">
        <v>18</v>
      </c>
      <c r="B1792" t="s">
        <v>39</v>
      </c>
      <c r="C1792" t="s">
        <v>88</v>
      </c>
      <c r="D1792" t="s">
        <v>81</v>
      </c>
      <c r="E1792" t="s">
        <v>131</v>
      </c>
      <c r="F1792" t="s">
        <v>73</v>
      </c>
      <c r="G1792" t="s">
        <v>74</v>
      </c>
      <c r="H1792" t="s">
        <v>113</v>
      </c>
      <c r="I1792" t="s">
        <v>84</v>
      </c>
      <c r="J1792" s="4">
        <f>'SUT_EU27 total'!$S$41</f>
        <v>0</v>
      </c>
    </row>
    <row r="1793" spans="1:10" x14ac:dyDescent="0.35">
      <c r="A1793" t="s">
        <v>18</v>
      </c>
      <c r="B1793" t="s">
        <v>39</v>
      </c>
      <c r="C1793" t="s">
        <v>88</v>
      </c>
      <c r="D1793" t="s">
        <v>81</v>
      </c>
      <c r="E1793" t="s">
        <v>101</v>
      </c>
      <c r="F1793" t="s">
        <v>73</v>
      </c>
      <c r="G1793" t="s">
        <v>74</v>
      </c>
      <c r="H1793" t="s">
        <v>113</v>
      </c>
      <c r="I1793" t="s">
        <v>84</v>
      </c>
      <c r="J1793" s="4" cm="1">
        <f t="array" ref="J1793:J1795">'SUT_EU27 total'!$S$49:$S$51</f>
        <v>0</v>
      </c>
    </row>
    <row r="1794" spans="1:10" x14ac:dyDescent="0.35">
      <c r="A1794" t="s">
        <v>18</v>
      </c>
      <c r="B1794" t="s">
        <v>39</v>
      </c>
      <c r="C1794" t="s">
        <v>88</v>
      </c>
      <c r="D1794" t="s">
        <v>81</v>
      </c>
      <c r="E1794" t="s">
        <v>104</v>
      </c>
      <c r="F1794" t="s">
        <v>73</v>
      </c>
      <c r="G1794" t="s">
        <v>74</v>
      </c>
      <c r="H1794" t="s">
        <v>113</v>
      </c>
      <c r="I1794" t="s">
        <v>84</v>
      </c>
      <c r="J1794" s="4">
        <v>0</v>
      </c>
    </row>
    <row r="1795" spans="1:10" x14ac:dyDescent="0.35">
      <c r="A1795" t="s">
        <v>18</v>
      </c>
      <c r="B1795" t="s">
        <v>39</v>
      </c>
      <c r="C1795" t="s">
        <v>88</v>
      </c>
      <c r="D1795" t="s">
        <v>81</v>
      </c>
      <c r="E1795" t="s">
        <v>106</v>
      </c>
      <c r="F1795" t="s">
        <v>73</v>
      </c>
      <c r="G1795" t="s">
        <v>74</v>
      </c>
      <c r="H1795" t="s">
        <v>113</v>
      </c>
      <c r="I1795" t="s">
        <v>84</v>
      </c>
      <c r="J1795" s="4">
        <v>0</v>
      </c>
    </row>
    <row r="1796" spans="1:10" x14ac:dyDescent="0.35">
      <c r="A1796" t="s">
        <v>18</v>
      </c>
      <c r="B1796" t="s">
        <v>39</v>
      </c>
      <c r="C1796" t="s">
        <v>90</v>
      </c>
      <c r="D1796" t="s">
        <v>81</v>
      </c>
      <c r="E1796" t="s">
        <v>131</v>
      </c>
      <c r="F1796" t="s">
        <v>73</v>
      </c>
      <c r="G1796" t="s">
        <v>74</v>
      </c>
      <c r="H1796" t="s">
        <v>113</v>
      </c>
      <c r="I1796" t="s">
        <v>84</v>
      </c>
      <c r="J1796" s="4">
        <f>'SUT_EU27 total'!$S$58</f>
        <v>0</v>
      </c>
    </row>
    <row r="1797" spans="1:10" x14ac:dyDescent="0.35">
      <c r="A1797" t="s">
        <v>18</v>
      </c>
      <c r="B1797" t="s">
        <v>39</v>
      </c>
      <c r="C1797" t="s">
        <v>90</v>
      </c>
      <c r="D1797" t="s">
        <v>81</v>
      </c>
      <c r="E1797" t="s">
        <v>101</v>
      </c>
      <c r="F1797" t="s">
        <v>73</v>
      </c>
      <c r="G1797" t="s">
        <v>74</v>
      </c>
      <c r="H1797" t="s">
        <v>113</v>
      </c>
      <c r="I1797" t="s">
        <v>84</v>
      </c>
      <c r="J1797" s="4" cm="1">
        <f t="array" ref="J1797:J1799">'SUT_EU27 total'!$S$66:$S$68</f>
        <v>0</v>
      </c>
    </row>
    <row r="1798" spans="1:10" x14ac:dyDescent="0.35">
      <c r="A1798" t="s">
        <v>18</v>
      </c>
      <c r="B1798" t="s">
        <v>39</v>
      </c>
      <c r="C1798" t="s">
        <v>90</v>
      </c>
      <c r="D1798" t="s">
        <v>81</v>
      </c>
      <c r="E1798" t="s">
        <v>104</v>
      </c>
      <c r="F1798" t="s">
        <v>73</v>
      </c>
      <c r="G1798" t="s">
        <v>74</v>
      </c>
      <c r="H1798" t="s">
        <v>113</v>
      </c>
      <c r="I1798" t="s">
        <v>84</v>
      </c>
      <c r="J1798" s="4">
        <v>0</v>
      </c>
    </row>
    <row r="1799" spans="1:10" x14ac:dyDescent="0.35">
      <c r="A1799" t="s">
        <v>18</v>
      </c>
      <c r="B1799" t="s">
        <v>39</v>
      </c>
      <c r="C1799" t="s">
        <v>90</v>
      </c>
      <c r="D1799" t="s">
        <v>81</v>
      </c>
      <c r="E1799" t="s">
        <v>106</v>
      </c>
      <c r="F1799" t="s">
        <v>73</v>
      </c>
      <c r="G1799" t="s">
        <v>74</v>
      </c>
      <c r="H1799" t="s">
        <v>113</v>
      </c>
      <c r="I1799" t="s">
        <v>84</v>
      </c>
      <c r="J1799" s="4">
        <v>0</v>
      </c>
    </row>
    <row r="1800" spans="1:10" x14ac:dyDescent="0.35">
      <c r="A1800" t="s">
        <v>18</v>
      </c>
      <c r="B1800" t="s">
        <v>39</v>
      </c>
      <c r="C1800" t="s">
        <v>91</v>
      </c>
      <c r="D1800" t="s">
        <v>81</v>
      </c>
      <c r="E1800" t="s">
        <v>131</v>
      </c>
      <c r="F1800" t="s">
        <v>73</v>
      </c>
      <c r="G1800" t="s">
        <v>74</v>
      </c>
      <c r="H1800" t="s">
        <v>113</v>
      </c>
      <c r="I1800" t="s">
        <v>84</v>
      </c>
      <c r="J1800" s="4">
        <f>'SUT_EU27 total'!$S$75</f>
        <v>0</v>
      </c>
    </row>
    <row r="1801" spans="1:10" x14ac:dyDescent="0.35">
      <c r="A1801" t="s">
        <v>18</v>
      </c>
      <c r="B1801" t="s">
        <v>39</v>
      </c>
      <c r="C1801" t="s">
        <v>91</v>
      </c>
      <c r="D1801" t="s">
        <v>81</v>
      </c>
      <c r="E1801" t="s">
        <v>101</v>
      </c>
      <c r="F1801" t="s">
        <v>73</v>
      </c>
      <c r="G1801" t="s">
        <v>74</v>
      </c>
      <c r="H1801" t="s">
        <v>113</v>
      </c>
      <c r="I1801" t="s">
        <v>84</v>
      </c>
      <c r="J1801" s="4" cm="1">
        <f t="array" ref="J1801:J1803">'SUT_EU27 total'!$S$83:$S$85</f>
        <v>0</v>
      </c>
    </row>
    <row r="1802" spans="1:10" x14ac:dyDescent="0.35">
      <c r="A1802" t="s">
        <v>18</v>
      </c>
      <c r="B1802" t="s">
        <v>39</v>
      </c>
      <c r="C1802" t="s">
        <v>91</v>
      </c>
      <c r="D1802" t="s">
        <v>81</v>
      </c>
      <c r="E1802" t="s">
        <v>104</v>
      </c>
      <c r="F1802" t="s">
        <v>73</v>
      </c>
      <c r="G1802" t="s">
        <v>74</v>
      </c>
      <c r="H1802" t="s">
        <v>113</v>
      </c>
      <c r="I1802" t="s">
        <v>84</v>
      </c>
      <c r="J1802" s="4">
        <v>0</v>
      </c>
    </row>
    <row r="1803" spans="1:10" x14ac:dyDescent="0.35">
      <c r="A1803" t="s">
        <v>18</v>
      </c>
      <c r="B1803" t="s">
        <v>39</v>
      </c>
      <c r="C1803" t="s">
        <v>91</v>
      </c>
      <c r="D1803" t="s">
        <v>81</v>
      </c>
      <c r="E1803" t="s">
        <v>106</v>
      </c>
      <c r="F1803" t="s">
        <v>73</v>
      </c>
      <c r="G1803" t="s">
        <v>74</v>
      </c>
      <c r="H1803" t="s">
        <v>113</v>
      </c>
      <c r="I1803" t="s">
        <v>84</v>
      </c>
      <c r="J1803" s="4">
        <v>0</v>
      </c>
    </row>
    <row r="1804" spans="1:10" x14ac:dyDescent="0.35">
      <c r="A1804" t="s">
        <v>18</v>
      </c>
      <c r="B1804" t="s">
        <v>39</v>
      </c>
      <c r="C1804" t="s">
        <v>92</v>
      </c>
      <c r="D1804" t="s">
        <v>81</v>
      </c>
      <c r="E1804" t="s">
        <v>131</v>
      </c>
      <c r="F1804" t="s">
        <v>73</v>
      </c>
      <c r="G1804" t="s">
        <v>74</v>
      </c>
      <c r="H1804" t="s">
        <v>113</v>
      </c>
      <c r="I1804" t="s">
        <v>84</v>
      </c>
      <c r="J1804" s="4">
        <f>'SUT_EU27 total'!$S$92</f>
        <v>0</v>
      </c>
    </row>
    <row r="1805" spans="1:10" x14ac:dyDescent="0.35">
      <c r="A1805" t="s">
        <v>18</v>
      </c>
      <c r="B1805" t="s">
        <v>39</v>
      </c>
      <c r="C1805" t="s">
        <v>92</v>
      </c>
      <c r="D1805" t="s">
        <v>81</v>
      </c>
      <c r="E1805" t="s">
        <v>101</v>
      </c>
      <c r="F1805" t="s">
        <v>73</v>
      </c>
      <c r="G1805" t="s">
        <v>74</v>
      </c>
      <c r="H1805" t="s">
        <v>113</v>
      </c>
      <c r="I1805" t="s">
        <v>84</v>
      </c>
      <c r="J1805" s="4" cm="1">
        <f t="array" ref="J1805:J1807">'SUT_EU27 total'!$S$100:$S$102</f>
        <v>0</v>
      </c>
    </row>
    <row r="1806" spans="1:10" x14ac:dyDescent="0.35">
      <c r="A1806" t="s">
        <v>18</v>
      </c>
      <c r="B1806" t="s">
        <v>39</v>
      </c>
      <c r="C1806" t="s">
        <v>92</v>
      </c>
      <c r="D1806" t="s">
        <v>81</v>
      </c>
      <c r="E1806" t="s">
        <v>104</v>
      </c>
      <c r="F1806" t="s">
        <v>73</v>
      </c>
      <c r="G1806" t="s">
        <v>74</v>
      </c>
      <c r="H1806" t="s">
        <v>113</v>
      </c>
      <c r="I1806" t="s">
        <v>84</v>
      </c>
      <c r="J1806" s="4">
        <v>0</v>
      </c>
    </row>
    <row r="1807" spans="1:10" x14ac:dyDescent="0.35">
      <c r="A1807" t="s">
        <v>18</v>
      </c>
      <c r="B1807" t="s">
        <v>39</v>
      </c>
      <c r="C1807" t="s">
        <v>92</v>
      </c>
      <c r="D1807" t="s">
        <v>81</v>
      </c>
      <c r="E1807" t="s">
        <v>106</v>
      </c>
      <c r="F1807" t="s">
        <v>73</v>
      </c>
      <c r="G1807" t="s">
        <v>74</v>
      </c>
      <c r="H1807" t="s">
        <v>113</v>
      </c>
      <c r="I1807" t="s">
        <v>84</v>
      </c>
      <c r="J1807" s="4">
        <v>0</v>
      </c>
    </row>
    <row r="1808" spans="1:10" x14ac:dyDescent="0.35">
      <c r="A1808" t="s">
        <v>18</v>
      </c>
      <c r="B1808" t="s">
        <v>39</v>
      </c>
      <c r="C1808" t="s">
        <v>93</v>
      </c>
      <c r="D1808" t="s">
        <v>81</v>
      </c>
      <c r="E1808" t="s">
        <v>131</v>
      </c>
      <c r="F1808" t="s">
        <v>73</v>
      </c>
      <c r="G1808" t="s">
        <v>74</v>
      </c>
      <c r="H1808" t="s">
        <v>113</v>
      </c>
      <c r="I1808" t="s">
        <v>84</v>
      </c>
      <c r="J1808" s="4">
        <f>'SUT_EU27 total'!$S$109</f>
        <v>0</v>
      </c>
    </row>
    <row r="1809" spans="1:10" x14ac:dyDescent="0.35">
      <c r="A1809" t="s">
        <v>18</v>
      </c>
      <c r="B1809" t="s">
        <v>39</v>
      </c>
      <c r="C1809" t="s">
        <v>93</v>
      </c>
      <c r="D1809" t="s">
        <v>81</v>
      </c>
      <c r="E1809" t="s">
        <v>101</v>
      </c>
      <c r="F1809" t="s">
        <v>73</v>
      </c>
      <c r="G1809" t="s">
        <v>74</v>
      </c>
      <c r="H1809" t="s">
        <v>113</v>
      </c>
      <c r="I1809" t="s">
        <v>84</v>
      </c>
      <c r="J1809" s="4" cm="1">
        <f t="array" ref="J1809:J1811">'SUT_EU27 total'!$S$117:$S$119</f>
        <v>0</v>
      </c>
    </row>
    <row r="1810" spans="1:10" x14ac:dyDescent="0.35">
      <c r="A1810" t="s">
        <v>18</v>
      </c>
      <c r="B1810" t="s">
        <v>39</v>
      </c>
      <c r="C1810" t="s">
        <v>93</v>
      </c>
      <c r="D1810" t="s">
        <v>81</v>
      </c>
      <c r="E1810" t="s">
        <v>104</v>
      </c>
      <c r="F1810" t="s">
        <v>73</v>
      </c>
      <c r="G1810" t="s">
        <v>74</v>
      </c>
      <c r="H1810" t="s">
        <v>113</v>
      </c>
      <c r="I1810" t="s">
        <v>84</v>
      </c>
      <c r="J1810" s="4">
        <v>0</v>
      </c>
    </row>
    <row r="1811" spans="1:10" x14ac:dyDescent="0.35">
      <c r="A1811" t="s">
        <v>18</v>
      </c>
      <c r="B1811" t="s">
        <v>39</v>
      </c>
      <c r="C1811" t="s">
        <v>93</v>
      </c>
      <c r="D1811" t="s">
        <v>81</v>
      </c>
      <c r="E1811" t="s">
        <v>106</v>
      </c>
      <c r="F1811" t="s">
        <v>73</v>
      </c>
      <c r="G1811" t="s">
        <v>74</v>
      </c>
      <c r="H1811" t="s">
        <v>113</v>
      </c>
      <c r="I1811" t="s">
        <v>84</v>
      </c>
      <c r="J1811" s="4">
        <v>0</v>
      </c>
    </row>
    <row r="1812" spans="1:10" x14ac:dyDescent="0.35">
      <c r="A1812" t="s">
        <v>18</v>
      </c>
      <c r="B1812" t="s">
        <v>39</v>
      </c>
      <c r="C1812" t="s">
        <v>73</v>
      </c>
      <c r="D1812" t="s">
        <v>74</v>
      </c>
      <c r="E1812" t="s">
        <v>123</v>
      </c>
      <c r="F1812" t="s">
        <v>73</v>
      </c>
      <c r="G1812" t="s">
        <v>81</v>
      </c>
      <c r="H1812" t="s">
        <v>115</v>
      </c>
      <c r="I1812" t="s">
        <v>84</v>
      </c>
      <c r="J1812" s="4" cm="1">
        <f t="array" ref="J1812:J1818">TRANSPOSE('2030 pathways'!$C$17:$I$17)</f>
        <v>0.1003</v>
      </c>
    </row>
    <row r="1813" spans="1:10" x14ac:dyDescent="0.35">
      <c r="A1813" t="s">
        <v>18</v>
      </c>
      <c r="B1813" t="s">
        <v>39</v>
      </c>
      <c r="C1813" t="s">
        <v>73</v>
      </c>
      <c r="D1813" t="s">
        <v>74</v>
      </c>
      <c r="E1813" t="s">
        <v>127</v>
      </c>
      <c r="F1813" t="s">
        <v>73</v>
      </c>
      <c r="G1813" t="s">
        <v>81</v>
      </c>
      <c r="H1813" t="s">
        <v>115</v>
      </c>
      <c r="I1813" t="s">
        <v>84</v>
      </c>
      <c r="J1813" s="4">
        <v>0.17699999999999999</v>
      </c>
    </row>
    <row r="1814" spans="1:10" x14ac:dyDescent="0.35">
      <c r="A1814" t="s">
        <v>18</v>
      </c>
      <c r="B1814" t="s">
        <v>39</v>
      </c>
      <c r="C1814" t="s">
        <v>73</v>
      </c>
      <c r="D1814" t="s">
        <v>74</v>
      </c>
      <c r="E1814" t="s">
        <v>128</v>
      </c>
      <c r="F1814" t="s">
        <v>73</v>
      </c>
      <c r="G1814" t="s">
        <v>81</v>
      </c>
      <c r="H1814" t="s">
        <v>115</v>
      </c>
      <c r="I1814" t="s">
        <v>84</v>
      </c>
      <c r="J1814" s="4">
        <v>8.8499999999999995E-2</v>
      </c>
    </row>
    <row r="1815" spans="1:10" x14ac:dyDescent="0.35">
      <c r="A1815" t="s">
        <v>18</v>
      </c>
      <c r="B1815" t="s">
        <v>39</v>
      </c>
      <c r="C1815" t="s">
        <v>73</v>
      </c>
      <c r="D1815" t="s">
        <v>74</v>
      </c>
      <c r="E1815" t="s">
        <v>129</v>
      </c>
      <c r="F1815" t="s">
        <v>73</v>
      </c>
      <c r="G1815" t="s">
        <v>81</v>
      </c>
      <c r="H1815" t="s">
        <v>115</v>
      </c>
      <c r="I1815" t="s">
        <v>84</v>
      </c>
      <c r="J1815" s="4">
        <v>5.8999999999999999E-3</v>
      </c>
    </row>
    <row r="1816" spans="1:10" x14ac:dyDescent="0.35">
      <c r="A1816" t="s">
        <v>18</v>
      </c>
      <c r="B1816" t="s">
        <v>39</v>
      </c>
      <c r="C1816" t="s">
        <v>73</v>
      </c>
      <c r="D1816" t="s">
        <v>74</v>
      </c>
      <c r="E1816" t="s">
        <v>77</v>
      </c>
      <c r="F1816" t="s">
        <v>73</v>
      </c>
      <c r="G1816" t="s">
        <v>81</v>
      </c>
      <c r="H1816" t="s">
        <v>115</v>
      </c>
      <c r="I1816" t="s">
        <v>84</v>
      </c>
      <c r="J1816" s="4">
        <v>5.8999999999999999E-3</v>
      </c>
    </row>
    <row r="1817" spans="1:10" x14ac:dyDescent="0.35">
      <c r="A1817" t="s">
        <v>18</v>
      </c>
      <c r="B1817" t="s">
        <v>39</v>
      </c>
      <c r="C1817" t="s">
        <v>73</v>
      </c>
      <c r="D1817" t="s">
        <v>74</v>
      </c>
      <c r="E1817" t="s">
        <v>130</v>
      </c>
      <c r="F1817" t="s">
        <v>73</v>
      </c>
      <c r="G1817" t="s">
        <v>81</v>
      </c>
      <c r="H1817" t="s">
        <v>115</v>
      </c>
      <c r="I1817" t="s">
        <v>84</v>
      </c>
      <c r="J1817" s="4">
        <v>0.21239999999999992</v>
      </c>
    </row>
    <row r="1818" spans="1:10" x14ac:dyDescent="0.35">
      <c r="A1818" t="s">
        <v>18</v>
      </c>
      <c r="B1818" t="s">
        <v>39</v>
      </c>
      <c r="C1818" t="s">
        <v>73</v>
      </c>
      <c r="D1818" t="s">
        <v>74</v>
      </c>
      <c r="E1818" t="s">
        <v>132</v>
      </c>
      <c r="F1818" t="s">
        <v>73</v>
      </c>
      <c r="G1818" t="s">
        <v>81</v>
      </c>
      <c r="H1818" t="s">
        <v>115</v>
      </c>
      <c r="I1818" t="s">
        <v>84</v>
      </c>
      <c r="J1818" s="4">
        <v>0.41</v>
      </c>
    </row>
    <row r="1819" spans="1:10" x14ac:dyDescent="0.35">
      <c r="A1819" t="s">
        <v>18</v>
      </c>
      <c r="B1819" t="s">
        <v>39</v>
      </c>
      <c r="C1819" t="s">
        <v>73</v>
      </c>
      <c r="D1819" t="s">
        <v>74</v>
      </c>
      <c r="E1819" t="s">
        <v>133</v>
      </c>
      <c r="F1819" t="s">
        <v>73</v>
      </c>
      <c r="G1819" t="s">
        <v>81</v>
      </c>
      <c r="H1819" t="s">
        <v>115</v>
      </c>
      <c r="I1819" t="s">
        <v>84</v>
      </c>
      <c r="J1819" s="4">
        <v>0</v>
      </c>
    </row>
    <row r="1820" spans="1:10" x14ac:dyDescent="0.35">
      <c r="J1820"/>
    </row>
    <row r="1821" spans="1:10" x14ac:dyDescent="0.35">
      <c r="J1821"/>
    </row>
    <row r="1822" spans="1:10" x14ac:dyDescent="0.35">
      <c r="J1822"/>
    </row>
    <row r="1823" spans="1:10" x14ac:dyDescent="0.35">
      <c r="J1823"/>
    </row>
    <row r="1824" spans="1:10" x14ac:dyDescent="0.35">
      <c r="J1824"/>
    </row>
    <row r="1825" spans="10:10" x14ac:dyDescent="0.35">
      <c r="J1825"/>
    </row>
    <row r="1826" spans="10:10" x14ac:dyDescent="0.35">
      <c r="J1826"/>
    </row>
    <row r="1827" spans="10:10" x14ac:dyDescent="0.35">
      <c r="J1827"/>
    </row>
    <row r="1828" spans="10:10" x14ac:dyDescent="0.35">
      <c r="J1828"/>
    </row>
    <row r="1829" spans="10:10" x14ac:dyDescent="0.35">
      <c r="J1829"/>
    </row>
    <row r="1830" spans="10:10" x14ac:dyDescent="0.35">
      <c r="J1830"/>
    </row>
    <row r="1831" spans="10:10" x14ac:dyDescent="0.35">
      <c r="J1831"/>
    </row>
    <row r="1832" spans="10:10" x14ac:dyDescent="0.35">
      <c r="J1832"/>
    </row>
    <row r="1833" spans="10:10" x14ac:dyDescent="0.35">
      <c r="J1833"/>
    </row>
    <row r="1834" spans="10:10" x14ac:dyDescent="0.35">
      <c r="J1834"/>
    </row>
    <row r="1835" spans="10:10" x14ac:dyDescent="0.35">
      <c r="J1835"/>
    </row>
    <row r="1836" spans="10:10" x14ac:dyDescent="0.35">
      <c r="J1836"/>
    </row>
    <row r="1837" spans="10:10" x14ac:dyDescent="0.35">
      <c r="J1837"/>
    </row>
    <row r="1838" spans="10:10" x14ac:dyDescent="0.35">
      <c r="J1838"/>
    </row>
    <row r="1839" spans="10:10" x14ac:dyDescent="0.35">
      <c r="J1839"/>
    </row>
    <row r="1840" spans="10:10" x14ac:dyDescent="0.35">
      <c r="J1840"/>
    </row>
    <row r="1841" spans="10:10" x14ac:dyDescent="0.35">
      <c r="J1841"/>
    </row>
    <row r="1842" spans="10:10" x14ac:dyDescent="0.35">
      <c r="J1842"/>
    </row>
    <row r="1843" spans="10:10" x14ac:dyDescent="0.35">
      <c r="J1843"/>
    </row>
    <row r="1844" spans="10:10" x14ac:dyDescent="0.35">
      <c r="J1844"/>
    </row>
    <row r="1845" spans="10:10" x14ac:dyDescent="0.35">
      <c r="J1845"/>
    </row>
    <row r="1846" spans="10:10" x14ac:dyDescent="0.35">
      <c r="J1846"/>
    </row>
    <row r="1847" spans="10:10" x14ac:dyDescent="0.35">
      <c r="J1847"/>
    </row>
    <row r="1848" spans="10:10" x14ac:dyDescent="0.35">
      <c r="J1848"/>
    </row>
    <row r="1849" spans="10:10" x14ac:dyDescent="0.35">
      <c r="J1849"/>
    </row>
    <row r="1850" spans="10:10" x14ac:dyDescent="0.35">
      <c r="J1850"/>
    </row>
    <row r="1851" spans="10:10" x14ac:dyDescent="0.35">
      <c r="J1851"/>
    </row>
    <row r="1852" spans="10:10" x14ac:dyDescent="0.35">
      <c r="J1852"/>
    </row>
    <row r="1853" spans="10:10" x14ac:dyDescent="0.35">
      <c r="J1853"/>
    </row>
    <row r="1854" spans="10:10" x14ac:dyDescent="0.35">
      <c r="J1854"/>
    </row>
    <row r="1855" spans="10:10" x14ac:dyDescent="0.35">
      <c r="J1855"/>
    </row>
    <row r="1856" spans="10:10" x14ac:dyDescent="0.35">
      <c r="J1856"/>
    </row>
    <row r="1857" spans="10:10" x14ac:dyDescent="0.35">
      <c r="J1857"/>
    </row>
    <row r="1858" spans="10:10" x14ac:dyDescent="0.35">
      <c r="J1858"/>
    </row>
    <row r="1859" spans="10:10" x14ac:dyDescent="0.35">
      <c r="J1859"/>
    </row>
    <row r="1860" spans="10:10" x14ac:dyDescent="0.35">
      <c r="J1860"/>
    </row>
    <row r="1861" spans="10:10" x14ac:dyDescent="0.35">
      <c r="J1861"/>
    </row>
    <row r="1862" spans="10:10" x14ac:dyDescent="0.35">
      <c r="J1862"/>
    </row>
    <row r="1863" spans="10:10" x14ac:dyDescent="0.35">
      <c r="J1863"/>
    </row>
    <row r="1864" spans="10:10" x14ac:dyDescent="0.35">
      <c r="J1864"/>
    </row>
    <row r="1865" spans="10:10" x14ac:dyDescent="0.35">
      <c r="J1865"/>
    </row>
    <row r="1866" spans="10:10" x14ac:dyDescent="0.35">
      <c r="J1866"/>
    </row>
    <row r="1867" spans="10:10" x14ac:dyDescent="0.35">
      <c r="J1867"/>
    </row>
    <row r="1868" spans="10:10" x14ac:dyDescent="0.35">
      <c r="J1868"/>
    </row>
    <row r="1869" spans="10:10" x14ac:dyDescent="0.35">
      <c r="J1869"/>
    </row>
    <row r="1870" spans="10:10" x14ac:dyDescent="0.35">
      <c r="J1870"/>
    </row>
    <row r="1871" spans="10:10" x14ac:dyDescent="0.35">
      <c r="J1871"/>
    </row>
    <row r="1872" spans="10:10" x14ac:dyDescent="0.35">
      <c r="J1872"/>
    </row>
    <row r="1873" spans="10:10" x14ac:dyDescent="0.35">
      <c r="J1873"/>
    </row>
    <row r="1874" spans="10:10" x14ac:dyDescent="0.35">
      <c r="J1874"/>
    </row>
    <row r="1875" spans="10:10" x14ac:dyDescent="0.35">
      <c r="J1875"/>
    </row>
    <row r="1876" spans="10:10" x14ac:dyDescent="0.35">
      <c r="J1876"/>
    </row>
    <row r="1877" spans="10:10" x14ac:dyDescent="0.35">
      <c r="J1877"/>
    </row>
    <row r="1878" spans="10:10" x14ac:dyDescent="0.35">
      <c r="J1878"/>
    </row>
    <row r="1879" spans="10:10" x14ac:dyDescent="0.35">
      <c r="J1879"/>
    </row>
    <row r="1880" spans="10:10" x14ac:dyDescent="0.35">
      <c r="J1880"/>
    </row>
    <row r="1881" spans="10:10" x14ac:dyDescent="0.35">
      <c r="J1881"/>
    </row>
    <row r="1882" spans="10:10" x14ac:dyDescent="0.35">
      <c r="J1882"/>
    </row>
    <row r="1883" spans="10:10" x14ac:dyDescent="0.35">
      <c r="J1883"/>
    </row>
    <row r="1884" spans="10:10" x14ac:dyDescent="0.35">
      <c r="J1884"/>
    </row>
    <row r="1885" spans="10:10" x14ac:dyDescent="0.35">
      <c r="J1885"/>
    </row>
    <row r="1886" spans="10:10" x14ac:dyDescent="0.35">
      <c r="J1886"/>
    </row>
    <row r="1887" spans="10:10" x14ac:dyDescent="0.35">
      <c r="J1887"/>
    </row>
    <row r="1888" spans="10:10" x14ac:dyDescent="0.35">
      <c r="J1888"/>
    </row>
    <row r="1889" spans="10:10" x14ac:dyDescent="0.35">
      <c r="J1889"/>
    </row>
    <row r="1890" spans="10:10" x14ac:dyDescent="0.35">
      <c r="J1890"/>
    </row>
    <row r="1891" spans="10:10" x14ac:dyDescent="0.35">
      <c r="J1891"/>
    </row>
    <row r="1892" spans="10:10" x14ac:dyDescent="0.35">
      <c r="J1892"/>
    </row>
    <row r="1893" spans="10:10" x14ac:dyDescent="0.35">
      <c r="J1893"/>
    </row>
    <row r="1894" spans="10:10" x14ac:dyDescent="0.35">
      <c r="J1894"/>
    </row>
    <row r="1895" spans="10:10" x14ac:dyDescent="0.35">
      <c r="J1895"/>
    </row>
    <row r="1896" spans="10:10" x14ac:dyDescent="0.35">
      <c r="J1896"/>
    </row>
    <row r="1897" spans="10:10" x14ac:dyDescent="0.35">
      <c r="J1897"/>
    </row>
    <row r="1898" spans="10:10" x14ac:dyDescent="0.35">
      <c r="J1898"/>
    </row>
    <row r="1899" spans="10:10" x14ac:dyDescent="0.35">
      <c r="J1899"/>
    </row>
    <row r="1900" spans="10:10" x14ac:dyDescent="0.35">
      <c r="J1900"/>
    </row>
    <row r="1901" spans="10:10" x14ac:dyDescent="0.35">
      <c r="J1901"/>
    </row>
    <row r="1902" spans="10:10" x14ac:dyDescent="0.35">
      <c r="J1902"/>
    </row>
    <row r="1903" spans="10:10" x14ac:dyDescent="0.35">
      <c r="J1903"/>
    </row>
    <row r="1904" spans="10:10" x14ac:dyDescent="0.35">
      <c r="J1904"/>
    </row>
    <row r="1905" spans="10:10" x14ac:dyDescent="0.35">
      <c r="J1905"/>
    </row>
    <row r="1906" spans="10:10" x14ac:dyDescent="0.35">
      <c r="J1906"/>
    </row>
    <row r="1907" spans="10:10" x14ac:dyDescent="0.35">
      <c r="J1907"/>
    </row>
    <row r="1908" spans="10:10" x14ac:dyDescent="0.35">
      <c r="J1908"/>
    </row>
    <row r="1909" spans="10:10" x14ac:dyDescent="0.35">
      <c r="J1909"/>
    </row>
    <row r="1910" spans="10:10" x14ac:dyDescent="0.35">
      <c r="J1910"/>
    </row>
    <row r="1911" spans="10:10" x14ac:dyDescent="0.35">
      <c r="J1911"/>
    </row>
    <row r="1912" spans="10:10" x14ac:dyDescent="0.35">
      <c r="J1912"/>
    </row>
    <row r="1913" spans="10:10" x14ac:dyDescent="0.35">
      <c r="J1913"/>
    </row>
    <row r="1914" spans="10:10" x14ac:dyDescent="0.35">
      <c r="J1914"/>
    </row>
    <row r="1915" spans="10:10" x14ac:dyDescent="0.35">
      <c r="J1915"/>
    </row>
    <row r="1916" spans="10:10" x14ac:dyDescent="0.35">
      <c r="J1916"/>
    </row>
    <row r="1917" spans="10:10" x14ac:dyDescent="0.35">
      <c r="J1917"/>
    </row>
    <row r="1918" spans="10:10" x14ac:dyDescent="0.35">
      <c r="J1918"/>
    </row>
    <row r="1919" spans="10:10" x14ac:dyDescent="0.35">
      <c r="J1919"/>
    </row>
    <row r="1920" spans="10:10" x14ac:dyDescent="0.35">
      <c r="J1920"/>
    </row>
    <row r="1921" spans="10:10" x14ac:dyDescent="0.35">
      <c r="J1921"/>
    </row>
    <row r="1922" spans="10:10" x14ac:dyDescent="0.35">
      <c r="J1922"/>
    </row>
    <row r="1923" spans="10:10" x14ac:dyDescent="0.35">
      <c r="J1923"/>
    </row>
    <row r="1924" spans="10:10" x14ac:dyDescent="0.35">
      <c r="J1924"/>
    </row>
    <row r="1925" spans="10:10" x14ac:dyDescent="0.35">
      <c r="J1925"/>
    </row>
    <row r="1926" spans="10:10" x14ac:dyDescent="0.35">
      <c r="J1926"/>
    </row>
    <row r="1927" spans="10:10" x14ac:dyDescent="0.35">
      <c r="J1927"/>
    </row>
    <row r="1928" spans="10:10" x14ac:dyDescent="0.35">
      <c r="J1928"/>
    </row>
    <row r="1929" spans="10:10" x14ac:dyDescent="0.35">
      <c r="J1929"/>
    </row>
    <row r="1930" spans="10:10" x14ac:dyDescent="0.35">
      <c r="J1930"/>
    </row>
    <row r="1931" spans="10:10" x14ac:dyDescent="0.35">
      <c r="J1931"/>
    </row>
    <row r="1932" spans="10:10" x14ac:dyDescent="0.35">
      <c r="J1932"/>
    </row>
    <row r="1933" spans="10:10" x14ac:dyDescent="0.35">
      <c r="J1933"/>
    </row>
    <row r="1934" spans="10:10" x14ac:dyDescent="0.35">
      <c r="J1934"/>
    </row>
    <row r="1935" spans="10:10" x14ac:dyDescent="0.35">
      <c r="J1935"/>
    </row>
    <row r="1936" spans="10:10" x14ac:dyDescent="0.35">
      <c r="J1936"/>
    </row>
    <row r="1937" spans="10:10" x14ac:dyDescent="0.35">
      <c r="J1937"/>
    </row>
    <row r="1938" spans="10:10" x14ac:dyDescent="0.35">
      <c r="J1938"/>
    </row>
    <row r="1939" spans="10:10" x14ac:dyDescent="0.35">
      <c r="J1939"/>
    </row>
    <row r="1940" spans="10:10" x14ac:dyDescent="0.35">
      <c r="J1940"/>
    </row>
    <row r="1941" spans="10:10" x14ac:dyDescent="0.35">
      <c r="J1941"/>
    </row>
    <row r="1942" spans="10:10" x14ac:dyDescent="0.35">
      <c r="J1942"/>
    </row>
    <row r="1943" spans="10:10" x14ac:dyDescent="0.35">
      <c r="J1943"/>
    </row>
    <row r="1944" spans="10:10" x14ac:dyDescent="0.35">
      <c r="J1944"/>
    </row>
    <row r="1945" spans="10:10" x14ac:dyDescent="0.35">
      <c r="J1945"/>
    </row>
    <row r="1946" spans="10:10" x14ac:dyDescent="0.35">
      <c r="J1946"/>
    </row>
    <row r="1947" spans="10:10" x14ac:dyDescent="0.35">
      <c r="J1947"/>
    </row>
    <row r="1948" spans="10:10" x14ac:dyDescent="0.35">
      <c r="J1948"/>
    </row>
    <row r="1949" spans="10:10" x14ac:dyDescent="0.35">
      <c r="J1949"/>
    </row>
    <row r="1950" spans="10:10" x14ac:dyDescent="0.35">
      <c r="J1950"/>
    </row>
    <row r="1951" spans="10:10" x14ac:dyDescent="0.35">
      <c r="J1951"/>
    </row>
    <row r="1952" spans="10:10" x14ac:dyDescent="0.35">
      <c r="J1952"/>
    </row>
    <row r="1953" spans="10:10" x14ac:dyDescent="0.35">
      <c r="J1953"/>
    </row>
    <row r="1954" spans="10:10" x14ac:dyDescent="0.35">
      <c r="J1954"/>
    </row>
    <row r="1955" spans="10:10" x14ac:dyDescent="0.35">
      <c r="J1955"/>
    </row>
    <row r="1956" spans="10:10" x14ac:dyDescent="0.35">
      <c r="J1956"/>
    </row>
    <row r="1957" spans="10:10" x14ac:dyDescent="0.35">
      <c r="J1957"/>
    </row>
    <row r="1958" spans="10:10" x14ac:dyDescent="0.35">
      <c r="J1958"/>
    </row>
    <row r="1959" spans="10:10" x14ac:dyDescent="0.35">
      <c r="J1959"/>
    </row>
    <row r="1960" spans="10:10" x14ac:dyDescent="0.35">
      <c r="J1960"/>
    </row>
    <row r="1961" spans="10:10" x14ac:dyDescent="0.35">
      <c r="J1961"/>
    </row>
    <row r="1962" spans="10:10" x14ac:dyDescent="0.35">
      <c r="J1962"/>
    </row>
    <row r="1963" spans="10:10" x14ac:dyDescent="0.35">
      <c r="J1963"/>
    </row>
    <row r="1964" spans="10:10" x14ac:dyDescent="0.35">
      <c r="J1964"/>
    </row>
    <row r="1965" spans="10:10" x14ac:dyDescent="0.35">
      <c r="J1965"/>
    </row>
    <row r="1966" spans="10:10" x14ac:dyDescent="0.35">
      <c r="J1966"/>
    </row>
    <row r="1967" spans="10:10" x14ac:dyDescent="0.35">
      <c r="J1967"/>
    </row>
    <row r="1968" spans="10:10" x14ac:dyDescent="0.35">
      <c r="J1968"/>
    </row>
    <row r="1969" spans="10:10" x14ac:dyDescent="0.35">
      <c r="J1969"/>
    </row>
    <row r="1970" spans="10:10" x14ac:dyDescent="0.35">
      <c r="J1970"/>
    </row>
    <row r="1971" spans="10:10" x14ac:dyDescent="0.35">
      <c r="J1971"/>
    </row>
    <row r="1972" spans="10:10" x14ac:dyDescent="0.35">
      <c r="J1972"/>
    </row>
    <row r="1973" spans="10:10" x14ac:dyDescent="0.35">
      <c r="J1973"/>
    </row>
    <row r="1974" spans="10:10" x14ac:dyDescent="0.35">
      <c r="J1974"/>
    </row>
    <row r="1975" spans="10:10" x14ac:dyDescent="0.35">
      <c r="J1975"/>
    </row>
    <row r="1976" spans="10:10" x14ac:dyDescent="0.35">
      <c r="J1976"/>
    </row>
    <row r="1977" spans="10:10" x14ac:dyDescent="0.35">
      <c r="J1977"/>
    </row>
    <row r="1978" spans="10:10" x14ac:dyDescent="0.35">
      <c r="J1978"/>
    </row>
    <row r="1979" spans="10:10" x14ac:dyDescent="0.35">
      <c r="J1979"/>
    </row>
    <row r="1980" spans="10:10" x14ac:dyDescent="0.35">
      <c r="J1980"/>
    </row>
    <row r="1981" spans="10:10" x14ac:dyDescent="0.35">
      <c r="J1981"/>
    </row>
    <row r="1982" spans="10:10" x14ac:dyDescent="0.35">
      <c r="J1982"/>
    </row>
    <row r="1983" spans="10:10" x14ac:dyDescent="0.35">
      <c r="J1983"/>
    </row>
    <row r="1984" spans="10:10" x14ac:dyDescent="0.35">
      <c r="J1984"/>
    </row>
    <row r="1985" spans="10:10" x14ac:dyDescent="0.35">
      <c r="J1985"/>
    </row>
    <row r="1986" spans="10:10" x14ac:dyDescent="0.35">
      <c r="J1986"/>
    </row>
    <row r="1987" spans="10:10" x14ac:dyDescent="0.35">
      <c r="J1987"/>
    </row>
    <row r="1988" spans="10:10" x14ac:dyDescent="0.35">
      <c r="J1988"/>
    </row>
    <row r="1989" spans="10:10" x14ac:dyDescent="0.35">
      <c r="J1989"/>
    </row>
    <row r="1990" spans="10:10" x14ac:dyDescent="0.35">
      <c r="J1990"/>
    </row>
    <row r="1991" spans="10:10" x14ac:dyDescent="0.35">
      <c r="J1991"/>
    </row>
    <row r="1992" spans="10:10" x14ac:dyDescent="0.35">
      <c r="J1992"/>
    </row>
    <row r="1993" spans="10:10" x14ac:dyDescent="0.35">
      <c r="J1993"/>
    </row>
    <row r="1994" spans="10:10" x14ac:dyDescent="0.35">
      <c r="J1994"/>
    </row>
    <row r="1995" spans="10:10" x14ac:dyDescent="0.35">
      <c r="J1995"/>
    </row>
    <row r="1996" spans="10:10" x14ac:dyDescent="0.35">
      <c r="J1996"/>
    </row>
    <row r="1997" spans="10:10" x14ac:dyDescent="0.35">
      <c r="J1997"/>
    </row>
    <row r="1998" spans="10:10" x14ac:dyDescent="0.35">
      <c r="J1998"/>
    </row>
    <row r="1999" spans="10:10" x14ac:dyDescent="0.35">
      <c r="J1999"/>
    </row>
    <row r="2000" spans="10:10" x14ac:dyDescent="0.35">
      <c r="J2000"/>
    </row>
    <row r="2001" spans="10:10" x14ac:dyDescent="0.35">
      <c r="J2001"/>
    </row>
    <row r="2002" spans="10:10" x14ac:dyDescent="0.35">
      <c r="J2002"/>
    </row>
    <row r="2003" spans="10:10" x14ac:dyDescent="0.35">
      <c r="J2003"/>
    </row>
    <row r="2004" spans="10:10" x14ac:dyDescent="0.35">
      <c r="J2004"/>
    </row>
    <row r="2005" spans="10:10" x14ac:dyDescent="0.35">
      <c r="J2005"/>
    </row>
    <row r="2006" spans="10:10" x14ac:dyDescent="0.35">
      <c r="J2006"/>
    </row>
    <row r="2007" spans="10:10" x14ac:dyDescent="0.35">
      <c r="J2007"/>
    </row>
    <row r="2008" spans="10:10" x14ac:dyDescent="0.35">
      <c r="J2008"/>
    </row>
    <row r="2009" spans="10:10" x14ac:dyDescent="0.35">
      <c r="J2009"/>
    </row>
    <row r="2010" spans="10:10" x14ac:dyDescent="0.35">
      <c r="J2010"/>
    </row>
    <row r="2011" spans="10:10" x14ac:dyDescent="0.35">
      <c r="J2011"/>
    </row>
    <row r="2012" spans="10:10" x14ac:dyDescent="0.35">
      <c r="J2012"/>
    </row>
    <row r="2013" spans="10:10" x14ac:dyDescent="0.35">
      <c r="J2013"/>
    </row>
    <row r="2014" spans="10:10" x14ac:dyDescent="0.35">
      <c r="J2014"/>
    </row>
    <row r="2015" spans="10:10" x14ac:dyDescent="0.35">
      <c r="J2015"/>
    </row>
    <row r="2016" spans="10:10" x14ac:dyDescent="0.35">
      <c r="J2016"/>
    </row>
    <row r="2017" spans="10:10" x14ac:dyDescent="0.35">
      <c r="J2017"/>
    </row>
    <row r="2018" spans="10:10" x14ac:dyDescent="0.35">
      <c r="J2018"/>
    </row>
    <row r="2019" spans="10:10" x14ac:dyDescent="0.35">
      <c r="J2019"/>
    </row>
    <row r="2020" spans="10:10" x14ac:dyDescent="0.35">
      <c r="J2020"/>
    </row>
    <row r="2021" spans="10:10" x14ac:dyDescent="0.35">
      <c r="J2021"/>
    </row>
    <row r="2022" spans="10:10" x14ac:dyDescent="0.35">
      <c r="J2022"/>
    </row>
    <row r="2023" spans="10:10" x14ac:dyDescent="0.35">
      <c r="J2023"/>
    </row>
    <row r="2024" spans="10:10" x14ac:dyDescent="0.35">
      <c r="J2024"/>
    </row>
    <row r="2025" spans="10:10" x14ac:dyDescent="0.35">
      <c r="J2025"/>
    </row>
    <row r="2026" spans="10:10" x14ac:dyDescent="0.35">
      <c r="J2026"/>
    </row>
    <row r="2027" spans="10:10" x14ac:dyDescent="0.35">
      <c r="J2027"/>
    </row>
    <row r="2028" spans="10:10" x14ac:dyDescent="0.35">
      <c r="J2028"/>
    </row>
    <row r="2029" spans="10:10" x14ac:dyDescent="0.35">
      <c r="J2029"/>
    </row>
    <row r="2030" spans="10:10" x14ac:dyDescent="0.35">
      <c r="J2030"/>
    </row>
    <row r="2031" spans="10:10" x14ac:dyDescent="0.35">
      <c r="J2031"/>
    </row>
    <row r="2032" spans="10:10" x14ac:dyDescent="0.35">
      <c r="J2032"/>
    </row>
    <row r="2033" spans="10:10" x14ac:dyDescent="0.35">
      <c r="J2033"/>
    </row>
    <row r="2034" spans="10:10" x14ac:dyDescent="0.35">
      <c r="J2034"/>
    </row>
    <row r="2035" spans="10:10" x14ac:dyDescent="0.35">
      <c r="J2035"/>
    </row>
    <row r="2036" spans="10:10" x14ac:dyDescent="0.35">
      <c r="J2036"/>
    </row>
    <row r="2037" spans="10:10" x14ac:dyDescent="0.35">
      <c r="J2037"/>
    </row>
    <row r="2038" spans="10:10" x14ac:dyDescent="0.35">
      <c r="J2038"/>
    </row>
    <row r="2039" spans="10:10" x14ac:dyDescent="0.35">
      <c r="J2039"/>
    </row>
    <row r="2040" spans="10:10" x14ac:dyDescent="0.35">
      <c r="J2040"/>
    </row>
    <row r="2041" spans="10:10" x14ac:dyDescent="0.35">
      <c r="J2041"/>
    </row>
    <row r="2042" spans="10:10" x14ac:dyDescent="0.35">
      <c r="J2042"/>
    </row>
    <row r="2043" spans="10:10" x14ac:dyDescent="0.35">
      <c r="J2043"/>
    </row>
    <row r="2044" spans="10:10" x14ac:dyDescent="0.35">
      <c r="J2044"/>
    </row>
    <row r="2045" spans="10:10" x14ac:dyDescent="0.35">
      <c r="J2045"/>
    </row>
    <row r="2046" spans="10:10" x14ac:dyDescent="0.35">
      <c r="J2046"/>
    </row>
    <row r="2047" spans="10:10" x14ac:dyDescent="0.35">
      <c r="J2047"/>
    </row>
    <row r="2048" spans="10:10" x14ac:dyDescent="0.35">
      <c r="J2048"/>
    </row>
    <row r="2049" spans="10:10" x14ac:dyDescent="0.35">
      <c r="J2049"/>
    </row>
    <row r="2050" spans="10:10" x14ac:dyDescent="0.35">
      <c r="J2050"/>
    </row>
    <row r="2051" spans="10:10" x14ac:dyDescent="0.35">
      <c r="J2051"/>
    </row>
    <row r="2052" spans="10:10" x14ac:dyDescent="0.35">
      <c r="J2052"/>
    </row>
    <row r="2053" spans="10:10" x14ac:dyDescent="0.35">
      <c r="J2053"/>
    </row>
    <row r="2054" spans="10:10" x14ac:dyDescent="0.35">
      <c r="J2054"/>
    </row>
    <row r="2055" spans="10:10" x14ac:dyDescent="0.35">
      <c r="J2055"/>
    </row>
    <row r="2056" spans="10:10" x14ac:dyDescent="0.35">
      <c r="J2056"/>
    </row>
    <row r="2057" spans="10:10" x14ac:dyDescent="0.35">
      <c r="J2057"/>
    </row>
    <row r="2058" spans="10:10" x14ac:dyDescent="0.35">
      <c r="J2058"/>
    </row>
    <row r="2059" spans="10:10" x14ac:dyDescent="0.35">
      <c r="J2059"/>
    </row>
    <row r="2060" spans="10:10" x14ac:dyDescent="0.35">
      <c r="J2060"/>
    </row>
    <row r="2061" spans="10:10" x14ac:dyDescent="0.35">
      <c r="J2061"/>
    </row>
    <row r="2062" spans="10:10" x14ac:dyDescent="0.35">
      <c r="J2062"/>
    </row>
    <row r="2063" spans="10:10" x14ac:dyDescent="0.35">
      <c r="J2063"/>
    </row>
    <row r="2064" spans="10:10" x14ac:dyDescent="0.35">
      <c r="J2064"/>
    </row>
    <row r="2065" spans="10:10" x14ac:dyDescent="0.35">
      <c r="J2065"/>
    </row>
    <row r="2066" spans="10:10" x14ac:dyDescent="0.35">
      <c r="J2066"/>
    </row>
    <row r="2067" spans="10:10" x14ac:dyDescent="0.35">
      <c r="J2067"/>
    </row>
    <row r="2068" spans="10:10" x14ac:dyDescent="0.35">
      <c r="J2068"/>
    </row>
    <row r="2069" spans="10:10" x14ac:dyDescent="0.35">
      <c r="J2069"/>
    </row>
    <row r="2070" spans="10:10" x14ac:dyDescent="0.35">
      <c r="J2070"/>
    </row>
    <row r="2071" spans="10:10" x14ac:dyDescent="0.35">
      <c r="J2071"/>
    </row>
    <row r="2072" spans="10:10" x14ac:dyDescent="0.35">
      <c r="J2072"/>
    </row>
    <row r="2073" spans="10:10" x14ac:dyDescent="0.35">
      <c r="J2073"/>
    </row>
    <row r="2074" spans="10:10" x14ac:dyDescent="0.35">
      <c r="J2074"/>
    </row>
    <row r="2075" spans="10:10" x14ac:dyDescent="0.35">
      <c r="J2075"/>
    </row>
    <row r="2076" spans="10:10" x14ac:dyDescent="0.35">
      <c r="J2076"/>
    </row>
    <row r="2077" spans="10:10" x14ac:dyDescent="0.35">
      <c r="J2077"/>
    </row>
    <row r="2078" spans="10:10" x14ac:dyDescent="0.35">
      <c r="J2078"/>
    </row>
    <row r="2079" spans="10:10" x14ac:dyDescent="0.35">
      <c r="J2079"/>
    </row>
    <row r="2080" spans="10:10" x14ac:dyDescent="0.35">
      <c r="J2080"/>
    </row>
    <row r="2081" spans="10:10" x14ac:dyDescent="0.35">
      <c r="J2081"/>
    </row>
    <row r="2082" spans="10:10" x14ac:dyDescent="0.35">
      <c r="J2082"/>
    </row>
    <row r="2083" spans="10:10" x14ac:dyDescent="0.35">
      <c r="J2083"/>
    </row>
    <row r="2084" spans="10:10" x14ac:dyDescent="0.35">
      <c r="J2084"/>
    </row>
    <row r="2085" spans="10:10" x14ac:dyDescent="0.35">
      <c r="J2085"/>
    </row>
    <row r="2086" spans="10:10" x14ac:dyDescent="0.35">
      <c r="J2086"/>
    </row>
    <row r="2087" spans="10:10" x14ac:dyDescent="0.35">
      <c r="J2087"/>
    </row>
    <row r="2088" spans="10:10" x14ac:dyDescent="0.35">
      <c r="J2088"/>
    </row>
    <row r="2089" spans="10:10" x14ac:dyDescent="0.35">
      <c r="J2089"/>
    </row>
    <row r="2090" spans="10:10" x14ac:dyDescent="0.35">
      <c r="J2090"/>
    </row>
    <row r="2091" spans="10:10" x14ac:dyDescent="0.35">
      <c r="J2091"/>
    </row>
    <row r="2092" spans="10:10" x14ac:dyDescent="0.35">
      <c r="J2092"/>
    </row>
    <row r="2093" spans="10:10" x14ac:dyDescent="0.35">
      <c r="J2093"/>
    </row>
    <row r="2094" spans="10:10" x14ac:dyDescent="0.35">
      <c r="J2094"/>
    </row>
    <row r="2095" spans="10:10" x14ac:dyDescent="0.35">
      <c r="J2095"/>
    </row>
    <row r="2096" spans="10:10" x14ac:dyDescent="0.35">
      <c r="J2096"/>
    </row>
    <row r="2097" spans="10:10" x14ac:dyDescent="0.35">
      <c r="J2097"/>
    </row>
    <row r="2098" spans="10:10" x14ac:dyDescent="0.35">
      <c r="J2098"/>
    </row>
    <row r="2099" spans="10:10" x14ac:dyDescent="0.35">
      <c r="J2099"/>
    </row>
    <row r="2100" spans="10:10" x14ac:dyDescent="0.35">
      <c r="J2100"/>
    </row>
    <row r="2101" spans="10:10" x14ac:dyDescent="0.35">
      <c r="J2101"/>
    </row>
    <row r="2102" spans="10:10" x14ac:dyDescent="0.35">
      <c r="J2102"/>
    </row>
    <row r="2103" spans="10:10" x14ac:dyDescent="0.35">
      <c r="J2103"/>
    </row>
    <row r="2104" spans="10:10" x14ac:dyDescent="0.35">
      <c r="J2104"/>
    </row>
    <row r="2105" spans="10:10" x14ac:dyDescent="0.35">
      <c r="J2105"/>
    </row>
    <row r="2106" spans="10:10" x14ac:dyDescent="0.35">
      <c r="J2106"/>
    </row>
    <row r="2107" spans="10:10" x14ac:dyDescent="0.35">
      <c r="J2107"/>
    </row>
    <row r="2108" spans="10:10" x14ac:dyDescent="0.35">
      <c r="J2108"/>
    </row>
    <row r="2109" spans="10:10" x14ac:dyDescent="0.35">
      <c r="J2109"/>
    </row>
    <row r="2110" spans="10:10" x14ac:dyDescent="0.35">
      <c r="J2110"/>
    </row>
    <row r="2111" spans="10:10" x14ac:dyDescent="0.35">
      <c r="J2111"/>
    </row>
    <row r="2112" spans="10:10" x14ac:dyDescent="0.35">
      <c r="J2112"/>
    </row>
    <row r="2113" spans="10:10" x14ac:dyDescent="0.35">
      <c r="J2113"/>
    </row>
    <row r="2114" spans="10:10" x14ac:dyDescent="0.35">
      <c r="J2114"/>
    </row>
    <row r="2115" spans="10:10" x14ac:dyDescent="0.35">
      <c r="J2115"/>
    </row>
    <row r="2116" spans="10:10" x14ac:dyDescent="0.35">
      <c r="J2116"/>
    </row>
    <row r="2117" spans="10:10" x14ac:dyDescent="0.35">
      <c r="J2117"/>
    </row>
    <row r="2118" spans="10:10" x14ac:dyDescent="0.35">
      <c r="J2118"/>
    </row>
    <row r="2119" spans="10:10" x14ac:dyDescent="0.35">
      <c r="J2119"/>
    </row>
    <row r="2120" spans="10:10" x14ac:dyDescent="0.35">
      <c r="J2120"/>
    </row>
    <row r="2121" spans="10:10" x14ac:dyDescent="0.35">
      <c r="J2121"/>
    </row>
    <row r="2122" spans="10:10" x14ac:dyDescent="0.35">
      <c r="J2122"/>
    </row>
    <row r="2123" spans="10:10" x14ac:dyDescent="0.35">
      <c r="J2123"/>
    </row>
    <row r="2124" spans="10:10" x14ac:dyDescent="0.35">
      <c r="J2124"/>
    </row>
    <row r="2125" spans="10:10" x14ac:dyDescent="0.35">
      <c r="J2125"/>
    </row>
    <row r="2126" spans="10:10" x14ac:dyDescent="0.35">
      <c r="J2126"/>
    </row>
    <row r="2127" spans="10:10" x14ac:dyDescent="0.35">
      <c r="J2127"/>
    </row>
    <row r="2128" spans="10:10" x14ac:dyDescent="0.35">
      <c r="J2128"/>
    </row>
    <row r="2129" spans="10:10" x14ac:dyDescent="0.35">
      <c r="J2129"/>
    </row>
    <row r="2130" spans="10:10" x14ac:dyDescent="0.35">
      <c r="J2130"/>
    </row>
    <row r="2131" spans="10:10" x14ac:dyDescent="0.35">
      <c r="J2131"/>
    </row>
    <row r="2132" spans="10:10" x14ac:dyDescent="0.35">
      <c r="J2132"/>
    </row>
    <row r="2133" spans="10:10" x14ac:dyDescent="0.35">
      <c r="J2133"/>
    </row>
    <row r="2134" spans="10:10" x14ac:dyDescent="0.35">
      <c r="J2134"/>
    </row>
    <row r="2135" spans="10:10" x14ac:dyDescent="0.35">
      <c r="J2135"/>
    </row>
    <row r="2136" spans="10:10" x14ac:dyDescent="0.35">
      <c r="J2136"/>
    </row>
    <row r="2137" spans="10:10" x14ac:dyDescent="0.35">
      <c r="J2137"/>
    </row>
    <row r="2138" spans="10:10" x14ac:dyDescent="0.35">
      <c r="J2138"/>
    </row>
    <row r="2139" spans="10:10" x14ac:dyDescent="0.35">
      <c r="J2139"/>
    </row>
    <row r="2140" spans="10:10" x14ac:dyDescent="0.35">
      <c r="J2140"/>
    </row>
    <row r="2141" spans="10:10" x14ac:dyDescent="0.35">
      <c r="J2141"/>
    </row>
    <row r="2142" spans="10:10" x14ac:dyDescent="0.35">
      <c r="J2142"/>
    </row>
    <row r="2143" spans="10:10" x14ac:dyDescent="0.35">
      <c r="J2143"/>
    </row>
    <row r="2144" spans="10:10" x14ac:dyDescent="0.35">
      <c r="J2144"/>
    </row>
    <row r="2145" spans="10:10" x14ac:dyDescent="0.35">
      <c r="J2145"/>
    </row>
    <row r="2146" spans="10:10" x14ac:dyDescent="0.35">
      <c r="J2146"/>
    </row>
    <row r="2147" spans="10:10" x14ac:dyDescent="0.35">
      <c r="J2147"/>
    </row>
    <row r="2148" spans="10:10" x14ac:dyDescent="0.35">
      <c r="J2148"/>
    </row>
    <row r="2149" spans="10:10" x14ac:dyDescent="0.35">
      <c r="J2149"/>
    </row>
    <row r="2150" spans="10:10" x14ac:dyDescent="0.35">
      <c r="J2150"/>
    </row>
    <row r="2151" spans="10:10" x14ac:dyDescent="0.35">
      <c r="J2151"/>
    </row>
    <row r="2152" spans="10:10" x14ac:dyDescent="0.35">
      <c r="J2152"/>
    </row>
    <row r="2153" spans="10:10" x14ac:dyDescent="0.35">
      <c r="J2153"/>
    </row>
    <row r="2154" spans="10:10" x14ac:dyDescent="0.35">
      <c r="J2154"/>
    </row>
    <row r="2155" spans="10:10" x14ac:dyDescent="0.35">
      <c r="J2155"/>
    </row>
    <row r="2156" spans="10:10" x14ac:dyDescent="0.35">
      <c r="J2156"/>
    </row>
    <row r="2157" spans="10:10" x14ac:dyDescent="0.35">
      <c r="J2157"/>
    </row>
    <row r="2158" spans="10:10" x14ac:dyDescent="0.35">
      <c r="J2158"/>
    </row>
    <row r="2159" spans="10:10" x14ac:dyDescent="0.35">
      <c r="J2159"/>
    </row>
    <row r="2160" spans="10:10" x14ac:dyDescent="0.35">
      <c r="J2160"/>
    </row>
    <row r="2161" spans="10:10" x14ac:dyDescent="0.35">
      <c r="J2161"/>
    </row>
    <row r="2162" spans="10:10" x14ac:dyDescent="0.35">
      <c r="J2162"/>
    </row>
    <row r="2163" spans="10:10" x14ac:dyDescent="0.35">
      <c r="J2163"/>
    </row>
    <row r="2164" spans="10:10" x14ac:dyDescent="0.35">
      <c r="J2164"/>
    </row>
    <row r="2165" spans="10:10" x14ac:dyDescent="0.35">
      <c r="J2165"/>
    </row>
    <row r="2166" spans="10:10" x14ac:dyDescent="0.35">
      <c r="J2166"/>
    </row>
    <row r="2167" spans="10:10" x14ac:dyDescent="0.35">
      <c r="J2167"/>
    </row>
    <row r="2168" spans="10:10" x14ac:dyDescent="0.35">
      <c r="J2168"/>
    </row>
    <row r="2169" spans="10:10" x14ac:dyDescent="0.35">
      <c r="J2169"/>
    </row>
    <row r="2170" spans="10:10" x14ac:dyDescent="0.35">
      <c r="J2170"/>
    </row>
    <row r="2171" spans="10:10" x14ac:dyDescent="0.35">
      <c r="J2171"/>
    </row>
    <row r="2172" spans="10:10" x14ac:dyDescent="0.35">
      <c r="J2172"/>
    </row>
    <row r="2173" spans="10:10" x14ac:dyDescent="0.35">
      <c r="J2173"/>
    </row>
    <row r="2174" spans="10:10" x14ac:dyDescent="0.35">
      <c r="J2174"/>
    </row>
    <row r="2175" spans="10:10" x14ac:dyDescent="0.35">
      <c r="J2175"/>
    </row>
    <row r="2176" spans="10:10" x14ac:dyDescent="0.35">
      <c r="J2176"/>
    </row>
    <row r="2177" spans="10:10" x14ac:dyDescent="0.35">
      <c r="J2177"/>
    </row>
    <row r="2178" spans="10:10" x14ac:dyDescent="0.35">
      <c r="J2178"/>
    </row>
    <row r="2179" spans="10:10" x14ac:dyDescent="0.35">
      <c r="J2179"/>
    </row>
    <row r="2180" spans="10:10" x14ac:dyDescent="0.35">
      <c r="J2180"/>
    </row>
    <row r="2181" spans="10:10" x14ac:dyDescent="0.35">
      <c r="J2181"/>
    </row>
    <row r="2182" spans="10:10" x14ac:dyDescent="0.35">
      <c r="J2182"/>
    </row>
    <row r="2183" spans="10:10" x14ac:dyDescent="0.35">
      <c r="J2183"/>
    </row>
    <row r="2184" spans="10:10" x14ac:dyDescent="0.35">
      <c r="J2184"/>
    </row>
    <row r="2185" spans="10:10" x14ac:dyDescent="0.35">
      <c r="J2185"/>
    </row>
    <row r="2186" spans="10:10" x14ac:dyDescent="0.35">
      <c r="J2186"/>
    </row>
    <row r="2187" spans="10:10" x14ac:dyDescent="0.35">
      <c r="J2187"/>
    </row>
    <row r="2188" spans="10:10" x14ac:dyDescent="0.35">
      <c r="J2188"/>
    </row>
    <row r="2189" spans="10:10" x14ac:dyDescent="0.35">
      <c r="J2189"/>
    </row>
    <row r="2190" spans="10:10" x14ac:dyDescent="0.35">
      <c r="J2190"/>
    </row>
    <row r="2191" spans="10:10" x14ac:dyDescent="0.35">
      <c r="J2191"/>
    </row>
    <row r="2192" spans="10:10" x14ac:dyDescent="0.35">
      <c r="J2192"/>
    </row>
    <row r="2193" spans="10:10" x14ac:dyDescent="0.35">
      <c r="J2193"/>
    </row>
    <row r="2194" spans="10:10" x14ac:dyDescent="0.35">
      <c r="J2194"/>
    </row>
    <row r="2195" spans="10:10" x14ac:dyDescent="0.35">
      <c r="J2195"/>
    </row>
    <row r="2196" spans="10:10" x14ac:dyDescent="0.35">
      <c r="J2196"/>
    </row>
    <row r="2197" spans="10:10" x14ac:dyDescent="0.35">
      <c r="J2197"/>
    </row>
    <row r="2198" spans="10:10" x14ac:dyDescent="0.35">
      <c r="J2198"/>
    </row>
    <row r="2199" spans="10:10" x14ac:dyDescent="0.35">
      <c r="J2199"/>
    </row>
    <row r="2200" spans="10:10" x14ac:dyDescent="0.35">
      <c r="J2200"/>
    </row>
    <row r="2201" spans="10:10" x14ac:dyDescent="0.35">
      <c r="J2201"/>
    </row>
    <row r="2202" spans="10:10" x14ac:dyDescent="0.35">
      <c r="J2202"/>
    </row>
    <row r="2203" spans="10:10" x14ac:dyDescent="0.35">
      <c r="J2203"/>
    </row>
    <row r="2204" spans="10:10" x14ac:dyDescent="0.35">
      <c r="J2204"/>
    </row>
    <row r="2205" spans="10:10" x14ac:dyDescent="0.35">
      <c r="J2205"/>
    </row>
    <row r="2206" spans="10:10" x14ac:dyDescent="0.35">
      <c r="J2206"/>
    </row>
    <row r="2207" spans="10:10" x14ac:dyDescent="0.35">
      <c r="J2207"/>
    </row>
    <row r="2208" spans="10:10" x14ac:dyDescent="0.35">
      <c r="J2208"/>
    </row>
    <row r="2209" spans="10:10" x14ac:dyDescent="0.35">
      <c r="J2209"/>
    </row>
    <row r="2210" spans="10:10" x14ac:dyDescent="0.35">
      <c r="J2210"/>
    </row>
    <row r="2211" spans="10:10" x14ac:dyDescent="0.35">
      <c r="J2211"/>
    </row>
    <row r="2212" spans="10:10" x14ac:dyDescent="0.35">
      <c r="J2212"/>
    </row>
    <row r="2213" spans="10:10" x14ac:dyDescent="0.35">
      <c r="J2213"/>
    </row>
    <row r="2214" spans="10:10" x14ac:dyDescent="0.35">
      <c r="J2214"/>
    </row>
    <row r="2215" spans="10:10" x14ac:dyDescent="0.35">
      <c r="J2215"/>
    </row>
    <row r="2216" spans="10:10" x14ac:dyDescent="0.35">
      <c r="J2216"/>
    </row>
    <row r="2217" spans="10:10" x14ac:dyDescent="0.35">
      <c r="J2217"/>
    </row>
    <row r="2218" spans="10:10" x14ac:dyDescent="0.35">
      <c r="J2218"/>
    </row>
    <row r="2219" spans="10:10" x14ac:dyDescent="0.35">
      <c r="J2219"/>
    </row>
    <row r="2220" spans="10:10" x14ac:dyDescent="0.35">
      <c r="J2220"/>
    </row>
    <row r="2221" spans="10:10" x14ac:dyDescent="0.35">
      <c r="J2221"/>
    </row>
    <row r="2222" spans="10:10" x14ac:dyDescent="0.35">
      <c r="J2222"/>
    </row>
    <row r="2223" spans="10:10" x14ac:dyDescent="0.35">
      <c r="J2223"/>
    </row>
    <row r="2224" spans="10:10" x14ac:dyDescent="0.35">
      <c r="J2224"/>
    </row>
    <row r="2225" spans="10:10" x14ac:dyDescent="0.35">
      <c r="J2225"/>
    </row>
    <row r="2226" spans="10:10" x14ac:dyDescent="0.35">
      <c r="J2226"/>
    </row>
    <row r="2227" spans="10:10" x14ac:dyDescent="0.35">
      <c r="J2227"/>
    </row>
    <row r="2228" spans="10:10" x14ac:dyDescent="0.35">
      <c r="J2228"/>
    </row>
    <row r="2229" spans="10:10" x14ac:dyDescent="0.35">
      <c r="J2229"/>
    </row>
    <row r="2230" spans="10:10" x14ac:dyDescent="0.35">
      <c r="J2230"/>
    </row>
    <row r="2231" spans="10:10" x14ac:dyDescent="0.35">
      <c r="J2231"/>
    </row>
    <row r="2232" spans="10:10" x14ac:dyDescent="0.35">
      <c r="J2232"/>
    </row>
    <row r="2233" spans="10:10" x14ac:dyDescent="0.35">
      <c r="J2233"/>
    </row>
    <row r="2234" spans="10:10" x14ac:dyDescent="0.35">
      <c r="J2234"/>
    </row>
    <row r="2235" spans="10:10" x14ac:dyDescent="0.35">
      <c r="J2235"/>
    </row>
    <row r="2236" spans="10:10" x14ac:dyDescent="0.35">
      <c r="J2236"/>
    </row>
    <row r="2237" spans="10:10" x14ac:dyDescent="0.35">
      <c r="J2237"/>
    </row>
    <row r="2238" spans="10:10" x14ac:dyDescent="0.35">
      <c r="J2238"/>
    </row>
    <row r="2239" spans="10:10" x14ac:dyDescent="0.35">
      <c r="J2239"/>
    </row>
    <row r="2240" spans="10:10" x14ac:dyDescent="0.35">
      <c r="J2240"/>
    </row>
    <row r="2241" spans="10:10" x14ac:dyDescent="0.35">
      <c r="J2241"/>
    </row>
    <row r="2242" spans="10:10" x14ac:dyDescent="0.35">
      <c r="J2242"/>
    </row>
    <row r="2243" spans="10:10" x14ac:dyDescent="0.35">
      <c r="J2243"/>
    </row>
    <row r="2244" spans="10:10" x14ac:dyDescent="0.35">
      <c r="J2244"/>
    </row>
    <row r="2245" spans="10:10" x14ac:dyDescent="0.35">
      <c r="J2245"/>
    </row>
    <row r="2246" spans="10:10" x14ac:dyDescent="0.35">
      <c r="J2246"/>
    </row>
    <row r="2247" spans="10:10" x14ac:dyDescent="0.35">
      <c r="J2247"/>
    </row>
    <row r="2248" spans="10:10" x14ac:dyDescent="0.35">
      <c r="J2248"/>
    </row>
    <row r="2249" spans="10:10" x14ac:dyDescent="0.35">
      <c r="J2249"/>
    </row>
    <row r="2250" spans="10:10" x14ac:dyDescent="0.35">
      <c r="J2250"/>
    </row>
    <row r="2251" spans="10:10" x14ac:dyDescent="0.35">
      <c r="J2251"/>
    </row>
    <row r="2252" spans="10:10" x14ac:dyDescent="0.35">
      <c r="J2252"/>
    </row>
    <row r="2253" spans="10:10" x14ac:dyDescent="0.35">
      <c r="J2253"/>
    </row>
    <row r="2254" spans="10:10" x14ac:dyDescent="0.35">
      <c r="J2254"/>
    </row>
    <row r="2255" spans="10:10" x14ac:dyDescent="0.35">
      <c r="J2255"/>
    </row>
    <row r="2256" spans="10:10" x14ac:dyDescent="0.35">
      <c r="J2256"/>
    </row>
    <row r="2257" spans="10:10" x14ac:dyDescent="0.35">
      <c r="J2257"/>
    </row>
    <row r="2258" spans="10:10" x14ac:dyDescent="0.35">
      <c r="J2258"/>
    </row>
    <row r="2259" spans="10:10" x14ac:dyDescent="0.35">
      <c r="J2259"/>
    </row>
    <row r="2260" spans="10:10" x14ac:dyDescent="0.35">
      <c r="J2260"/>
    </row>
    <row r="2261" spans="10:10" x14ac:dyDescent="0.35">
      <c r="J2261"/>
    </row>
    <row r="2262" spans="10:10" x14ac:dyDescent="0.35">
      <c r="J2262"/>
    </row>
    <row r="2263" spans="10:10" x14ac:dyDescent="0.35">
      <c r="J2263"/>
    </row>
    <row r="2264" spans="10:10" x14ac:dyDescent="0.35">
      <c r="J2264"/>
    </row>
    <row r="2265" spans="10:10" x14ac:dyDescent="0.35">
      <c r="J2265"/>
    </row>
    <row r="2266" spans="10:10" x14ac:dyDescent="0.35">
      <c r="J2266"/>
    </row>
    <row r="2267" spans="10:10" x14ac:dyDescent="0.35">
      <c r="J2267"/>
    </row>
    <row r="2268" spans="10:10" x14ac:dyDescent="0.35">
      <c r="J2268"/>
    </row>
    <row r="2269" spans="10:10" x14ac:dyDescent="0.35">
      <c r="J2269"/>
    </row>
    <row r="2270" spans="10:10" x14ac:dyDescent="0.35">
      <c r="J2270"/>
    </row>
    <row r="2271" spans="10:10" x14ac:dyDescent="0.35">
      <c r="J2271"/>
    </row>
    <row r="2272" spans="10:10" x14ac:dyDescent="0.35">
      <c r="J2272"/>
    </row>
    <row r="2273" spans="10:10" x14ac:dyDescent="0.35">
      <c r="J2273"/>
    </row>
    <row r="2274" spans="10:10" x14ac:dyDescent="0.35">
      <c r="J2274"/>
    </row>
    <row r="2275" spans="10:10" x14ac:dyDescent="0.35">
      <c r="J2275"/>
    </row>
    <row r="2276" spans="10:10" x14ac:dyDescent="0.35">
      <c r="J2276"/>
    </row>
    <row r="2277" spans="10:10" x14ac:dyDescent="0.35">
      <c r="J2277"/>
    </row>
    <row r="2278" spans="10:10" x14ac:dyDescent="0.35">
      <c r="J2278"/>
    </row>
    <row r="2279" spans="10:10" x14ac:dyDescent="0.35">
      <c r="J2279"/>
    </row>
    <row r="2280" spans="10:10" x14ac:dyDescent="0.35">
      <c r="J2280"/>
    </row>
    <row r="2281" spans="10:10" x14ac:dyDescent="0.35">
      <c r="J2281"/>
    </row>
    <row r="2282" spans="10:10" x14ac:dyDescent="0.35">
      <c r="J2282"/>
    </row>
    <row r="2283" spans="10:10" x14ac:dyDescent="0.35">
      <c r="J2283"/>
    </row>
    <row r="2284" spans="10:10" x14ac:dyDescent="0.35">
      <c r="J2284"/>
    </row>
    <row r="2285" spans="10:10" x14ac:dyDescent="0.35">
      <c r="J2285"/>
    </row>
    <row r="2286" spans="10:10" x14ac:dyDescent="0.35">
      <c r="J2286"/>
    </row>
    <row r="2287" spans="10:10" x14ac:dyDescent="0.35">
      <c r="J2287"/>
    </row>
    <row r="2288" spans="10:10" x14ac:dyDescent="0.35">
      <c r="J2288"/>
    </row>
    <row r="2289" spans="10:10" x14ac:dyDescent="0.35">
      <c r="J2289"/>
    </row>
    <row r="2290" spans="10:10" x14ac:dyDescent="0.35">
      <c r="J2290"/>
    </row>
    <row r="2291" spans="10:10" x14ac:dyDescent="0.35">
      <c r="J2291"/>
    </row>
    <row r="2292" spans="10:10" x14ac:dyDescent="0.35">
      <c r="J2292"/>
    </row>
    <row r="2293" spans="10:10" x14ac:dyDescent="0.35">
      <c r="J2293"/>
    </row>
    <row r="2294" spans="10:10" x14ac:dyDescent="0.35">
      <c r="J2294"/>
    </row>
    <row r="2295" spans="10:10" x14ac:dyDescent="0.35">
      <c r="J2295"/>
    </row>
    <row r="2296" spans="10:10" x14ac:dyDescent="0.35">
      <c r="J2296"/>
    </row>
    <row r="2297" spans="10:10" x14ac:dyDescent="0.35">
      <c r="J2297"/>
    </row>
    <row r="2298" spans="10:10" x14ac:dyDescent="0.35">
      <c r="J2298"/>
    </row>
    <row r="2299" spans="10:10" x14ac:dyDescent="0.35">
      <c r="J2299"/>
    </row>
    <row r="2300" spans="10:10" x14ac:dyDescent="0.35">
      <c r="J2300"/>
    </row>
    <row r="2301" spans="10:10" x14ac:dyDescent="0.35">
      <c r="J2301"/>
    </row>
    <row r="2302" spans="10:10" x14ac:dyDescent="0.35">
      <c r="J2302"/>
    </row>
    <row r="2303" spans="10:10" x14ac:dyDescent="0.35">
      <c r="J2303"/>
    </row>
    <row r="2304" spans="10:10" x14ac:dyDescent="0.35">
      <c r="J2304"/>
    </row>
    <row r="2305" spans="10:10" x14ac:dyDescent="0.35">
      <c r="J2305"/>
    </row>
    <row r="2306" spans="10:10" x14ac:dyDescent="0.35">
      <c r="J2306"/>
    </row>
    <row r="2307" spans="10:10" x14ac:dyDescent="0.35">
      <c r="J2307"/>
    </row>
    <row r="2308" spans="10:10" x14ac:dyDescent="0.35">
      <c r="J2308"/>
    </row>
    <row r="2309" spans="10:10" x14ac:dyDescent="0.35">
      <c r="J2309"/>
    </row>
    <row r="2310" spans="10:10" x14ac:dyDescent="0.35">
      <c r="J2310"/>
    </row>
    <row r="2311" spans="10:10" x14ac:dyDescent="0.35">
      <c r="J2311"/>
    </row>
    <row r="2312" spans="10:10" x14ac:dyDescent="0.35">
      <c r="J2312"/>
    </row>
    <row r="2313" spans="10:10" x14ac:dyDescent="0.35">
      <c r="J2313"/>
    </row>
    <row r="2314" spans="10:10" x14ac:dyDescent="0.35">
      <c r="J2314"/>
    </row>
    <row r="2315" spans="10:10" x14ac:dyDescent="0.35">
      <c r="J2315"/>
    </row>
    <row r="2316" spans="10:10" x14ac:dyDescent="0.35">
      <c r="J2316"/>
    </row>
    <row r="2317" spans="10:10" x14ac:dyDescent="0.35">
      <c r="J2317"/>
    </row>
    <row r="2318" spans="10:10" x14ac:dyDescent="0.35">
      <c r="J2318"/>
    </row>
    <row r="2319" spans="10:10" x14ac:dyDescent="0.35">
      <c r="J2319"/>
    </row>
    <row r="2320" spans="10:10" x14ac:dyDescent="0.35">
      <c r="J2320"/>
    </row>
    <row r="2321" spans="10:10" x14ac:dyDescent="0.35">
      <c r="J2321"/>
    </row>
    <row r="2322" spans="10:10" x14ac:dyDescent="0.35">
      <c r="J2322"/>
    </row>
    <row r="2323" spans="10:10" x14ac:dyDescent="0.35">
      <c r="J2323"/>
    </row>
    <row r="2324" spans="10:10" x14ac:dyDescent="0.35">
      <c r="J2324"/>
    </row>
    <row r="2325" spans="10:10" x14ac:dyDescent="0.35">
      <c r="J2325"/>
    </row>
    <row r="2326" spans="10:10" x14ac:dyDescent="0.35">
      <c r="J2326"/>
    </row>
    <row r="2327" spans="10:10" x14ac:dyDescent="0.35">
      <c r="J2327"/>
    </row>
    <row r="2328" spans="10:10" x14ac:dyDescent="0.35">
      <c r="J2328"/>
    </row>
    <row r="2329" spans="10:10" x14ac:dyDescent="0.35">
      <c r="J2329"/>
    </row>
    <row r="2330" spans="10:10" x14ac:dyDescent="0.35">
      <c r="J2330"/>
    </row>
    <row r="2331" spans="10:10" x14ac:dyDescent="0.35">
      <c r="J2331"/>
    </row>
    <row r="2332" spans="10:10" x14ac:dyDescent="0.35">
      <c r="J2332"/>
    </row>
    <row r="2333" spans="10:10" x14ac:dyDescent="0.35">
      <c r="J2333"/>
    </row>
    <row r="2334" spans="10:10" x14ac:dyDescent="0.35">
      <c r="J2334"/>
    </row>
    <row r="2335" spans="10:10" x14ac:dyDescent="0.35">
      <c r="J2335"/>
    </row>
    <row r="2336" spans="10:10" x14ac:dyDescent="0.35">
      <c r="J2336"/>
    </row>
    <row r="2337" spans="10:10" x14ac:dyDescent="0.35">
      <c r="J2337"/>
    </row>
    <row r="2338" spans="10:10" x14ac:dyDescent="0.35">
      <c r="J2338"/>
    </row>
    <row r="2339" spans="10:10" x14ac:dyDescent="0.35">
      <c r="J2339"/>
    </row>
    <row r="2340" spans="10:10" x14ac:dyDescent="0.35">
      <c r="J2340"/>
    </row>
    <row r="2341" spans="10:10" x14ac:dyDescent="0.35">
      <c r="J2341"/>
    </row>
    <row r="2342" spans="10:10" x14ac:dyDescent="0.35">
      <c r="J2342"/>
    </row>
    <row r="2343" spans="10:10" x14ac:dyDescent="0.35">
      <c r="J2343"/>
    </row>
    <row r="2344" spans="10:10" x14ac:dyDescent="0.35">
      <c r="J2344"/>
    </row>
    <row r="2345" spans="10:10" x14ac:dyDescent="0.35">
      <c r="J2345"/>
    </row>
    <row r="2346" spans="10:10" x14ac:dyDescent="0.35">
      <c r="J2346"/>
    </row>
    <row r="2347" spans="10:10" x14ac:dyDescent="0.35">
      <c r="J2347"/>
    </row>
    <row r="2348" spans="10:10" x14ac:dyDescent="0.35">
      <c r="J2348"/>
    </row>
    <row r="2349" spans="10:10" x14ac:dyDescent="0.35">
      <c r="J2349"/>
    </row>
    <row r="2350" spans="10:10" x14ac:dyDescent="0.35">
      <c r="J2350"/>
    </row>
    <row r="2351" spans="10:10" x14ac:dyDescent="0.35">
      <c r="J2351"/>
    </row>
    <row r="2352" spans="10:10" x14ac:dyDescent="0.35">
      <c r="J2352"/>
    </row>
    <row r="2353" spans="10:10" x14ac:dyDescent="0.35">
      <c r="J2353"/>
    </row>
    <row r="2354" spans="10:10" x14ac:dyDescent="0.35">
      <c r="J2354"/>
    </row>
    <row r="2355" spans="10:10" x14ac:dyDescent="0.35">
      <c r="J2355"/>
    </row>
    <row r="2356" spans="10:10" x14ac:dyDescent="0.35">
      <c r="J2356"/>
    </row>
    <row r="2357" spans="10:10" x14ac:dyDescent="0.35">
      <c r="J2357"/>
    </row>
    <row r="2358" spans="10:10" x14ac:dyDescent="0.35">
      <c r="J2358"/>
    </row>
    <row r="2359" spans="10:10" x14ac:dyDescent="0.35">
      <c r="J2359"/>
    </row>
    <row r="2360" spans="10:10" x14ac:dyDescent="0.35">
      <c r="J2360"/>
    </row>
    <row r="2361" spans="10:10" x14ac:dyDescent="0.35">
      <c r="J2361"/>
    </row>
    <row r="2362" spans="10:10" x14ac:dyDescent="0.35">
      <c r="J2362"/>
    </row>
    <row r="2363" spans="10:10" x14ac:dyDescent="0.35">
      <c r="J2363"/>
    </row>
    <row r="2364" spans="10:10" x14ac:dyDescent="0.35">
      <c r="J2364"/>
    </row>
    <row r="2365" spans="10:10" x14ac:dyDescent="0.35">
      <c r="J2365"/>
    </row>
    <row r="2366" spans="10:10" x14ac:dyDescent="0.35">
      <c r="J2366"/>
    </row>
    <row r="2367" spans="10:10" x14ac:dyDescent="0.35">
      <c r="J2367"/>
    </row>
    <row r="2368" spans="10:10" x14ac:dyDescent="0.35">
      <c r="J2368"/>
    </row>
    <row r="2369" spans="10:10" x14ac:dyDescent="0.35">
      <c r="J2369"/>
    </row>
    <row r="2370" spans="10:10" x14ac:dyDescent="0.35">
      <c r="J2370"/>
    </row>
    <row r="2371" spans="10:10" x14ac:dyDescent="0.35">
      <c r="J2371"/>
    </row>
    <row r="2372" spans="10:10" x14ac:dyDescent="0.35">
      <c r="J2372"/>
    </row>
    <row r="2373" spans="10:10" x14ac:dyDescent="0.35">
      <c r="J2373"/>
    </row>
    <row r="2374" spans="10:10" x14ac:dyDescent="0.35">
      <c r="J2374"/>
    </row>
    <row r="2375" spans="10:10" x14ac:dyDescent="0.35">
      <c r="J2375"/>
    </row>
    <row r="2376" spans="10:10" x14ac:dyDescent="0.35">
      <c r="J2376"/>
    </row>
    <row r="2377" spans="10:10" x14ac:dyDescent="0.35">
      <c r="J2377"/>
    </row>
    <row r="2378" spans="10:10" x14ac:dyDescent="0.35">
      <c r="J2378"/>
    </row>
    <row r="2379" spans="10:10" x14ac:dyDescent="0.35">
      <c r="J2379"/>
    </row>
    <row r="2380" spans="10:10" x14ac:dyDescent="0.35">
      <c r="J2380"/>
    </row>
    <row r="2381" spans="10:10" x14ac:dyDescent="0.35">
      <c r="J2381"/>
    </row>
    <row r="2382" spans="10:10" x14ac:dyDescent="0.35">
      <c r="J2382"/>
    </row>
    <row r="2383" spans="10:10" x14ac:dyDescent="0.35">
      <c r="J2383"/>
    </row>
    <row r="2384" spans="10:10" x14ac:dyDescent="0.35">
      <c r="J2384"/>
    </row>
    <row r="2385" spans="10:10" x14ac:dyDescent="0.35">
      <c r="J2385"/>
    </row>
    <row r="2386" spans="10:10" x14ac:dyDescent="0.35">
      <c r="J2386"/>
    </row>
    <row r="2387" spans="10:10" x14ac:dyDescent="0.35">
      <c r="J2387"/>
    </row>
    <row r="2388" spans="10:10" x14ac:dyDescent="0.35">
      <c r="J2388"/>
    </row>
    <row r="2389" spans="10:10" x14ac:dyDescent="0.35">
      <c r="J2389"/>
    </row>
    <row r="2390" spans="10:10" x14ac:dyDescent="0.35">
      <c r="J2390"/>
    </row>
    <row r="2391" spans="10:10" x14ac:dyDescent="0.35">
      <c r="J2391"/>
    </row>
    <row r="2392" spans="10:10" x14ac:dyDescent="0.35">
      <c r="J2392"/>
    </row>
    <row r="2393" spans="10:10" x14ac:dyDescent="0.35">
      <c r="J2393"/>
    </row>
    <row r="2394" spans="10:10" x14ac:dyDescent="0.35">
      <c r="J2394"/>
    </row>
    <row r="2395" spans="10:10" x14ac:dyDescent="0.35">
      <c r="J2395"/>
    </row>
    <row r="2396" spans="10:10" x14ac:dyDescent="0.35">
      <c r="J2396"/>
    </row>
    <row r="2397" spans="10:10" x14ac:dyDescent="0.35">
      <c r="J2397"/>
    </row>
    <row r="2398" spans="10:10" x14ac:dyDescent="0.35">
      <c r="J2398"/>
    </row>
    <row r="2399" spans="10:10" x14ac:dyDescent="0.35">
      <c r="J2399"/>
    </row>
    <row r="2400" spans="10:10" x14ac:dyDescent="0.35">
      <c r="J2400"/>
    </row>
    <row r="2401" spans="10:10" x14ac:dyDescent="0.35">
      <c r="J2401"/>
    </row>
    <row r="2402" spans="10:10" x14ac:dyDescent="0.35">
      <c r="J2402"/>
    </row>
    <row r="2403" spans="10:10" x14ac:dyDescent="0.35">
      <c r="J2403"/>
    </row>
    <row r="2404" spans="10:10" x14ac:dyDescent="0.35">
      <c r="J2404"/>
    </row>
    <row r="2405" spans="10:10" x14ac:dyDescent="0.35">
      <c r="J2405"/>
    </row>
    <row r="2406" spans="10:10" x14ac:dyDescent="0.35">
      <c r="J2406"/>
    </row>
    <row r="2407" spans="10:10" x14ac:dyDescent="0.35">
      <c r="J2407"/>
    </row>
    <row r="2408" spans="10:10" x14ac:dyDescent="0.35">
      <c r="J2408"/>
    </row>
    <row r="2409" spans="10:10" x14ac:dyDescent="0.35">
      <c r="J2409"/>
    </row>
    <row r="2410" spans="10:10" x14ac:dyDescent="0.35">
      <c r="J2410"/>
    </row>
    <row r="2411" spans="10:10" x14ac:dyDescent="0.35">
      <c r="J2411"/>
    </row>
    <row r="2412" spans="10:10" x14ac:dyDescent="0.35">
      <c r="J2412"/>
    </row>
    <row r="2413" spans="10:10" x14ac:dyDescent="0.35">
      <c r="J2413"/>
    </row>
    <row r="2414" spans="10:10" x14ac:dyDescent="0.35">
      <c r="J2414"/>
    </row>
    <row r="2415" spans="10:10" x14ac:dyDescent="0.35">
      <c r="J2415"/>
    </row>
    <row r="2416" spans="10:10" x14ac:dyDescent="0.35">
      <c r="J2416"/>
    </row>
    <row r="2417" spans="10:10" x14ac:dyDescent="0.35">
      <c r="J2417"/>
    </row>
    <row r="2418" spans="10:10" x14ac:dyDescent="0.35">
      <c r="J2418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94AF-C079-456F-8C15-71A2932B3B8A}">
  <dimension ref="A1:H17"/>
  <sheetViews>
    <sheetView workbookViewId="0">
      <selection activeCell="H2" sqref="H2"/>
    </sheetView>
  </sheetViews>
  <sheetFormatPr defaultRowHeight="14.5" x14ac:dyDescent="0.35"/>
  <cols>
    <col min="1" max="1" width="21.54296875" style="77" bestFit="1" customWidth="1"/>
    <col min="2" max="2" width="9.1796875" style="77" bestFit="1" customWidth="1"/>
    <col min="3" max="3" width="9.7265625" style="77" bestFit="1" customWidth="1"/>
    <col min="4" max="4" width="12.7265625" style="77" bestFit="1" customWidth="1"/>
    <col min="5" max="5" width="11.26953125" style="77" bestFit="1" customWidth="1"/>
    <col min="6" max="6" width="39.81640625" style="77" bestFit="1" customWidth="1"/>
    <col min="7" max="7" width="10" style="77" bestFit="1" customWidth="1"/>
    <col min="8" max="8" width="8.7265625" style="77"/>
  </cols>
  <sheetData>
    <row r="1" spans="1:8" x14ac:dyDescent="0.35">
      <c r="A1" s="484" t="s">
        <v>114</v>
      </c>
      <c r="B1" s="484" t="s">
        <v>54</v>
      </c>
      <c r="C1" s="484" t="s">
        <v>64</v>
      </c>
      <c r="D1" s="484" t="s">
        <v>65</v>
      </c>
      <c r="E1" s="484" t="s">
        <v>66</v>
      </c>
      <c r="F1" s="484" t="s">
        <v>67</v>
      </c>
      <c r="G1" s="484" t="s">
        <v>68</v>
      </c>
      <c r="H1" s="484" t="s">
        <v>69</v>
      </c>
    </row>
    <row r="2" spans="1:8" x14ac:dyDescent="0.35">
      <c r="A2" s="485" t="s">
        <v>13</v>
      </c>
      <c r="B2" s="485" t="s">
        <v>42</v>
      </c>
      <c r="C2" s="485" t="s">
        <v>72</v>
      </c>
      <c r="D2" s="485" t="s">
        <v>73</v>
      </c>
      <c r="E2" s="485" t="s">
        <v>74</v>
      </c>
      <c r="F2" s="485" t="s">
        <v>129</v>
      </c>
      <c r="G2" s="485" t="s">
        <v>76</v>
      </c>
      <c r="H2" s="488" cm="1">
        <f t="array" ref="H2:H5">Sensitivity!$H$12:$H$15</f>
        <v>-0.5</v>
      </c>
    </row>
    <row r="3" spans="1:8" x14ac:dyDescent="0.35">
      <c r="A3" s="77" t="s">
        <v>13</v>
      </c>
      <c r="B3" s="77" t="s">
        <v>42</v>
      </c>
      <c r="C3" s="77" t="s">
        <v>72</v>
      </c>
      <c r="D3" s="77" t="s">
        <v>73</v>
      </c>
      <c r="E3" s="77" t="s">
        <v>74</v>
      </c>
      <c r="F3" s="77" t="s">
        <v>77</v>
      </c>
      <c r="G3" s="77" t="s">
        <v>76</v>
      </c>
      <c r="H3" s="159">
        <v>-0.5</v>
      </c>
    </row>
    <row r="4" spans="1:8" x14ac:dyDescent="0.35">
      <c r="A4" s="486" t="s">
        <v>13</v>
      </c>
      <c r="B4" s="486" t="s">
        <v>41</v>
      </c>
      <c r="C4" s="486" t="s">
        <v>72</v>
      </c>
      <c r="D4" s="486" t="s">
        <v>73</v>
      </c>
      <c r="E4" s="486" t="s">
        <v>74</v>
      </c>
      <c r="F4" s="486" t="s">
        <v>129</v>
      </c>
      <c r="G4" s="486" t="s">
        <v>76</v>
      </c>
      <c r="H4" s="489">
        <v>1</v>
      </c>
    </row>
    <row r="5" spans="1:8" x14ac:dyDescent="0.35">
      <c r="A5" s="77" t="s">
        <v>13</v>
      </c>
      <c r="B5" s="77" t="s">
        <v>41</v>
      </c>
      <c r="C5" s="77" t="s">
        <v>72</v>
      </c>
      <c r="D5" s="77" t="s">
        <v>73</v>
      </c>
      <c r="E5" s="77" t="s">
        <v>74</v>
      </c>
      <c r="F5" s="77" t="s">
        <v>77</v>
      </c>
      <c r="G5" s="77" t="s">
        <v>76</v>
      </c>
      <c r="H5" s="10">
        <v>1.0000000000000004</v>
      </c>
    </row>
    <row r="6" spans="1:8" x14ac:dyDescent="0.35">
      <c r="A6" s="487" t="s">
        <v>14</v>
      </c>
      <c r="B6" s="487" t="s">
        <v>42</v>
      </c>
      <c r="C6" s="487" t="s">
        <v>72</v>
      </c>
      <c r="D6" s="487" t="s">
        <v>73</v>
      </c>
      <c r="E6" s="487" t="s">
        <v>74</v>
      </c>
      <c r="F6" s="487" t="s">
        <v>129</v>
      </c>
      <c r="G6" s="487" t="s">
        <v>76</v>
      </c>
      <c r="H6" s="490" cm="1">
        <f t="array" ref="H6:H9">Sensitivity!$H$12:$H$15</f>
        <v>-0.5</v>
      </c>
    </row>
    <row r="7" spans="1:8" x14ac:dyDescent="0.35">
      <c r="A7" s="77" t="s">
        <v>14</v>
      </c>
      <c r="B7" s="77" t="s">
        <v>42</v>
      </c>
      <c r="C7" s="77" t="s">
        <v>72</v>
      </c>
      <c r="D7" s="77" t="s">
        <v>73</v>
      </c>
      <c r="E7" s="77" t="s">
        <v>74</v>
      </c>
      <c r="F7" s="77" t="s">
        <v>77</v>
      </c>
      <c r="G7" s="77" t="s">
        <v>76</v>
      </c>
      <c r="H7" s="10">
        <v>-0.5</v>
      </c>
    </row>
    <row r="8" spans="1:8" x14ac:dyDescent="0.35">
      <c r="A8" s="486" t="s">
        <v>14</v>
      </c>
      <c r="B8" s="486" t="s">
        <v>41</v>
      </c>
      <c r="C8" s="486" t="s">
        <v>72</v>
      </c>
      <c r="D8" s="486" t="s">
        <v>73</v>
      </c>
      <c r="E8" s="486" t="s">
        <v>74</v>
      </c>
      <c r="F8" s="486" t="s">
        <v>129</v>
      </c>
      <c r="G8" s="486" t="s">
        <v>76</v>
      </c>
      <c r="H8" s="491">
        <v>1</v>
      </c>
    </row>
    <row r="9" spans="1:8" x14ac:dyDescent="0.35">
      <c r="A9" s="77" t="s">
        <v>14</v>
      </c>
      <c r="B9" s="77" t="s">
        <v>41</v>
      </c>
      <c r="C9" s="77" t="s">
        <v>72</v>
      </c>
      <c r="D9" s="77" t="s">
        <v>73</v>
      </c>
      <c r="E9" s="77" t="s">
        <v>74</v>
      </c>
      <c r="F9" s="77" t="s">
        <v>77</v>
      </c>
      <c r="G9" s="77" t="s">
        <v>76</v>
      </c>
      <c r="H9" s="10">
        <v>1.0000000000000004</v>
      </c>
    </row>
    <row r="10" spans="1:8" x14ac:dyDescent="0.35">
      <c r="A10" s="487" t="s">
        <v>15</v>
      </c>
      <c r="B10" s="487" t="s">
        <v>42</v>
      </c>
      <c r="C10" s="487" t="s">
        <v>72</v>
      </c>
      <c r="D10" s="487" t="s">
        <v>73</v>
      </c>
      <c r="E10" s="487" t="s">
        <v>74</v>
      </c>
      <c r="F10" s="487" t="s">
        <v>129</v>
      </c>
      <c r="G10" s="487" t="s">
        <v>76</v>
      </c>
      <c r="H10" s="490" cm="1">
        <f t="array" ref="H10:H13">Sensitivity!$H$12:$H$15</f>
        <v>-0.5</v>
      </c>
    </row>
    <row r="11" spans="1:8" x14ac:dyDescent="0.35">
      <c r="A11" s="77" t="s">
        <v>15</v>
      </c>
      <c r="B11" s="77" t="s">
        <v>42</v>
      </c>
      <c r="C11" s="77" t="s">
        <v>72</v>
      </c>
      <c r="D11" s="77" t="s">
        <v>73</v>
      </c>
      <c r="E11" s="77" t="s">
        <v>74</v>
      </c>
      <c r="F11" s="77" t="s">
        <v>77</v>
      </c>
      <c r="G11" s="77" t="s">
        <v>76</v>
      </c>
      <c r="H11" s="10">
        <v>-0.5</v>
      </c>
    </row>
    <row r="12" spans="1:8" x14ac:dyDescent="0.35">
      <c r="A12" s="486" t="s">
        <v>15</v>
      </c>
      <c r="B12" s="486" t="s">
        <v>41</v>
      </c>
      <c r="C12" s="486" t="s">
        <v>72</v>
      </c>
      <c r="D12" s="486" t="s">
        <v>73</v>
      </c>
      <c r="E12" s="486" t="s">
        <v>74</v>
      </c>
      <c r="F12" s="486" t="s">
        <v>129</v>
      </c>
      <c r="G12" s="486" t="s">
        <v>76</v>
      </c>
      <c r="H12" s="491">
        <v>1</v>
      </c>
    </row>
    <row r="13" spans="1:8" x14ac:dyDescent="0.35">
      <c r="A13" s="77" t="s">
        <v>15</v>
      </c>
      <c r="B13" s="77" t="s">
        <v>41</v>
      </c>
      <c r="C13" s="77" t="s">
        <v>72</v>
      </c>
      <c r="D13" s="77" t="s">
        <v>73</v>
      </c>
      <c r="E13" s="77" t="s">
        <v>74</v>
      </c>
      <c r="F13" s="77" t="s">
        <v>77</v>
      </c>
      <c r="G13" s="77" t="s">
        <v>76</v>
      </c>
      <c r="H13" s="10">
        <v>1.0000000000000004</v>
      </c>
    </row>
    <row r="14" spans="1:8" x14ac:dyDescent="0.35">
      <c r="A14" s="487" t="s">
        <v>18</v>
      </c>
      <c r="B14" s="487" t="s">
        <v>42</v>
      </c>
      <c r="C14" s="487" t="s">
        <v>72</v>
      </c>
      <c r="D14" s="487" t="s">
        <v>73</v>
      </c>
      <c r="E14" s="487" t="s">
        <v>74</v>
      </c>
      <c r="F14" s="487" t="s">
        <v>129</v>
      </c>
      <c r="G14" s="487" t="s">
        <v>76</v>
      </c>
      <c r="H14" s="490" cm="1">
        <f t="array" ref="H14:H17">Sensitivity!$H$12:$H$15</f>
        <v>-0.5</v>
      </c>
    </row>
    <row r="15" spans="1:8" x14ac:dyDescent="0.35">
      <c r="A15" s="77" t="s">
        <v>18</v>
      </c>
      <c r="B15" s="77" t="s">
        <v>42</v>
      </c>
      <c r="C15" s="77" t="s">
        <v>72</v>
      </c>
      <c r="D15" s="77" t="s">
        <v>73</v>
      </c>
      <c r="E15" s="77" t="s">
        <v>74</v>
      </c>
      <c r="F15" s="77" t="s">
        <v>77</v>
      </c>
      <c r="G15" s="77" t="s">
        <v>76</v>
      </c>
      <c r="H15" s="10">
        <v>-0.5</v>
      </c>
    </row>
    <row r="16" spans="1:8" x14ac:dyDescent="0.35">
      <c r="A16" s="486" t="s">
        <v>18</v>
      </c>
      <c r="B16" s="486" t="s">
        <v>41</v>
      </c>
      <c r="C16" s="486" t="s">
        <v>72</v>
      </c>
      <c r="D16" s="486" t="s">
        <v>73</v>
      </c>
      <c r="E16" s="486" t="s">
        <v>74</v>
      </c>
      <c r="F16" s="486" t="s">
        <v>129</v>
      </c>
      <c r="G16" s="486" t="s">
        <v>76</v>
      </c>
      <c r="H16" s="489">
        <v>1</v>
      </c>
    </row>
    <row r="17" spans="1:8" x14ac:dyDescent="0.35">
      <c r="A17" s="77" t="s">
        <v>18</v>
      </c>
      <c r="B17" s="77" t="s">
        <v>41</v>
      </c>
      <c r="C17" s="77" t="s">
        <v>72</v>
      </c>
      <c r="D17" s="77" t="s">
        <v>73</v>
      </c>
      <c r="E17" s="77" t="s">
        <v>74</v>
      </c>
      <c r="F17" s="77" t="s">
        <v>77</v>
      </c>
      <c r="G17" s="77" t="s">
        <v>76</v>
      </c>
      <c r="H17" s="159">
        <v>1.0000000000000004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1C39-8834-4940-805F-E9C4E2FED47E}">
  <dimension ref="A1:T123"/>
  <sheetViews>
    <sheetView zoomScale="59" zoomScaleNormal="59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U12" sqref="U12"/>
    </sheetView>
  </sheetViews>
  <sheetFormatPr defaultRowHeight="14.5" x14ac:dyDescent="0.35"/>
  <cols>
    <col min="1" max="1" width="41.7265625" bestFit="1" customWidth="1"/>
    <col min="2" max="2" width="9.81640625" style="4" customWidth="1"/>
    <col min="3" max="4" width="8.7265625" style="4"/>
    <col min="5" max="5" width="10.453125" customWidth="1"/>
    <col min="7" max="7" width="13.453125" bestFit="1" customWidth="1"/>
    <col min="8" max="8" width="12.453125" customWidth="1"/>
    <col min="9" max="9" width="12.453125" style="20" customWidth="1"/>
    <col min="10" max="18" width="13" customWidth="1"/>
    <col min="19" max="19" width="13" style="20" customWidth="1"/>
  </cols>
  <sheetData>
    <row r="1" spans="1:19" s="4" customFormat="1" x14ac:dyDescent="0.35">
      <c r="A1" s="255" t="s">
        <v>134</v>
      </c>
      <c r="D1" s="19" t="s">
        <v>135</v>
      </c>
      <c r="E1" s="4" t="str" cm="1">
        <f t="array" ref="E1:S1">TRANSPOSE(D4:D18)</f>
        <v>SR</v>
      </c>
      <c r="F1" s="4" t="str">
        <v>ELE</v>
      </c>
      <c r="G1" s="4" t="str">
        <v>ST</v>
      </c>
      <c r="H1" s="4" t="str">
        <v>SR_H2</v>
      </c>
      <c r="I1" s="17" t="str">
        <v>ELE_H2</v>
      </c>
      <c r="J1" s="4" t="str">
        <v>M_SR</v>
      </c>
      <c r="K1" s="4" t="str">
        <v>M_ELE</v>
      </c>
      <c r="L1" s="4" t="str">
        <v>NG_ST</v>
      </c>
      <c r="M1" s="4" t="str">
        <v>H2_ST</v>
      </c>
      <c r="N1" s="4" t="str">
        <v>CH_ST</v>
      </c>
      <c r="O1" s="4" t="str">
        <v>CH_CC_ST</v>
      </c>
      <c r="P1" s="4" t="str">
        <v>CC_ST</v>
      </c>
      <c r="Q1" s="4" t="str">
        <v>H2BF_ST</v>
      </c>
      <c r="R1" s="4" t="str">
        <v>SR_H2_P</v>
      </c>
      <c r="S1" s="17" t="str">
        <v>ELE_H2_P</v>
      </c>
    </row>
    <row r="2" spans="1:19" s="4" customFormat="1" x14ac:dyDescent="0.35">
      <c r="D2" s="19" t="s">
        <v>136</v>
      </c>
      <c r="E2" s="4" t="str" cm="1">
        <f t="array" ref="E2:S2">TRANSPOSE(B4:B18)</f>
        <v>EU27</v>
      </c>
      <c r="F2" s="4" t="str">
        <v>EU27</v>
      </c>
      <c r="G2" s="4" t="str">
        <v>EU27</v>
      </c>
      <c r="H2" s="4" t="str">
        <v>EU27</v>
      </c>
      <c r="I2" s="17" t="str">
        <v>EU27</v>
      </c>
      <c r="J2" s="4" t="str">
        <v>EU27</v>
      </c>
      <c r="K2" s="4" t="str">
        <v>EU27</v>
      </c>
      <c r="L2" s="4" t="str">
        <v>EU27</v>
      </c>
      <c r="M2" s="4" t="str">
        <v>EU27</v>
      </c>
      <c r="N2" s="4" t="str">
        <v>EU27</v>
      </c>
      <c r="O2" s="4" t="str">
        <v>EU27</v>
      </c>
      <c r="P2" s="4" t="str">
        <v>EU27</v>
      </c>
      <c r="Q2" s="4" t="str">
        <v>EU27</v>
      </c>
      <c r="R2" s="4" t="str">
        <v>EU27</v>
      </c>
      <c r="S2" s="17" t="str">
        <v>EU27</v>
      </c>
    </row>
    <row r="3" spans="1:19" x14ac:dyDescent="0.35">
      <c r="A3" s="18" t="s">
        <v>137</v>
      </c>
      <c r="B3" s="19" t="s">
        <v>136</v>
      </c>
      <c r="C3" s="19" t="s">
        <v>138</v>
      </c>
      <c r="E3" s="4" t="str" cm="1">
        <f t="array" ref="E3:S3">TRANSPOSE(C4:C18)</f>
        <v>no.</v>
      </c>
      <c r="F3" s="4" t="str">
        <v>no.</v>
      </c>
      <c r="G3" s="4" t="str">
        <v>ton</v>
      </c>
      <c r="H3" s="4" t="str">
        <v>kgH2</v>
      </c>
      <c r="I3" s="17" t="str">
        <v>kgH2</v>
      </c>
      <c r="J3" s="4" t="str">
        <v>no.</v>
      </c>
      <c r="K3" s="4" t="str">
        <v>no.</v>
      </c>
      <c r="L3" s="4" t="str">
        <v>ton</v>
      </c>
      <c r="M3" s="4" t="str">
        <v>ton</v>
      </c>
      <c r="N3" s="4" t="str">
        <v>ton</v>
      </c>
      <c r="O3" s="4" t="str">
        <v>ton</v>
      </c>
      <c r="P3" s="4" t="str">
        <v>ton</v>
      </c>
      <c r="Q3" s="4" t="str">
        <v>ton</v>
      </c>
      <c r="R3" s="4" t="str">
        <v>kgH2</v>
      </c>
      <c r="S3" s="17" t="str">
        <v>kgH2</v>
      </c>
    </row>
    <row r="4" spans="1:19" s="8" customFormat="1" x14ac:dyDescent="0.35">
      <c r="A4" s="8" t="s">
        <v>139</v>
      </c>
      <c r="B4" s="320" t="s">
        <v>73</v>
      </c>
      <c r="C4" s="320" t="s">
        <v>140</v>
      </c>
      <c r="D4" s="320" t="s">
        <v>141</v>
      </c>
      <c r="I4" s="343"/>
      <c r="J4" s="349">
        <v>0</v>
      </c>
      <c r="K4" s="349">
        <v>0</v>
      </c>
      <c r="L4" s="349">
        <v>0</v>
      </c>
      <c r="M4" s="349">
        <v>0</v>
      </c>
      <c r="N4" s="349">
        <v>0</v>
      </c>
      <c r="O4" s="349">
        <v>0</v>
      </c>
      <c r="P4" s="349">
        <v>0</v>
      </c>
      <c r="Q4" s="349">
        <v>0</v>
      </c>
      <c r="R4" s="351" cm="1">
        <f t="array" ref="R4:S5">[2]SUT_EU27!$K$93:$L$94</f>
        <v>2.2579291132186622E-8</v>
      </c>
      <c r="S4" s="350">
        <v>0</v>
      </c>
    </row>
    <row r="5" spans="1:19" x14ac:dyDescent="0.35">
      <c r="A5" t="s">
        <v>142</v>
      </c>
      <c r="B5" s="4" t="s">
        <v>73</v>
      </c>
      <c r="C5" s="4" t="s">
        <v>140</v>
      </c>
      <c r="D5" s="4" t="s">
        <v>143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7">
        <v>1.9230769230769231E-4</v>
      </c>
    </row>
    <row r="6" spans="1:19" x14ac:dyDescent="0.35">
      <c r="A6" t="s">
        <v>144</v>
      </c>
      <c r="B6" s="4" t="s">
        <v>73</v>
      </c>
      <c r="C6" s="4" t="s">
        <v>145</v>
      </c>
      <c r="D6" s="4" t="s">
        <v>146</v>
      </c>
      <c r="J6" s="54">
        <v>0</v>
      </c>
      <c r="K6" s="54">
        <v>0</v>
      </c>
      <c r="L6" s="54" cm="1">
        <f t="array" ref="L6:M8">'MSUT STEEL'!Y155:Z157</f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6">
        <v>0</v>
      </c>
    </row>
    <row r="7" spans="1:19" x14ac:dyDescent="0.35">
      <c r="A7" s="77" t="s">
        <v>147</v>
      </c>
      <c r="B7" s="4" t="s">
        <v>73</v>
      </c>
      <c r="C7" s="4" t="s">
        <v>148</v>
      </c>
      <c r="D7" s="4" t="s">
        <v>149</v>
      </c>
      <c r="J7" s="352">
        <v>0</v>
      </c>
      <c r="K7" s="54">
        <v>0</v>
      </c>
      <c r="L7" s="54">
        <v>71.248513674197383</v>
      </c>
      <c r="M7" s="54">
        <v>0</v>
      </c>
      <c r="N7" s="54">
        <v>0</v>
      </c>
      <c r="O7" s="54">
        <v>0</v>
      </c>
      <c r="P7" s="54">
        <v>0</v>
      </c>
      <c r="Q7" s="394" cm="1">
        <f t="array" ref="Q7:Q8">'MSUT STEEL'!X156:X157</f>
        <v>1.8124436429215509</v>
      </c>
      <c r="R7" s="54">
        <v>0</v>
      </c>
      <c r="S7" s="56">
        <v>0</v>
      </c>
    </row>
    <row r="8" spans="1:19" s="7" customFormat="1" x14ac:dyDescent="0.35">
      <c r="A8" s="7" t="s">
        <v>150</v>
      </c>
      <c r="B8" s="6" t="s">
        <v>73</v>
      </c>
      <c r="C8" s="6" t="s">
        <v>148</v>
      </c>
      <c r="D8" s="6" t="s">
        <v>151</v>
      </c>
      <c r="I8" s="28"/>
      <c r="J8" s="345">
        <v>0</v>
      </c>
      <c r="K8" s="58">
        <v>0</v>
      </c>
      <c r="L8" s="58">
        <v>0</v>
      </c>
      <c r="M8" s="58">
        <v>89.864674372709345</v>
      </c>
      <c r="N8" s="58">
        <v>0</v>
      </c>
      <c r="O8" s="58">
        <v>0</v>
      </c>
      <c r="P8" s="58">
        <v>0</v>
      </c>
      <c r="Q8" s="395">
        <v>7.2497745716862037</v>
      </c>
      <c r="R8" s="58">
        <v>0</v>
      </c>
      <c r="S8" s="59">
        <v>0</v>
      </c>
    </row>
    <row r="9" spans="1:19" x14ac:dyDescent="0.35">
      <c r="A9" t="s">
        <v>152</v>
      </c>
      <c r="B9" s="4" t="s">
        <v>73</v>
      </c>
      <c r="C9" s="4" t="s">
        <v>140</v>
      </c>
      <c r="D9" s="17" t="s">
        <v>153</v>
      </c>
      <c r="E9" s="61" cm="1">
        <f t="array" ref="E9:F10">[2]SUT_EU27!$E$97:$F$98</f>
        <v>1</v>
      </c>
      <c r="F9" s="335">
        <v>0</v>
      </c>
      <c r="G9" s="335">
        <v>0</v>
      </c>
      <c r="H9" s="61">
        <v>0</v>
      </c>
      <c r="I9" s="62">
        <v>0</v>
      </c>
      <c r="J9" s="212"/>
      <c r="K9" s="156"/>
      <c r="N9" s="38"/>
      <c r="O9" s="38"/>
      <c r="P9" s="38"/>
      <c r="Q9" s="38"/>
      <c r="R9" s="38"/>
      <c r="S9" s="39"/>
    </row>
    <row r="10" spans="1:19" x14ac:dyDescent="0.35">
      <c r="A10" t="s">
        <v>154</v>
      </c>
      <c r="B10" s="4" t="s">
        <v>73</v>
      </c>
      <c r="C10" s="4" t="s">
        <v>140</v>
      </c>
      <c r="D10" s="17" t="s">
        <v>155</v>
      </c>
      <c r="E10" s="61">
        <v>0</v>
      </c>
      <c r="F10" s="61">
        <v>1</v>
      </c>
      <c r="G10" s="335">
        <v>0</v>
      </c>
      <c r="H10" s="61">
        <v>0</v>
      </c>
      <c r="I10" s="62">
        <v>0</v>
      </c>
      <c r="J10" s="212"/>
      <c r="K10" s="156"/>
      <c r="L10" s="38"/>
      <c r="M10" s="38"/>
      <c r="N10" s="38"/>
      <c r="O10" s="38"/>
      <c r="P10" s="38"/>
      <c r="Q10" s="38"/>
      <c r="R10" s="38"/>
      <c r="S10" s="39"/>
    </row>
    <row r="11" spans="1:19" x14ac:dyDescent="0.35">
      <c r="A11" t="s">
        <v>156</v>
      </c>
      <c r="B11" s="4" t="s">
        <v>73</v>
      </c>
      <c r="C11" s="4" t="s">
        <v>145</v>
      </c>
      <c r="D11" s="4" t="s">
        <v>157</v>
      </c>
      <c r="E11" s="61">
        <v>0</v>
      </c>
      <c r="F11" s="335">
        <v>0</v>
      </c>
      <c r="G11" s="335" cm="1">
        <f t="array" ref="G11:G16">TRANSPOSE('2030 pathways'!C8:H8)</f>
        <v>0.11799999999999999</v>
      </c>
      <c r="H11" s="61">
        <v>0</v>
      </c>
      <c r="I11" s="62">
        <v>0</v>
      </c>
      <c r="J11" s="38"/>
      <c r="K11" s="38"/>
      <c r="L11" s="38"/>
      <c r="M11" s="38"/>
      <c r="N11" s="38"/>
      <c r="O11" s="38"/>
      <c r="P11" s="38"/>
      <c r="Q11" s="38"/>
      <c r="R11" s="38"/>
      <c r="S11" s="39"/>
    </row>
    <row r="12" spans="1:19" x14ac:dyDescent="0.35">
      <c r="A12" t="s">
        <v>158</v>
      </c>
      <c r="B12" s="4" t="s">
        <v>73</v>
      </c>
      <c r="C12" s="4" t="s">
        <v>145</v>
      </c>
      <c r="D12" s="4" t="s">
        <v>159</v>
      </c>
      <c r="E12" s="61">
        <v>0</v>
      </c>
      <c r="F12" s="335">
        <v>0</v>
      </c>
      <c r="G12" s="335">
        <v>1.18E-2</v>
      </c>
      <c r="H12" s="61">
        <v>0</v>
      </c>
      <c r="I12" s="62">
        <v>0</v>
      </c>
      <c r="J12" s="38"/>
      <c r="K12" s="38"/>
      <c r="L12" s="38"/>
    </row>
    <row r="13" spans="1:19" x14ac:dyDescent="0.35">
      <c r="A13" t="s">
        <v>160</v>
      </c>
      <c r="B13" s="4" t="s">
        <v>73</v>
      </c>
      <c r="C13" s="4" t="s">
        <v>145</v>
      </c>
      <c r="D13" s="4" t="s">
        <v>161</v>
      </c>
      <c r="E13" s="61">
        <v>0</v>
      </c>
      <c r="F13" s="335">
        <v>0</v>
      </c>
      <c r="G13" s="335">
        <v>2.3599999999999999E-2</v>
      </c>
      <c r="H13" s="61">
        <v>0</v>
      </c>
      <c r="I13" s="62">
        <v>0</v>
      </c>
    </row>
    <row r="14" spans="1:19" x14ac:dyDescent="0.35">
      <c r="A14" t="s">
        <v>162</v>
      </c>
      <c r="B14" s="4" t="s">
        <v>73</v>
      </c>
      <c r="C14" s="4" t="s">
        <v>145</v>
      </c>
      <c r="D14" s="4" t="s">
        <v>163</v>
      </c>
      <c r="E14" s="61">
        <v>0</v>
      </c>
      <c r="F14" s="335">
        <v>0</v>
      </c>
      <c r="G14" s="335">
        <v>6.4899999999999999E-2</v>
      </c>
      <c r="H14" s="61">
        <v>0</v>
      </c>
      <c r="I14" s="62">
        <v>0</v>
      </c>
    </row>
    <row r="15" spans="1:19" x14ac:dyDescent="0.35">
      <c r="A15" t="s">
        <v>164</v>
      </c>
      <c r="B15" s="4" t="s">
        <v>73</v>
      </c>
      <c r="C15" s="4" t="s">
        <v>145</v>
      </c>
      <c r="D15" s="4" t="s">
        <v>165</v>
      </c>
      <c r="E15" s="61">
        <v>0</v>
      </c>
      <c r="F15" s="335">
        <v>0</v>
      </c>
      <c r="G15" s="335">
        <v>4.1300000000000003E-2</v>
      </c>
      <c r="H15" s="61">
        <v>0</v>
      </c>
      <c r="I15" s="62">
        <v>0</v>
      </c>
    </row>
    <row r="16" spans="1:19" x14ac:dyDescent="0.35">
      <c r="A16" t="s">
        <v>166</v>
      </c>
      <c r="B16" s="4" t="s">
        <v>73</v>
      </c>
      <c r="C16" s="4" t="s">
        <v>145</v>
      </c>
      <c r="D16" s="4" t="s">
        <v>167</v>
      </c>
      <c r="E16" s="61">
        <v>0</v>
      </c>
      <c r="F16" s="335">
        <v>0</v>
      </c>
      <c r="G16" s="335">
        <v>0.33040000000000003</v>
      </c>
      <c r="H16" s="61">
        <v>0</v>
      </c>
      <c r="I16" s="62">
        <v>0</v>
      </c>
    </row>
    <row r="17" spans="1:20" x14ac:dyDescent="0.35">
      <c r="A17" t="s">
        <v>168</v>
      </c>
      <c r="B17" s="4" t="s">
        <v>73</v>
      </c>
      <c r="C17" s="4" t="s">
        <v>148</v>
      </c>
      <c r="D17" s="4" t="s">
        <v>169</v>
      </c>
      <c r="E17" s="61">
        <v>0</v>
      </c>
      <c r="F17" s="335">
        <v>0</v>
      </c>
      <c r="G17" s="335">
        <v>0</v>
      </c>
      <c r="H17" s="61" cm="1">
        <f t="array" ref="H17:I18">[2]SUT_EU27!$G$99:$H$100</f>
        <v>1</v>
      </c>
      <c r="I17" s="346">
        <v>0</v>
      </c>
      <c r="J17" s="38"/>
      <c r="K17" s="38"/>
      <c r="L17" s="38"/>
      <c r="M17" s="38"/>
      <c r="N17" s="38"/>
      <c r="O17" s="38"/>
      <c r="P17" s="38"/>
      <c r="Q17" s="38"/>
      <c r="R17" s="38"/>
      <c r="S17" s="39"/>
    </row>
    <row r="18" spans="1:20" s="7" customFormat="1" x14ac:dyDescent="0.35">
      <c r="A18" s="7" t="s">
        <v>170</v>
      </c>
      <c r="B18" s="6" t="s">
        <v>73</v>
      </c>
      <c r="C18" s="6" t="s">
        <v>148</v>
      </c>
      <c r="D18" s="6" t="s">
        <v>171</v>
      </c>
      <c r="E18" s="63">
        <v>0</v>
      </c>
      <c r="F18" s="347">
        <v>0</v>
      </c>
      <c r="G18" s="347">
        <v>0</v>
      </c>
      <c r="H18" s="347">
        <v>0</v>
      </c>
      <c r="I18" s="348">
        <v>1</v>
      </c>
      <c r="J18" s="194"/>
      <c r="K18" s="194"/>
      <c r="L18" s="194"/>
      <c r="M18" s="194"/>
      <c r="N18" s="194"/>
      <c r="O18" s="194"/>
      <c r="P18" s="194"/>
      <c r="Q18" s="194"/>
      <c r="R18" s="194"/>
      <c r="S18" s="344"/>
    </row>
    <row r="19" spans="1:20" x14ac:dyDescent="0.35">
      <c r="A19" t="s">
        <v>144</v>
      </c>
      <c r="B19" s="4" t="s">
        <v>73</v>
      </c>
      <c r="C19" s="4" t="s">
        <v>145</v>
      </c>
      <c r="D19" s="4" t="s">
        <v>146</v>
      </c>
      <c r="E19" s="38"/>
      <c r="F19" s="212"/>
      <c r="G19" s="212"/>
      <c r="H19" s="212"/>
      <c r="I19" s="157"/>
      <c r="J19" s="65" cm="1">
        <f t="array" ref="J19:K19">'MSUT H2'!AC182:AD182</f>
        <v>11.828571428571427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6" cm="1">
        <f t="array" ref="R19:S19">'MSUT H2'!AE182:AF182</f>
        <v>0</v>
      </c>
      <c r="S19" s="247">
        <v>0</v>
      </c>
    </row>
    <row r="20" spans="1:20" x14ac:dyDescent="0.35">
      <c r="A20" t="s">
        <v>172</v>
      </c>
      <c r="B20" s="4" t="s">
        <v>73</v>
      </c>
      <c r="C20" s="4" t="s">
        <v>145</v>
      </c>
      <c r="D20" s="4" t="s">
        <v>173</v>
      </c>
      <c r="E20" s="38"/>
      <c r="F20" s="212"/>
      <c r="G20" s="212"/>
      <c r="H20" s="212"/>
      <c r="I20" s="157"/>
      <c r="J20" s="65" cm="1">
        <f t="array" ref="J20:K24">'MSUT H2'!AC184:AD188</f>
        <v>3.3421988920214002E-2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6" cm="1">
        <f t="array" ref="R20:S24">'MSUT H2'!AE184:AF188</f>
        <v>0</v>
      </c>
      <c r="S20" s="247">
        <v>0</v>
      </c>
    </row>
    <row r="21" spans="1:20" x14ac:dyDescent="0.35">
      <c r="A21" t="s">
        <v>174</v>
      </c>
      <c r="B21" s="4" t="s">
        <v>73</v>
      </c>
      <c r="C21" s="4" t="s">
        <v>145</v>
      </c>
      <c r="D21" s="4" t="s">
        <v>175</v>
      </c>
      <c r="E21" s="38"/>
      <c r="F21" s="4"/>
      <c r="G21" s="212"/>
      <c r="H21" s="212"/>
      <c r="I21" s="157"/>
      <c r="J21" s="66">
        <v>0</v>
      </c>
      <c r="K21" s="65">
        <v>1.4582562144772118E-3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6">
        <v>0</v>
      </c>
      <c r="S21" s="247">
        <v>0</v>
      </c>
    </row>
    <row r="22" spans="1:20" x14ac:dyDescent="0.35">
      <c r="A22" t="s">
        <v>176</v>
      </c>
      <c r="B22" s="4" t="s">
        <v>73</v>
      </c>
      <c r="C22" s="4" t="s">
        <v>145</v>
      </c>
      <c r="D22" s="4" t="s">
        <v>177</v>
      </c>
      <c r="F22" s="4"/>
      <c r="G22" s="38"/>
      <c r="H22" s="38"/>
      <c r="I22" s="39"/>
      <c r="J22" s="66">
        <v>0</v>
      </c>
      <c r="K22" s="65">
        <v>8.4634636521458274E-4</v>
      </c>
      <c r="L22" s="65" cm="1">
        <f t="array" ref="L22:M22">'MSUT STEEL'!Y227:Z227</f>
        <v>1.9500181678711294E-2</v>
      </c>
      <c r="M22" s="65">
        <v>1.9500181678711294E-2</v>
      </c>
      <c r="N22" s="66">
        <v>0</v>
      </c>
      <c r="O22" s="66">
        <v>0</v>
      </c>
      <c r="P22" s="66">
        <v>0</v>
      </c>
      <c r="Q22" s="66">
        <v>0</v>
      </c>
      <c r="R22" s="66">
        <v>0</v>
      </c>
      <c r="S22" s="247">
        <v>0</v>
      </c>
    </row>
    <row r="23" spans="1:20" x14ac:dyDescent="0.35">
      <c r="A23" t="s">
        <v>178</v>
      </c>
      <c r="B23" s="4" t="s">
        <v>73</v>
      </c>
      <c r="C23" s="4" t="s">
        <v>145</v>
      </c>
      <c r="D23" s="4" t="s">
        <v>179</v>
      </c>
      <c r="F23" s="4"/>
      <c r="G23" s="38"/>
      <c r="H23" s="38"/>
      <c r="I23" s="39"/>
      <c r="J23" s="66">
        <v>0</v>
      </c>
      <c r="K23" s="65">
        <v>1.2517329093179335E-4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6">
        <v>0</v>
      </c>
      <c r="S23" s="247">
        <v>0</v>
      </c>
    </row>
    <row r="24" spans="1:20" x14ac:dyDescent="0.35">
      <c r="A24" t="s">
        <v>180</v>
      </c>
      <c r="B24" s="4" t="s">
        <v>73</v>
      </c>
      <c r="C24" s="4" t="s">
        <v>181</v>
      </c>
      <c r="D24" s="4" t="s">
        <v>182</v>
      </c>
      <c r="F24" s="4"/>
      <c r="G24" s="38"/>
      <c r="H24" s="38"/>
      <c r="I24" s="39"/>
      <c r="J24" s="66">
        <v>0</v>
      </c>
      <c r="K24" s="66">
        <v>0</v>
      </c>
      <c r="L24" s="66">
        <v>0</v>
      </c>
      <c r="M24" s="66">
        <v>0</v>
      </c>
      <c r="N24" s="66">
        <v>0</v>
      </c>
      <c r="O24" s="66">
        <v>0</v>
      </c>
      <c r="P24" s="66">
        <v>0</v>
      </c>
      <c r="Q24" s="66">
        <v>0</v>
      </c>
      <c r="R24" s="65">
        <v>4.0146105919003111E-8</v>
      </c>
      <c r="S24" s="353">
        <v>5.0294789999999994E-8</v>
      </c>
    </row>
    <row r="25" spans="1:20" s="4" customFormat="1" x14ac:dyDescent="0.35">
      <c r="A25" s="77" t="s">
        <v>183</v>
      </c>
      <c r="B25" s="4" t="s">
        <v>73</v>
      </c>
      <c r="C25" s="4" t="s">
        <v>145</v>
      </c>
      <c r="D25" s="4" t="s">
        <v>184</v>
      </c>
      <c r="E25"/>
      <c r="G25" s="38"/>
      <c r="H25" s="38"/>
      <c r="I25" s="39"/>
      <c r="J25" s="66" cm="1">
        <f t="array" ref="J25:K25">'MSUT H2'!AC183:AD183</f>
        <v>0</v>
      </c>
      <c r="K25" s="65">
        <v>6.9749679999999994E-2</v>
      </c>
      <c r="L25" s="66" cm="1">
        <f t="array" ref="L25:M28">'MSUT STEEL'!Y228:Z231</f>
        <v>0</v>
      </c>
      <c r="M25" s="66">
        <v>0</v>
      </c>
      <c r="N25" s="66">
        <v>0</v>
      </c>
      <c r="O25" s="66">
        <v>0</v>
      </c>
      <c r="P25" s="66">
        <v>0</v>
      </c>
      <c r="Q25" s="66">
        <v>0</v>
      </c>
      <c r="R25" s="66" cm="1">
        <f t="array" ref="R25:S25">'MSUT H2'!AE183:AF183</f>
        <v>0</v>
      </c>
      <c r="S25" s="247">
        <v>0</v>
      </c>
      <c r="T25"/>
    </row>
    <row r="26" spans="1:20" s="4" customFormat="1" x14ac:dyDescent="0.35">
      <c r="A26" t="s">
        <v>185</v>
      </c>
      <c r="B26" s="4" t="s">
        <v>73</v>
      </c>
      <c r="C26" s="4" t="s">
        <v>145</v>
      </c>
      <c r="D26" s="4" t="s">
        <v>186</v>
      </c>
      <c r="E26"/>
      <c r="G26" s="212"/>
      <c r="H26" s="38"/>
      <c r="I26" s="39"/>
      <c r="J26" s="66">
        <v>0</v>
      </c>
      <c r="K26" s="66">
        <v>0</v>
      </c>
      <c r="L26" s="65">
        <v>1.9404661061278542E-3</v>
      </c>
      <c r="M26" s="65">
        <v>1.9404661061278542E-3</v>
      </c>
      <c r="N26" s="66">
        <v>0</v>
      </c>
      <c r="O26" s="66">
        <v>0</v>
      </c>
      <c r="P26" s="66">
        <v>0</v>
      </c>
      <c r="Q26" s="66">
        <v>0</v>
      </c>
      <c r="R26" s="66">
        <v>0</v>
      </c>
      <c r="S26" s="247">
        <v>0</v>
      </c>
      <c r="T26"/>
    </row>
    <row r="27" spans="1:20" s="4" customFormat="1" x14ac:dyDescent="0.35">
      <c r="A27" t="s">
        <v>187</v>
      </c>
      <c r="B27" s="4" t="s">
        <v>73</v>
      </c>
      <c r="C27" s="4" t="s">
        <v>145</v>
      </c>
      <c r="D27" s="4" t="s">
        <v>188</v>
      </c>
      <c r="E27"/>
      <c r="G27" s="38"/>
      <c r="H27" s="38"/>
      <c r="I27" s="39"/>
      <c r="J27" s="65" cm="1">
        <f t="array" ref="J27:K27">'MSUT H2'!AC181:AD181</f>
        <v>20.996100000000002</v>
      </c>
      <c r="K27" s="65">
        <v>1.1932942595726979E-3</v>
      </c>
      <c r="L27" s="65">
        <v>5.8423628191201782E-3</v>
      </c>
      <c r="M27" s="65">
        <v>5.8423628191201782E-3</v>
      </c>
      <c r="N27" s="66">
        <v>0</v>
      </c>
      <c r="O27" s="66">
        <v>0</v>
      </c>
      <c r="P27" s="66">
        <v>0</v>
      </c>
      <c r="Q27" s="66">
        <v>0</v>
      </c>
      <c r="R27" s="66" cm="1">
        <f t="array" ref="R27:S27">'MSUT H2'!AE181:AF181</f>
        <v>0</v>
      </c>
      <c r="S27" s="247">
        <v>0</v>
      </c>
      <c r="T27"/>
    </row>
    <row r="28" spans="1:20" s="4" customFormat="1" x14ac:dyDescent="0.35">
      <c r="A28" t="s">
        <v>189</v>
      </c>
      <c r="B28" s="4" t="s">
        <v>73</v>
      </c>
      <c r="C28" s="4" t="s">
        <v>145</v>
      </c>
      <c r="D28" s="4" t="s">
        <v>190</v>
      </c>
      <c r="E28"/>
      <c r="G28" s="38"/>
      <c r="H28" s="38"/>
      <c r="I28" s="39"/>
      <c r="J28" s="66">
        <v>0</v>
      </c>
      <c r="K28" s="66">
        <v>0</v>
      </c>
      <c r="L28" s="65">
        <v>4.8981233243967828E-4</v>
      </c>
      <c r="M28" s="65">
        <v>4.8981233243967828E-4</v>
      </c>
      <c r="N28" s="65" cm="1">
        <f t="array" ref="N28:O28">'MSUT STEEL'!AA231:AB231</f>
        <v>1.4658301341380521E-2</v>
      </c>
      <c r="O28" s="65">
        <v>1.4658301341380521E-2</v>
      </c>
      <c r="P28" s="66">
        <v>0</v>
      </c>
      <c r="Q28" s="65">
        <f>'MSUT STEEL'!X231</f>
        <v>7.0611384178638645E-2</v>
      </c>
      <c r="R28" s="66">
        <v>0</v>
      </c>
      <c r="S28" s="247">
        <v>0</v>
      </c>
      <c r="T28"/>
    </row>
    <row r="29" spans="1:20" s="4" customFormat="1" x14ac:dyDescent="0.35">
      <c r="A29" t="s">
        <v>191</v>
      </c>
      <c r="B29" s="4" t="s">
        <v>73</v>
      </c>
      <c r="C29" s="4" t="s">
        <v>145</v>
      </c>
      <c r="D29" s="4" t="s">
        <v>192</v>
      </c>
      <c r="E29"/>
      <c r="G29" s="38"/>
      <c r="H29" s="38"/>
      <c r="I29" s="39"/>
      <c r="J29" s="66">
        <v>0</v>
      </c>
      <c r="K29" s="66">
        <v>0</v>
      </c>
      <c r="L29" s="65" cm="1">
        <f t="array" ref="L29:M34">'MSUT STEEL'!Y233:Z238</f>
        <v>2.4658201215687387E-3</v>
      </c>
      <c r="M29" s="65">
        <v>2.4658201215687387E-3</v>
      </c>
      <c r="N29" s="66">
        <v>0</v>
      </c>
      <c r="O29" s="66">
        <v>0</v>
      </c>
      <c r="P29" s="66">
        <v>0</v>
      </c>
      <c r="Q29" s="66">
        <v>0</v>
      </c>
      <c r="R29" s="66">
        <v>0</v>
      </c>
      <c r="S29" s="247">
        <v>0</v>
      </c>
      <c r="T29"/>
    </row>
    <row r="30" spans="1:20" s="4" customFormat="1" x14ac:dyDescent="0.35">
      <c r="A30" t="s">
        <v>193</v>
      </c>
      <c r="B30" s="4" t="s">
        <v>73</v>
      </c>
      <c r="C30" s="4" t="s">
        <v>145</v>
      </c>
      <c r="D30" s="4" t="s">
        <v>194</v>
      </c>
      <c r="E30"/>
      <c r="G30" s="38"/>
      <c r="H30" s="38"/>
      <c r="I30" s="39"/>
      <c r="J30" s="66" cm="1">
        <f t="array" ref="J30:K30">'MSUT H2'!AC192:AD192</f>
        <v>0</v>
      </c>
      <c r="K30" s="65">
        <v>1.5965533412604042E-3</v>
      </c>
      <c r="L30" s="65">
        <v>4.922711058263972E-4</v>
      </c>
      <c r="M30" s="65">
        <v>4.922711058263972E-4</v>
      </c>
      <c r="N30" s="66">
        <v>0</v>
      </c>
      <c r="O30" s="66">
        <v>0</v>
      </c>
      <c r="P30" s="66">
        <v>0</v>
      </c>
      <c r="Q30" s="66">
        <v>0</v>
      </c>
      <c r="R30" s="65" cm="1">
        <f t="array" ref="R30:S30">'MSUT H2'!AE192:AF192</f>
        <v>3.9708116569218732E-4</v>
      </c>
      <c r="S30" s="247">
        <v>0</v>
      </c>
      <c r="T30"/>
    </row>
    <row r="31" spans="1:20" s="4" customFormat="1" x14ac:dyDescent="0.35">
      <c r="A31" t="s">
        <v>195</v>
      </c>
      <c r="B31" s="4" t="s">
        <v>73</v>
      </c>
      <c r="C31" s="4" t="s">
        <v>145</v>
      </c>
      <c r="D31" s="4" t="s">
        <v>196</v>
      </c>
      <c r="E31"/>
      <c r="G31" s="38"/>
      <c r="H31" s="38"/>
      <c r="I31" s="39"/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6">
        <v>0</v>
      </c>
      <c r="S31" s="247">
        <v>0</v>
      </c>
      <c r="T31"/>
    </row>
    <row r="32" spans="1:20" s="4" customFormat="1" x14ac:dyDescent="0.35">
      <c r="A32" t="s">
        <v>197</v>
      </c>
      <c r="B32" s="4" t="s">
        <v>73</v>
      </c>
      <c r="C32" s="4" t="s">
        <v>181</v>
      </c>
      <c r="D32" s="4" t="s">
        <v>198</v>
      </c>
      <c r="E32"/>
      <c r="G32" s="38"/>
      <c r="H32" s="38"/>
      <c r="I32" s="39"/>
      <c r="J32" s="65" cm="1">
        <f t="array" ref="J32:K34">'MSUT H2'!AC189:AD191</f>
        <v>0.13437998483817604</v>
      </c>
      <c r="K32" s="65">
        <v>2.4335351040000001E-4</v>
      </c>
      <c r="L32" s="65">
        <v>3.7860913795851507E-4</v>
      </c>
      <c r="M32" s="65">
        <v>3.6586167200000007E-4</v>
      </c>
      <c r="N32" s="66">
        <v>0</v>
      </c>
      <c r="O32" s="66">
        <v>0</v>
      </c>
      <c r="P32" s="66">
        <v>0</v>
      </c>
      <c r="Q32" s="66">
        <v>0</v>
      </c>
      <c r="R32" s="65" cm="1">
        <f t="array" ref="R32:S34">'MSUT H2'!AE189:AF191</f>
        <v>1.2183459827918709E-7</v>
      </c>
      <c r="S32" s="353">
        <v>1.7883556705882356E-5</v>
      </c>
      <c r="T32"/>
    </row>
    <row r="33" spans="1:20" s="4" customFormat="1" x14ac:dyDescent="0.35">
      <c r="A33" t="s">
        <v>199</v>
      </c>
      <c r="B33" s="4" t="s">
        <v>73</v>
      </c>
      <c r="C33" s="4" t="s">
        <v>181</v>
      </c>
      <c r="D33" s="4" t="s">
        <v>200</v>
      </c>
      <c r="E33"/>
      <c r="F33" s="38"/>
      <c r="G33" s="38"/>
      <c r="H33" s="38"/>
      <c r="I33" s="39"/>
      <c r="J33" s="65">
        <v>0.25443647306582401</v>
      </c>
      <c r="K33" s="65">
        <v>4.6076808959999996E-4</v>
      </c>
      <c r="L33" s="65">
        <v>7.1686251377883477E-4</v>
      </c>
      <c r="M33" s="65">
        <v>6.9272632800000005E-4</v>
      </c>
      <c r="N33" s="66">
        <v>0</v>
      </c>
      <c r="O33" s="66">
        <v>0</v>
      </c>
      <c r="P33" s="66">
        <v>0</v>
      </c>
      <c r="Q33" s="66">
        <v>0</v>
      </c>
      <c r="R33" s="65">
        <v>2.3068290654205609E-7</v>
      </c>
      <c r="S33" s="353">
        <v>3.3860913882352942E-5</v>
      </c>
    </row>
    <row r="34" spans="1:20" s="4" customFormat="1" x14ac:dyDescent="0.35">
      <c r="A34" t="s">
        <v>201</v>
      </c>
      <c r="B34" s="4" t="s">
        <v>73</v>
      </c>
      <c r="C34" s="4" t="s">
        <v>181</v>
      </c>
      <c r="D34" s="4" t="s">
        <v>202</v>
      </c>
      <c r="E34"/>
      <c r="F34" s="38"/>
      <c r="G34" s="38"/>
      <c r="H34" s="38"/>
      <c r="I34" s="39"/>
      <c r="J34" s="65">
        <v>0.86543018049599985</v>
      </c>
      <c r="K34" s="65">
        <v>1.5672383999999996E-3</v>
      </c>
      <c r="L34" s="65">
        <v>2.438307869996036E-3</v>
      </c>
      <c r="M34" s="65">
        <v>2.3562119999999999E-3</v>
      </c>
      <c r="N34" s="66">
        <v>0</v>
      </c>
      <c r="O34" s="66">
        <v>0</v>
      </c>
      <c r="P34" s="66">
        <v>0</v>
      </c>
      <c r="Q34" s="66">
        <v>0</v>
      </c>
      <c r="R34" s="65">
        <v>7.8463573653760568E-7</v>
      </c>
      <c r="S34" s="353">
        <v>1.1517317647058823E-4</v>
      </c>
      <c r="T34"/>
    </row>
    <row r="35" spans="1:20" s="4" customFormat="1" ht="15" thickBot="1" x14ac:dyDescent="0.4">
      <c r="A35" t="s">
        <v>87</v>
      </c>
      <c r="B35" s="4" t="s">
        <v>73</v>
      </c>
      <c r="C35" s="4" t="s">
        <v>145</v>
      </c>
      <c r="D35" s="4" t="s">
        <v>196</v>
      </c>
      <c r="E35"/>
      <c r="F35" s="38"/>
      <c r="G35" s="38"/>
      <c r="H35" s="38"/>
      <c r="I35" s="39"/>
      <c r="J35" s="69">
        <v>0</v>
      </c>
      <c r="K35" s="69">
        <v>0</v>
      </c>
      <c r="L35" s="69" cm="1">
        <f t="array" ref="L35:M35">'MSUT STEEL'!Y232:Z232</f>
        <v>0</v>
      </c>
      <c r="M35" s="69">
        <v>0</v>
      </c>
      <c r="N35" s="70" cm="1">
        <f t="array" ref="N35:O35">'MSUT STEEL'!AA232:AB232</f>
        <v>3.0740776778828832E-3</v>
      </c>
      <c r="O35" s="70">
        <v>3.0740776778828832E-3</v>
      </c>
      <c r="P35" s="69">
        <v>0</v>
      </c>
      <c r="Q35" s="69">
        <v>0</v>
      </c>
      <c r="R35" s="69">
        <v>0</v>
      </c>
      <c r="S35" s="250">
        <v>0</v>
      </c>
      <c r="T35"/>
    </row>
    <row r="36" spans="1:20" s="4" customFormat="1" x14ac:dyDescent="0.35">
      <c r="A36" t="s">
        <v>144</v>
      </c>
      <c r="B36" s="4" t="s">
        <v>88</v>
      </c>
      <c r="C36" s="4" t="s">
        <v>145</v>
      </c>
      <c r="D36" s="4" t="s">
        <v>146</v>
      </c>
      <c r="E36"/>
      <c r="F36" s="38"/>
      <c r="G36" s="38"/>
      <c r="H36" s="38"/>
      <c r="I36" s="39"/>
      <c r="J36" s="65" cm="1">
        <f t="array" ref="J36:K36">'MSUT H2'!AC194:AD194</f>
        <v>78.857142857142847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6" cm="1">
        <f t="array" ref="R36:S36">'MSUT H2'!AE194:AF194</f>
        <v>0</v>
      </c>
      <c r="S36" s="247">
        <v>0</v>
      </c>
      <c r="T36"/>
    </row>
    <row r="37" spans="1:20" s="4" customFormat="1" x14ac:dyDescent="0.35">
      <c r="A37" t="s">
        <v>172</v>
      </c>
      <c r="B37" s="4" t="s">
        <v>88</v>
      </c>
      <c r="C37" s="4" t="s">
        <v>145</v>
      </c>
      <c r="D37" s="4" t="s">
        <v>173</v>
      </c>
      <c r="E37"/>
      <c r="F37" s="38"/>
      <c r="G37" s="38"/>
      <c r="H37" s="38"/>
      <c r="I37" s="39"/>
      <c r="J37" s="65" cm="1">
        <f t="array" ref="J37:K41">'MSUT H2'!AC196:AD200</f>
        <v>0.7862213561563367</v>
      </c>
      <c r="K37" s="66">
        <v>0</v>
      </c>
      <c r="L37" s="66">
        <v>0</v>
      </c>
      <c r="M37" s="66">
        <v>0</v>
      </c>
      <c r="N37" s="66">
        <v>0</v>
      </c>
      <c r="O37" s="66">
        <v>0</v>
      </c>
      <c r="P37" s="66">
        <v>0</v>
      </c>
      <c r="Q37" s="66">
        <v>0</v>
      </c>
      <c r="R37" s="66" cm="1">
        <f t="array" ref="R37:S41">'MSUT H2'!AE196:AF200</f>
        <v>0</v>
      </c>
      <c r="S37" s="247">
        <v>0</v>
      </c>
      <c r="T37"/>
    </row>
    <row r="38" spans="1:20" s="4" customFormat="1" x14ac:dyDescent="0.35">
      <c r="A38" t="s">
        <v>174</v>
      </c>
      <c r="B38" s="4" t="s">
        <v>88</v>
      </c>
      <c r="C38" s="4" t="s">
        <v>145</v>
      </c>
      <c r="D38" s="4" t="s">
        <v>175</v>
      </c>
      <c r="E38"/>
      <c r="F38" s="38"/>
      <c r="G38" s="38"/>
      <c r="H38" s="38"/>
      <c r="I38" s="39"/>
      <c r="J38" s="66">
        <v>0</v>
      </c>
      <c r="K38" s="65">
        <v>3.3029309855227888E-2</v>
      </c>
      <c r="L38" s="66">
        <v>0</v>
      </c>
      <c r="M38" s="66">
        <v>0</v>
      </c>
      <c r="N38" s="66">
        <v>0</v>
      </c>
      <c r="O38" s="66">
        <v>0</v>
      </c>
      <c r="P38" s="66">
        <v>0</v>
      </c>
      <c r="Q38" s="66">
        <v>0</v>
      </c>
      <c r="R38" s="66">
        <v>0</v>
      </c>
      <c r="S38" s="247">
        <v>0</v>
      </c>
      <c r="T38"/>
    </row>
    <row r="39" spans="1:20" s="4" customFormat="1" x14ac:dyDescent="0.35">
      <c r="A39" t="s">
        <v>176</v>
      </c>
      <c r="B39" s="4" t="s">
        <v>88</v>
      </c>
      <c r="C39" s="4" t="s">
        <v>145</v>
      </c>
      <c r="D39" s="4" t="s">
        <v>177</v>
      </c>
      <c r="E39"/>
      <c r="F39" s="38"/>
      <c r="G39" s="38"/>
      <c r="H39" s="38"/>
      <c r="I39" s="39"/>
      <c r="J39" s="66">
        <v>0</v>
      </c>
      <c r="K39" s="65">
        <v>6.9915569300335089E-3</v>
      </c>
      <c r="L39" s="65" cm="1">
        <f t="array" ref="L39:M39">'MSUT STEEL'!Y239:Z239</f>
        <v>0.16108845734587587</v>
      </c>
      <c r="M39" s="65">
        <v>0.16108845734587587</v>
      </c>
      <c r="N39" s="66">
        <v>0</v>
      </c>
      <c r="O39" s="66">
        <v>0</v>
      </c>
      <c r="P39" s="66">
        <v>0</v>
      </c>
      <c r="Q39" s="66">
        <v>0</v>
      </c>
      <c r="R39" s="66">
        <v>0</v>
      </c>
      <c r="S39" s="247">
        <v>0</v>
      </c>
      <c r="T39"/>
    </row>
    <row r="40" spans="1:20" s="4" customFormat="1" x14ac:dyDescent="0.35">
      <c r="A40" t="s">
        <v>178</v>
      </c>
      <c r="B40" s="4" t="s">
        <v>88</v>
      </c>
      <c r="C40" s="4" t="s">
        <v>145</v>
      </c>
      <c r="D40" s="4" t="s">
        <v>179</v>
      </c>
      <c r="E40"/>
      <c r="F40" s="38"/>
      <c r="G40" s="38"/>
      <c r="H40" s="38"/>
      <c r="I40" s="39"/>
      <c r="J40" s="66">
        <v>0</v>
      </c>
      <c r="K40" s="65">
        <v>1.5283979779928203E-3</v>
      </c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  <c r="R40" s="66">
        <v>0</v>
      </c>
      <c r="S40" s="247">
        <v>0</v>
      </c>
      <c r="T40"/>
    </row>
    <row r="41" spans="1:20" s="4" customFormat="1" x14ac:dyDescent="0.35">
      <c r="A41" t="s">
        <v>180</v>
      </c>
      <c r="B41" s="4" t="s">
        <v>88</v>
      </c>
      <c r="C41" s="4" t="s">
        <v>181</v>
      </c>
      <c r="D41" s="4" t="s">
        <v>182</v>
      </c>
      <c r="E41"/>
      <c r="F41" s="38"/>
      <c r="G41" s="38"/>
      <c r="H41" s="38"/>
      <c r="I41" s="39"/>
      <c r="J41" s="66">
        <v>0</v>
      </c>
      <c r="K41" s="66">
        <v>0</v>
      </c>
      <c r="L41" s="66">
        <v>0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  <c r="S41" s="247">
        <v>0</v>
      </c>
      <c r="T41"/>
    </row>
    <row r="42" spans="1:20" s="4" customFormat="1" x14ac:dyDescent="0.35">
      <c r="A42" s="77" t="s">
        <v>183</v>
      </c>
      <c r="B42" s="4" t="s">
        <v>88</v>
      </c>
      <c r="C42" s="4" t="s">
        <v>145</v>
      </c>
      <c r="D42" s="4" t="s">
        <v>184</v>
      </c>
      <c r="E42"/>
      <c r="F42" s="38"/>
      <c r="G42" s="38"/>
      <c r="H42" s="38"/>
      <c r="I42" s="39"/>
      <c r="J42" s="66" cm="1">
        <f t="array" ref="J42:K42">'MSUT H2'!AC195:AD195</f>
        <v>0</v>
      </c>
      <c r="K42" s="66">
        <v>0</v>
      </c>
      <c r="L42" s="66" cm="1">
        <f t="array" ref="L42:M45">'MSUT STEEL'!Y240:Z243</f>
        <v>0</v>
      </c>
      <c r="M42" s="66">
        <v>0</v>
      </c>
      <c r="N42" s="66">
        <v>0</v>
      </c>
      <c r="O42" s="66">
        <v>0</v>
      </c>
      <c r="P42" s="66">
        <v>0</v>
      </c>
      <c r="Q42" s="66">
        <v>0</v>
      </c>
      <c r="R42" s="66" cm="1">
        <f t="array" ref="R42:S42">'MSUT H2'!AE195:AF195</f>
        <v>0</v>
      </c>
      <c r="S42" s="247">
        <v>0</v>
      </c>
      <c r="T42"/>
    </row>
    <row r="43" spans="1:20" s="4" customFormat="1" x14ac:dyDescent="0.35">
      <c r="A43" t="s">
        <v>185</v>
      </c>
      <c r="B43" s="4" t="s">
        <v>88</v>
      </c>
      <c r="C43" s="4" t="s">
        <v>145</v>
      </c>
      <c r="D43" s="4" t="s">
        <v>186</v>
      </c>
      <c r="E43"/>
      <c r="F43" s="38"/>
      <c r="G43" s="38"/>
      <c r="H43" s="38"/>
      <c r="I43" s="39"/>
      <c r="J43" s="66">
        <v>0</v>
      </c>
      <c r="K43" s="66">
        <v>0</v>
      </c>
      <c r="L43" s="65">
        <v>5.0558836222750793E-4</v>
      </c>
      <c r="M43" s="65">
        <v>5.0558836222750793E-4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247">
        <v>0</v>
      </c>
      <c r="T43"/>
    </row>
    <row r="44" spans="1:20" s="4" customFormat="1" x14ac:dyDescent="0.35">
      <c r="A44" t="s">
        <v>187</v>
      </c>
      <c r="B44" s="4" t="s">
        <v>88</v>
      </c>
      <c r="C44" s="4" t="s">
        <v>145</v>
      </c>
      <c r="D44" s="4" t="s">
        <v>188</v>
      </c>
      <c r="E44"/>
      <c r="F44" s="38"/>
      <c r="G44" s="38"/>
      <c r="H44" s="38"/>
      <c r="I44" s="39"/>
      <c r="J44" s="65" cm="1">
        <f t="array" ref="J44:K44">'MSUT H2'!AC193:AD193</f>
        <v>286.26390000000004</v>
      </c>
      <c r="K44" s="65">
        <v>9.9090099874062521E-4</v>
      </c>
      <c r="L44" s="65">
        <v>4.8514464106651379E-3</v>
      </c>
      <c r="M44" s="65">
        <v>4.8514464106651379E-3</v>
      </c>
      <c r="N44" s="66">
        <v>0</v>
      </c>
      <c r="O44" s="66">
        <v>0</v>
      </c>
      <c r="P44" s="66">
        <v>0</v>
      </c>
      <c r="Q44" s="66">
        <v>0</v>
      </c>
      <c r="R44" s="66" cm="1">
        <f t="array" ref="R44:S44">'MSUT H2'!AE193:AF193</f>
        <v>0</v>
      </c>
      <c r="S44" s="247">
        <v>0</v>
      </c>
      <c r="T44"/>
    </row>
    <row r="45" spans="1:20" s="4" customFormat="1" x14ac:dyDescent="0.35">
      <c r="A45" t="s">
        <v>189</v>
      </c>
      <c r="B45" s="4" t="s">
        <v>88</v>
      </c>
      <c r="C45" s="4" t="s">
        <v>145</v>
      </c>
      <c r="D45" s="4" t="s">
        <v>190</v>
      </c>
      <c r="E45"/>
      <c r="F45" s="38"/>
      <c r="G45" s="38"/>
      <c r="H45" s="38"/>
      <c r="I45" s="39"/>
      <c r="J45" s="66">
        <v>0</v>
      </c>
      <c r="K45" s="66">
        <v>0</v>
      </c>
      <c r="L45" s="65">
        <v>1.109418436791091E-2</v>
      </c>
      <c r="M45" s="65">
        <v>1.109418436791091E-2</v>
      </c>
      <c r="N45" s="65" cm="1">
        <f t="array" ref="N45:O45">'MSUT STEEL'!AA243:AB243</f>
        <v>9.2276548594747033E-3</v>
      </c>
      <c r="O45" s="65">
        <v>9.2276548594747033E-3</v>
      </c>
      <c r="P45" s="66">
        <v>0</v>
      </c>
      <c r="Q45" s="65">
        <f>'MSUT STEEL'!X243</f>
        <v>4.4451090694311274E-2</v>
      </c>
      <c r="R45" s="66">
        <v>0</v>
      </c>
      <c r="S45" s="247">
        <v>0</v>
      </c>
      <c r="T45"/>
    </row>
    <row r="46" spans="1:20" s="4" customFormat="1" x14ac:dyDescent="0.35">
      <c r="A46" t="s">
        <v>191</v>
      </c>
      <c r="B46" s="4" t="s">
        <v>88</v>
      </c>
      <c r="C46" s="4" t="s">
        <v>145</v>
      </c>
      <c r="D46" s="4" t="s">
        <v>192</v>
      </c>
      <c r="E46"/>
      <c r="F46" s="38"/>
      <c r="G46" s="38"/>
      <c r="H46" s="38"/>
      <c r="I46" s="39"/>
      <c r="J46" s="66">
        <v>0</v>
      </c>
      <c r="K46" s="66">
        <v>0</v>
      </c>
      <c r="L46" s="65" cm="1">
        <f t="array" ref="L46:M51">'MSUT STEEL'!Y245:Z250</f>
        <v>2.890870278990243E-5</v>
      </c>
      <c r="M46" s="65">
        <v>2.890870278990243E-5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247">
        <v>0</v>
      </c>
      <c r="T46"/>
    </row>
    <row r="47" spans="1:20" s="4" customFormat="1" x14ac:dyDescent="0.35">
      <c r="A47" t="s">
        <v>193</v>
      </c>
      <c r="B47" s="4" t="s">
        <v>88</v>
      </c>
      <c r="C47" s="4" t="s">
        <v>145</v>
      </c>
      <c r="D47" s="4" t="s">
        <v>194</v>
      </c>
      <c r="E47"/>
      <c r="F47" s="38"/>
      <c r="G47" s="38"/>
      <c r="H47" s="38"/>
      <c r="I47" s="39"/>
      <c r="J47" s="66" cm="1">
        <f t="array" ref="J47:K47">'MSUT H2'!AC204:AD204</f>
        <v>0</v>
      </c>
      <c r="K47" s="65">
        <v>0</v>
      </c>
      <c r="L47" s="65">
        <v>0</v>
      </c>
      <c r="M47" s="65">
        <v>0</v>
      </c>
      <c r="N47" s="66">
        <v>0</v>
      </c>
      <c r="O47" s="66">
        <v>0</v>
      </c>
      <c r="P47" s="66">
        <v>0</v>
      </c>
      <c r="Q47" s="66">
        <v>0</v>
      </c>
      <c r="R47" s="65" cm="1">
        <f t="array" ref="R47:S47">'MSUT H2'!AE204:AF204</f>
        <v>0</v>
      </c>
      <c r="S47" s="247">
        <v>0</v>
      </c>
      <c r="T47"/>
    </row>
    <row r="48" spans="1:20" s="4" customFormat="1" x14ac:dyDescent="0.35">
      <c r="A48" t="s">
        <v>195</v>
      </c>
      <c r="B48" s="4" t="s">
        <v>88</v>
      </c>
      <c r="C48" s="4" t="s">
        <v>145</v>
      </c>
      <c r="D48" s="4" t="s">
        <v>196</v>
      </c>
      <c r="E48"/>
      <c r="F48" s="38"/>
      <c r="G48" s="38"/>
      <c r="H48" s="38"/>
      <c r="I48" s="39"/>
      <c r="J48" s="66">
        <v>0</v>
      </c>
      <c r="K48" s="66">
        <v>0</v>
      </c>
      <c r="L48" s="65">
        <v>2.8514320987501449E-3</v>
      </c>
      <c r="M48" s="65">
        <v>2.8514320987501449E-3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247">
        <v>0</v>
      </c>
      <c r="T48"/>
    </row>
    <row r="49" spans="1:20" s="4" customFormat="1" x14ac:dyDescent="0.35">
      <c r="A49" t="s">
        <v>197</v>
      </c>
      <c r="B49" s="4" t="s">
        <v>88</v>
      </c>
      <c r="C49" s="4" t="s">
        <v>181</v>
      </c>
      <c r="D49" s="4" t="s">
        <v>198</v>
      </c>
      <c r="E49"/>
      <c r="F49" s="38"/>
      <c r="G49" s="38"/>
      <c r="H49" s="38"/>
      <c r="I49" s="39"/>
      <c r="J49" s="66" cm="1">
        <f t="array" ref="J49:K51">'MSUT H2'!AC201:AD203</f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 cm="1">
        <f t="array" ref="R49:S51">'MSUT H2'!AE201:AF203</f>
        <v>0</v>
      </c>
      <c r="S49" s="247">
        <v>0</v>
      </c>
      <c r="T49"/>
    </row>
    <row r="50" spans="1:20" s="4" customFormat="1" x14ac:dyDescent="0.35">
      <c r="A50" t="s">
        <v>199</v>
      </c>
      <c r="B50" s="4" t="s">
        <v>88</v>
      </c>
      <c r="C50" s="4" t="s">
        <v>181</v>
      </c>
      <c r="D50" s="4" t="s">
        <v>200</v>
      </c>
      <c r="E50"/>
      <c r="F50" s="38"/>
      <c r="G50" s="38"/>
      <c r="H50" s="38"/>
      <c r="I50" s="39"/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247">
        <v>0</v>
      </c>
      <c r="T50"/>
    </row>
    <row r="51" spans="1:20" s="4" customFormat="1" x14ac:dyDescent="0.35">
      <c r="A51" t="s">
        <v>201</v>
      </c>
      <c r="B51" s="4" t="s">
        <v>88</v>
      </c>
      <c r="C51" s="4" t="s">
        <v>181</v>
      </c>
      <c r="D51" s="4" t="s">
        <v>202</v>
      </c>
      <c r="E51"/>
      <c r="F51" s="38"/>
      <c r="G51" s="38"/>
      <c r="H51" s="38"/>
      <c r="I51" s="39"/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247">
        <v>0</v>
      </c>
      <c r="T51"/>
    </row>
    <row r="52" spans="1:20" s="4" customFormat="1" ht="15" thickBot="1" x14ac:dyDescent="0.4">
      <c r="A52" t="s">
        <v>87</v>
      </c>
      <c r="B52" s="4" t="s">
        <v>88</v>
      </c>
      <c r="C52" s="4" t="s">
        <v>145</v>
      </c>
      <c r="D52" s="4" t="s">
        <v>196</v>
      </c>
      <c r="E52"/>
      <c r="F52" s="38"/>
      <c r="G52" s="38"/>
      <c r="H52" s="38"/>
      <c r="I52" s="39"/>
      <c r="J52" s="69">
        <v>0</v>
      </c>
      <c r="K52" s="69">
        <v>0</v>
      </c>
      <c r="L52" s="69" cm="1">
        <f t="array" ref="L52:M52">'MSUT STEEL'!Y244:Z244</f>
        <v>0</v>
      </c>
      <c r="M52" s="69">
        <v>0</v>
      </c>
      <c r="N52" s="70" cm="1">
        <f t="array" ref="N52:O52">'MSUT STEEL'!AA244:AB244</f>
        <v>6.9627451701437512E-2</v>
      </c>
      <c r="O52" s="70">
        <v>6.9627451701437512E-2</v>
      </c>
      <c r="P52" s="69">
        <v>0</v>
      </c>
      <c r="Q52" s="69">
        <v>0</v>
      </c>
      <c r="R52" s="69">
        <v>0</v>
      </c>
      <c r="S52" s="250">
        <v>0</v>
      </c>
      <c r="T52"/>
    </row>
    <row r="53" spans="1:20" s="4" customFormat="1" x14ac:dyDescent="0.35">
      <c r="A53" t="s">
        <v>144</v>
      </c>
      <c r="B53" s="4" t="s">
        <v>90</v>
      </c>
      <c r="C53" s="4" t="s">
        <v>145</v>
      </c>
      <c r="D53" s="4" t="s">
        <v>146</v>
      </c>
      <c r="E53"/>
      <c r="F53" s="38"/>
      <c r="G53" s="38"/>
      <c r="H53" s="38"/>
      <c r="I53" s="39"/>
      <c r="J53" s="65" cm="1">
        <f t="array" ref="J53:K53">'MSUT H2'!AC206:AD206</f>
        <v>7.7904761904761894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 cm="1">
        <f t="array" ref="R53:S53">'MSUT H2'!AE206:AF206</f>
        <v>0</v>
      </c>
      <c r="S53" s="247">
        <v>0</v>
      </c>
      <c r="T53"/>
    </row>
    <row r="54" spans="1:20" s="4" customFormat="1" x14ac:dyDescent="0.35">
      <c r="A54" t="s">
        <v>172</v>
      </c>
      <c r="B54" s="4" t="s">
        <v>90</v>
      </c>
      <c r="C54" s="4" t="s">
        <v>145</v>
      </c>
      <c r="D54" s="4" t="s">
        <v>173</v>
      </c>
      <c r="E54"/>
      <c r="F54" s="38"/>
      <c r="G54" s="38"/>
      <c r="H54" s="38"/>
      <c r="I54" s="39"/>
      <c r="J54" s="65" cm="1">
        <f t="array" ref="J54:K58">'MSUT H2'!AC208:AD212</f>
        <v>1.5473889063756709E-2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 cm="1">
        <f t="array" ref="R54:S58">'MSUT H2'!AE208:AF212</f>
        <v>0</v>
      </c>
      <c r="S54" s="247">
        <v>0</v>
      </c>
      <c r="T54"/>
    </row>
    <row r="55" spans="1:20" s="4" customFormat="1" x14ac:dyDescent="0.35">
      <c r="A55" t="s">
        <v>174</v>
      </c>
      <c r="B55" s="4" t="s">
        <v>90</v>
      </c>
      <c r="C55" s="4" t="s">
        <v>145</v>
      </c>
      <c r="D55" s="4" t="s">
        <v>175</v>
      </c>
      <c r="E55"/>
      <c r="F55" s="38"/>
      <c r="G55" s="38"/>
      <c r="H55" s="38"/>
      <c r="I55" s="39"/>
      <c r="J55" s="66">
        <v>0</v>
      </c>
      <c r="K55" s="65">
        <v>4.323194595174263E-3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247">
        <v>0</v>
      </c>
      <c r="T55"/>
    </row>
    <row r="56" spans="1:20" s="4" customFormat="1" x14ac:dyDescent="0.35">
      <c r="A56" t="s">
        <v>176</v>
      </c>
      <c r="B56" s="4" t="s">
        <v>90</v>
      </c>
      <c r="C56" s="4" t="s">
        <v>145</v>
      </c>
      <c r="D56" s="4" t="s">
        <v>177</v>
      </c>
      <c r="E56"/>
      <c r="F56" s="38"/>
      <c r="G56" s="38"/>
      <c r="H56" s="38"/>
      <c r="I56" s="39"/>
      <c r="J56" s="66">
        <v>0</v>
      </c>
      <c r="K56" s="65">
        <v>1.2800331672655335E-3</v>
      </c>
      <c r="L56" s="65" cm="1">
        <f t="array" ref="L56:M56">'MSUT STEEL'!Y251:Z251</f>
        <v>2.949251079979006E-2</v>
      </c>
      <c r="M56" s="65">
        <v>2.949251079979006E-2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247">
        <v>0</v>
      </c>
      <c r="T56"/>
    </row>
    <row r="57" spans="1:20" s="4" customFormat="1" x14ac:dyDescent="0.35">
      <c r="A57" t="s">
        <v>178</v>
      </c>
      <c r="B57" s="4" t="s">
        <v>90</v>
      </c>
      <c r="C57" s="4" t="s">
        <v>145</v>
      </c>
      <c r="D57" s="4" t="s">
        <v>179</v>
      </c>
      <c r="E57"/>
      <c r="F57" s="38"/>
      <c r="G57" s="38"/>
      <c r="H57" s="38"/>
      <c r="I57" s="39"/>
      <c r="J57" s="66">
        <v>0</v>
      </c>
      <c r="K57" s="65">
        <v>5.6700291220540041E-3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247">
        <v>0</v>
      </c>
      <c r="T57"/>
    </row>
    <row r="58" spans="1:20" s="4" customFormat="1" x14ac:dyDescent="0.35">
      <c r="A58" t="s">
        <v>180</v>
      </c>
      <c r="B58" s="4" t="s">
        <v>90</v>
      </c>
      <c r="C58" s="4" t="s">
        <v>181</v>
      </c>
      <c r="D58" s="4" t="s">
        <v>182</v>
      </c>
      <c r="E58"/>
      <c r="F58" s="38"/>
      <c r="G58" s="38"/>
      <c r="H58" s="38"/>
      <c r="I58" s="39"/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247">
        <v>0</v>
      </c>
      <c r="T58"/>
    </row>
    <row r="59" spans="1:20" s="4" customFormat="1" x14ac:dyDescent="0.35">
      <c r="A59" s="77" t="s">
        <v>183</v>
      </c>
      <c r="B59" s="4" t="s">
        <v>90</v>
      </c>
      <c r="C59" s="4" t="s">
        <v>145</v>
      </c>
      <c r="D59" s="4" t="s">
        <v>184</v>
      </c>
      <c r="E59"/>
      <c r="F59" s="38"/>
      <c r="G59" s="38"/>
      <c r="H59" s="38"/>
      <c r="I59" s="39"/>
      <c r="J59" s="66" cm="1">
        <f t="array" ref="J59:K59">'MSUT H2'!AC207:AD207</f>
        <v>0</v>
      </c>
      <c r="K59" s="66">
        <v>0</v>
      </c>
      <c r="L59" s="66" cm="1">
        <f t="array" ref="L59:M62">'MSUT STEEL'!Y252:Z255</f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 cm="1">
        <f t="array" ref="R59:S59">'MSUT H2'!AE207:AF207</f>
        <v>0</v>
      </c>
      <c r="S59" s="247">
        <v>0</v>
      </c>
      <c r="T59"/>
    </row>
    <row r="60" spans="1:20" s="4" customFormat="1" x14ac:dyDescent="0.35">
      <c r="A60" t="s">
        <v>185</v>
      </c>
      <c r="B60" s="4" t="s">
        <v>90</v>
      </c>
      <c r="C60" s="4" t="s">
        <v>145</v>
      </c>
      <c r="D60" s="4" t="s">
        <v>186</v>
      </c>
      <c r="E60"/>
      <c r="F60" s="38"/>
      <c r="G60" s="38"/>
      <c r="H60" s="38"/>
      <c r="I60" s="39"/>
      <c r="J60" s="66">
        <v>0</v>
      </c>
      <c r="K60" s="66">
        <v>0</v>
      </c>
      <c r="L60" s="65">
        <v>2.1047443073980527E-5</v>
      </c>
      <c r="M60" s="65">
        <v>2.1047443073980527E-5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247">
        <v>0</v>
      </c>
      <c r="T60"/>
    </row>
    <row r="61" spans="1:20" s="4" customFormat="1" x14ac:dyDescent="0.35">
      <c r="A61" t="s">
        <v>187</v>
      </c>
      <c r="B61" s="4" t="s">
        <v>90</v>
      </c>
      <c r="C61" s="4" t="s">
        <v>145</v>
      </c>
      <c r="D61" s="4" t="s">
        <v>188</v>
      </c>
      <c r="E61"/>
      <c r="F61" s="38"/>
      <c r="G61" s="38"/>
      <c r="H61" s="38"/>
      <c r="I61" s="39"/>
      <c r="J61" s="65" cm="1">
        <f t="array" ref="J61:K61">'MSUT H2'!AC205:AD205</f>
        <v>11.2662</v>
      </c>
      <c r="K61" s="65">
        <v>1.1930979242119881E-3</v>
      </c>
      <c r="L61" s="65">
        <v>5.8414015621608938E-3</v>
      </c>
      <c r="M61" s="65">
        <v>5.8414015621608938E-3</v>
      </c>
      <c r="N61" s="66">
        <v>0</v>
      </c>
      <c r="O61" s="66">
        <v>0</v>
      </c>
      <c r="P61" s="66">
        <v>0</v>
      </c>
      <c r="Q61" s="66">
        <v>0</v>
      </c>
      <c r="R61" s="66" cm="1">
        <f t="array" ref="R61:S61">'MSUT H2'!AE205:AF205</f>
        <v>0</v>
      </c>
      <c r="S61" s="247">
        <v>0</v>
      </c>
      <c r="T61"/>
    </row>
    <row r="62" spans="1:20" s="4" customFormat="1" x14ac:dyDescent="0.35">
      <c r="A62" t="s">
        <v>189</v>
      </c>
      <c r="B62" s="4" t="s">
        <v>90</v>
      </c>
      <c r="C62" s="4" t="s">
        <v>145</v>
      </c>
      <c r="D62" s="4" t="s">
        <v>190</v>
      </c>
      <c r="E62"/>
      <c r="F62" s="38"/>
      <c r="G62" s="38"/>
      <c r="H62" s="38"/>
      <c r="I62" s="39"/>
      <c r="J62" s="66">
        <v>0</v>
      </c>
      <c r="K62" s="66">
        <v>0</v>
      </c>
      <c r="L62" s="65">
        <v>1.4521138379047227E-3</v>
      </c>
      <c r="M62" s="65">
        <v>1.4521138379047227E-3</v>
      </c>
      <c r="N62" s="65" cm="1">
        <f t="array" ref="N62:O62">'MSUT STEEL'!AA255:AB255</f>
        <v>2.2200107734217647E-6</v>
      </c>
      <c r="O62" s="65">
        <v>2.2200107734217647E-6</v>
      </c>
      <c r="P62" s="66">
        <v>0</v>
      </c>
      <c r="Q62" s="65">
        <f>'MSUT STEEL'!X255</f>
        <v>1.0694147292515508E-5</v>
      </c>
      <c r="R62" s="66">
        <v>0</v>
      </c>
      <c r="S62" s="247">
        <v>0</v>
      </c>
      <c r="T62"/>
    </row>
    <row r="63" spans="1:20" s="4" customFormat="1" x14ac:dyDescent="0.35">
      <c r="A63" t="s">
        <v>191</v>
      </c>
      <c r="B63" s="4" t="s">
        <v>90</v>
      </c>
      <c r="C63" s="4" t="s">
        <v>145</v>
      </c>
      <c r="D63" s="4" t="s">
        <v>192</v>
      </c>
      <c r="E63"/>
      <c r="F63" s="38"/>
      <c r="G63" s="38"/>
      <c r="H63" s="38"/>
      <c r="I63" s="39"/>
      <c r="J63" s="66">
        <v>0</v>
      </c>
      <c r="K63" s="66">
        <v>0</v>
      </c>
      <c r="L63" s="65" cm="1">
        <f t="array" ref="L63:M68">'MSUT STEEL'!Y257:Z262</f>
        <v>6.5130870114372285E-5</v>
      </c>
      <c r="M63" s="65">
        <v>6.5130870114372285E-5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247">
        <v>0</v>
      </c>
      <c r="T63"/>
    </row>
    <row r="64" spans="1:20" s="4" customFormat="1" x14ac:dyDescent="0.35">
      <c r="A64" t="s">
        <v>193</v>
      </c>
      <c r="B64" s="4" t="s">
        <v>90</v>
      </c>
      <c r="C64" s="4" t="s">
        <v>145</v>
      </c>
      <c r="D64" s="4" t="s">
        <v>194</v>
      </c>
      <c r="E64"/>
      <c r="F64" s="38"/>
      <c r="G64" s="38"/>
      <c r="H64" s="38"/>
      <c r="I64" s="39"/>
      <c r="J64" s="66" cm="1">
        <f t="array" ref="J64:K64">'MSUT H2'!AC216:AD216</f>
        <v>0</v>
      </c>
      <c r="K64" s="65">
        <v>2.5776238002378116E-3</v>
      </c>
      <c r="L64" s="65">
        <v>7.9476813317479189E-4</v>
      </c>
      <c r="M64" s="65">
        <v>7.9476813317479189E-4</v>
      </c>
      <c r="N64" s="66">
        <v>0</v>
      </c>
      <c r="O64" s="66">
        <v>0</v>
      </c>
      <c r="P64" s="66">
        <v>0</v>
      </c>
      <c r="Q64" s="66">
        <v>0</v>
      </c>
      <c r="R64" s="65" cm="1">
        <f t="array" ref="R64:S64">'MSUT H2'!AE216:AF216</f>
        <v>6.4108466461028498E-4</v>
      </c>
      <c r="S64" s="247">
        <v>0</v>
      </c>
      <c r="T64"/>
    </row>
    <row r="65" spans="1:20" s="4" customFormat="1" x14ac:dyDescent="0.35">
      <c r="A65" t="s">
        <v>195</v>
      </c>
      <c r="B65" s="4" t="s">
        <v>90</v>
      </c>
      <c r="C65" s="4" t="s">
        <v>145</v>
      </c>
      <c r="D65" s="4" t="s">
        <v>196</v>
      </c>
      <c r="E65"/>
      <c r="F65" s="38"/>
      <c r="G65" s="38"/>
      <c r="H65" s="38"/>
      <c r="I65" s="39"/>
      <c r="J65" s="66">
        <v>0</v>
      </c>
      <c r="K65" s="66">
        <v>0</v>
      </c>
      <c r="L65" s="65">
        <v>8.4821183458843076E-3</v>
      </c>
      <c r="M65" s="65">
        <v>8.4821183458843076E-3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247">
        <v>0</v>
      </c>
      <c r="T65"/>
    </row>
    <row r="66" spans="1:20" s="4" customFormat="1" x14ac:dyDescent="0.35">
      <c r="A66" t="s">
        <v>197</v>
      </c>
      <c r="B66" s="4" t="s">
        <v>90</v>
      </c>
      <c r="C66" s="4" t="s">
        <v>181</v>
      </c>
      <c r="D66" s="4" t="s">
        <v>198</v>
      </c>
      <c r="E66"/>
      <c r="F66" s="38"/>
      <c r="G66" s="38"/>
      <c r="H66" s="38"/>
      <c r="I66" s="39"/>
      <c r="J66" s="66" cm="1">
        <f t="array" ref="J66:K68">'MSUT H2'!AC213:AD215</f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 cm="1">
        <f t="array" ref="R66:S68">'MSUT H2'!AE213:AF215</f>
        <v>0</v>
      </c>
      <c r="S66" s="247">
        <v>0</v>
      </c>
      <c r="T66"/>
    </row>
    <row r="67" spans="1:20" s="4" customFormat="1" x14ac:dyDescent="0.35">
      <c r="A67" t="s">
        <v>199</v>
      </c>
      <c r="B67" s="4" t="s">
        <v>90</v>
      </c>
      <c r="C67" s="4" t="s">
        <v>181</v>
      </c>
      <c r="D67" s="4" t="s">
        <v>200</v>
      </c>
      <c r="E67"/>
      <c r="F67" s="38"/>
      <c r="G67" s="38"/>
      <c r="H67" s="38"/>
      <c r="I67" s="39"/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247">
        <v>0</v>
      </c>
      <c r="T67"/>
    </row>
    <row r="68" spans="1:20" s="4" customFormat="1" x14ac:dyDescent="0.35">
      <c r="A68" t="s">
        <v>201</v>
      </c>
      <c r="B68" s="4" t="s">
        <v>90</v>
      </c>
      <c r="C68" s="4" t="s">
        <v>181</v>
      </c>
      <c r="D68" s="4" t="s">
        <v>202</v>
      </c>
      <c r="E68"/>
      <c r="F68" s="38"/>
      <c r="G68" s="38"/>
      <c r="H68" s="38"/>
      <c r="I68" s="39"/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247">
        <v>0</v>
      </c>
      <c r="T68"/>
    </row>
    <row r="69" spans="1:20" s="4" customFormat="1" ht="15" thickBot="1" x14ac:dyDescent="0.4">
      <c r="A69" t="s">
        <v>87</v>
      </c>
      <c r="B69" s="4" t="s">
        <v>90</v>
      </c>
      <c r="C69" s="4" t="s">
        <v>145</v>
      </c>
      <c r="D69" s="4" t="s">
        <v>196</v>
      </c>
      <c r="E69"/>
      <c r="F69" s="38"/>
      <c r="G69" s="38"/>
      <c r="H69" s="38"/>
      <c r="I69" s="39"/>
      <c r="J69" s="69">
        <v>0</v>
      </c>
      <c r="K69" s="69">
        <v>0</v>
      </c>
      <c r="L69" s="69" cm="1">
        <f t="array" ref="L69:M69">'MSUT STEEL'!Y256:Z256</f>
        <v>0</v>
      </c>
      <c r="M69" s="69">
        <v>0</v>
      </c>
      <c r="N69" s="70" cm="1">
        <f t="array" ref="N69:O69">'MSUT STEEL'!AA256:AB256</f>
        <v>9.1135123377023061E-3</v>
      </c>
      <c r="O69" s="70">
        <v>9.1135123377023061E-3</v>
      </c>
      <c r="P69" s="69">
        <v>0</v>
      </c>
      <c r="Q69" s="69">
        <v>0</v>
      </c>
      <c r="R69" s="69">
        <v>0</v>
      </c>
      <c r="S69" s="250">
        <v>0</v>
      </c>
      <c r="T69"/>
    </row>
    <row r="70" spans="1:20" s="4" customFormat="1" x14ac:dyDescent="0.35">
      <c r="A70" t="s">
        <v>144</v>
      </c>
      <c r="B70" s="4" t="s">
        <v>91</v>
      </c>
      <c r="C70" s="4" t="s">
        <v>145</v>
      </c>
      <c r="D70" s="4" t="s">
        <v>146</v>
      </c>
      <c r="E70"/>
      <c r="F70" s="38"/>
      <c r="G70" s="38"/>
      <c r="H70" s="38"/>
      <c r="I70" s="39"/>
      <c r="J70" s="65" cm="1">
        <f t="array" ref="J70:K70">'MSUT H2'!AC218:AD218</f>
        <v>15.771428571428569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 cm="1">
        <f t="array" ref="R70:S70">'MSUT H2'!AE218:AF218</f>
        <v>0</v>
      </c>
      <c r="S70" s="247">
        <v>0</v>
      </c>
      <c r="T70"/>
    </row>
    <row r="71" spans="1:20" s="4" customFormat="1" x14ac:dyDescent="0.35">
      <c r="A71" t="s">
        <v>172</v>
      </c>
      <c r="B71" s="4" t="s">
        <v>91</v>
      </c>
      <c r="C71" s="4" t="s">
        <v>145</v>
      </c>
      <c r="D71" s="4" t="s">
        <v>173</v>
      </c>
      <c r="E71"/>
      <c r="F71" s="38"/>
      <c r="G71" s="38"/>
      <c r="H71" s="38"/>
      <c r="I71" s="39"/>
      <c r="J71" s="65" cm="1">
        <f t="array" ref="J71:K75">'MSUT H2'!AC220:AD224</f>
        <v>8.7507175559917313E-2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 cm="1">
        <f t="array" ref="R71:S75">'MSUT H2'!AE220:AF224</f>
        <v>0</v>
      </c>
      <c r="S71" s="247">
        <v>0</v>
      </c>
      <c r="T71"/>
    </row>
    <row r="72" spans="1:20" s="4" customFormat="1" x14ac:dyDescent="0.35">
      <c r="A72" t="s">
        <v>174</v>
      </c>
      <c r="B72" s="4" t="s">
        <v>91</v>
      </c>
      <c r="C72" s="4" t="s">
        <v>145</v>
      </c>
      <c r="D72" s="4" t="s">
        <v>175</v>
      </c>
      <c r="E72"/>
      <c r="F72" s="38"/>
      <c r="G72" s="38"/>
      <c r="H72" s="38"/>
      <c r="I72" s="39"/>
      <c r="J72" s="66">
        <v>0</v>
      </c>
      <c r="K72" s="65">
        <v>5.3791732332439677E-3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247">
        <v>0</v>
      </c>
      <c r="T72"/>
    </row>
    <row r="73" spans="1:20" s="4" customFormat="1" x14ac:dyDescent="0.35">
      <c r="A73" t="s">
        <v>176</v>
      </c>
      <c r="B73" s="4" t="s">
        <v>91</v>
      </c>
      <c r="C73" s="4" t="s">
        <v>145</v>
      </c>
      <c r="D73" s="4" t="s">
        <v>177</v>
      </c>
      <c r="E73"/>
      <c r="F73" s="38"/>
      <c r="G73" s="38"/>
      <c r="H73" s="38"/>
      <c r="I73" s="39"/>
      <c r="J73" s="66">
        <v>0</v>
      </c>
      <c r="K73" s="65">
        <v>6.5526133182607291E-3</v>
      </c>
      <c r="L73" s="65" cm="1">
        <f t="array" ref="L73:M73">'MSUT STEEL'!Y263:Z263</f>
        <v>0.15097500908393557</v>
      </c>
      <c r="M73" s="65">
        <v>0.15097500908393557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247">
        <v>0</v>
      </c>
      <c r="T73"/>
    </row>
    <row r="74" spans="1:20" s="4" customFormat="1" x14ac:dyDescent="0.35">
      <c r="A74" t="s">
        <v>178</v>
      </c>
      <c r="B74" s="4" t="s">
        <v>91</v>
      </c>
      <c r="C74" s="4" t="s">
        <v>145</v>
      </c>
      <c r="D74" s="4" t="s">
        <v>179</v>
      </c>
      <c r="E74"/>
      <c r="F74" s="38"/>
      <c r="G74" s="38"/>
      <c r="H74" s="38"/>
      <c r="I74" s="39"/>
      <c r="J74" s="66">
        <v>0</v>
      </c>
      <c r="K74" s="65">
        <v>2.464950959887623E-4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247">
        <v>0</v>
      </c>
      <c r="T74"/>
    </row>
    <row r="75" spans="1:20" s="4" customFormat="1" x14ac:dyDescent="0.35">
      <c r="A75" t="s">
        <v>180</v>
      </c>
      <c r="B75" s="4" t="s">
        <v>91</v>
      </c>
      <c r="C75" s="4" t="s">
        <v>181</v>
      </c>
      <c r="D75" s="4" t="s">
        <v>182</v>
      </c>
      <c r="E75"/>
      <c r="F75" s="38"/>
      <c r="G75" s="38"/>
      <c r="H75" s="38"/>
      <c r="I75" s="39"/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247">
        <v>0</v>
      </c>
      <c r="T75"/>
    </row>
    <row r="76" spans="1:20" s="4" customFormat="1" x14ac:dyDescent="0.35">
      <c r="A76" s="77" t="s">
        <v>183</v>
      </c>
      <c r="B76" s="4" t="s">
        <v>91</v>
      </c>
      <c r="C76" s="4" t="s">
        <v>145</v>
      </c>
      <c r="D76" s="4" t="s">
        <v>184</v>
      </c>
      <c r="E76"/>
      <c r="F76" s="38"/>
      <c r="G76" s="38"/>
      <c r="H76" s="38"/>
      <c r="I76" s="39"/>
      <c r="J76" s="66" cm="1">
        <f t="array" ref="J76:K76">'MSUT H2'!AC219:AD219</f>
        <v>0</v>
      </c>
      <c r="K76" s="66">
        <v>0</v>
      </c>
      <c r="L76" s="66" cm="1">
        <f t="array" ref="L76:M79">'MSUT STEEL'!Y264:Z267</f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 cm="1">
        <f t="array" ref="R76:S76">'MSUT H2'!AE219:AF219</f>
        <v>0</v>
      </c>
      <c r="S76" s="247">
        <v>0</v>
      </c>
      <c r="T76"/>
    </row>
    <row r="77" spans="1:20" s="4" customFormat="1" x14ac:dyDescent="0.35">
      <c r="A77" t="s">
        <v>185</v>
      </c>
      <c r="B77" s="4" t="s">
        <v>91</v>
      </c>
      <c r="C77" s="4" t="s">
        <v>145</v>
      </c>
      <c r="D77" s="4" t="s">
        <v>186</v>
      </c>
      <c r="E77"/>
      <c r="F77" s="38"/>
      <c r="G77" s="38"/>
      <c r="H77" s="38"/>
      <c r="I77" s="39"/>
      <c r="J77" s="66">
        <v>0</v>
      </c>
      <c r="K77" s="66">
        <v>0</v>
      </c>
      <c r="L77" s="65">
        <v>6.7728942399646885E-5</v>
      </c>
      <c r="M77" s="65">
        <v>6.7728942399646885E-5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247">
        <v>0</v>
      </c>
      <c r="T77"/>
    </row>
    <row r="78" spans="1:20" s="4" customFormat="1" x14ac:dyDescent="0.35">
      <c r="A78" t="s">
        <v>187</v>
      </c>
      <c r="B78" s="4" t="s">
        <v>91</v>
      </c>
      <c r="C78" s="4" t="s">
        <v>145</v>
      </c>
      <c r="D78" s="4" t="s">
        <v>188</v>
      </c>
      <c r="E78"/>
      <c r="F78" s="38"/>
      <c r="G78" s="38"/>
      <c r="H78" s="38"/>
      <c r="I78" s="39"/>
      <c r="J78" s="65" cm="1">
        <f t="array" ref="J78:K78">'MSUT H2'!AC217:AD217</f>
        <v>41.4801</v>
      </c>
      <c r="K78" s="65">
        <v>1.1485683451306521E-3</v>
      </c>
      <c r="L78" s="65">
        <v>5.6233849622410815E-3</v>
      </c>
      <c r="M78" s="65">
        <v>5.6233849622410815E-3</v>
      </c>
      <c r="N78" s="66">
        <v>0</v>
      </c>
      <c r="O78" s="66">
        <v>0</v>
      </c>
      <c r="P78" s="66">
        <v>0</v>
      </c>
      <c r="Q78" s="66">
        <v>0</v>
      </c>
      <c r="R78" s="66" cm="1">
        <f t="array" ref="R78:S78">'MSUT H2'!AE217:AF217</f>
        <v>0</v>
      </c>
      <c r="S78" s="247">
        <v>0</v>
      </c>
      <c r="T78"/>
    </row>
    <row r="79" spans="1:20" s="4" customFormat="1" x14ac:dyDescent="0.35">
      <c r="A79" t="s">
        <v>189</v>
      </c>
      <c r="B79" s="4" t="s">
        <v>91</v>
      </c>
      <c r="C79" s="4" t="s">
        <v>145</v>
      </c>
      <c r="D79" s="4" t="s">
        <v>190</v>
      </c>
      <c r="E79"/>
      <c r="F79" s="38"/>
      <c r="G79" s="38"/>
      <c r="H79" s="38"/>
      <c r="I79" s="39"/>
      <c r="J79" s="66">
        <v>0</v>
      </c>
      <c r="K79" s="66">
        <v>0</v>
      </c>
      <c r="L79" s="65">
        <v>1.8068055269127655E-3</v>
      </c>
      <c r="M79" s="65">
        <v>1.8068055269127655E-3</v>
      </c>
      <c r="N79" s="65" cm="1">
        <f t="array" ref="N79:O79">'MSUT STEEL'!AA267:AB267</f>
        <v>4.3195382907628159E-4</v>
      </c>
      <c r="O79" s="65">
        <v>4.3195382907628159E-4</v>
      </c>
      <c r="P79" s="66">
        <v>0</v>
      </c>
      <c r="Q79" s="65">
        <f>'MSUT STEEL'!X267</f>
        <v>2.0807907452574416E-3</v>
      </c>
      <c r="R79" s="66">
        <v>0</v>
      </c>
      <c r="S79" s="247">
        <v>0</v>
      </c>
      <c r="T79"/>
    </row>
    <row r="80" spans="1:20" s="4" customFormat="1" x14ac:dyDescent="0.35">
      <c r="A80" t="s">
        <v>191</v>
      </c>
      <c r="B80" s="4" t="s">
        <v>91</v>
      </c>
      <c r="C80" s="4" t="s">
        <v>145</v>
      </c>
      <c r="D80" s="4" t="s">
        <v>192</v>
      </c>
      <c r="E80"/>
      <c r="F80" s="38"/>
      <c r="G80" s="38"/>
      <c r="H80" s="38"/>
      <c r="I80" s="39"/>
      <c r="J80" s="66">
        <v>0</v>
      </c>
      <c r="K80" s="66">
        <v>0</v>
      </c>
      <c r="L80" s="65" cm="1">
        <f t="array" ref="L80:M85">'MSUT STEEL'!Y269:Z274</f>
        <v>5.6492118062760293E-6</v>
      </c>
      <c r="M80" s="65">
        <v>5.6492118062760293E-6</v>
      </c>
      <c r="N80" s="66">
        <v>0</v>
      </c>
      <c r="O80" s="66">
        <v>0</v>
      </c>
      <c r="P80" s="66">
        <v>0</v>
      </c>
      <c r="Q80" s="66">
        <v>0</v>
      </c>
      <c r="R80" s="66">
        <v>0</v>
      </c>
      <c r="S80" s="247">
        <v>0</v>
      </c>
      <c r="T80"/>
    </row>
    <row r="81" spans="1:20" s="4" customFormat="1" x14ac:dyDescent="0.35">
      <c r="A81" t="s">
        <v>193</v>
      </c>
      <c r="B81" s="4" t="s">
        <v>91</v>
      </c>
      <c r="C81" s="4" t="s">
        <v>145</v>
      </c>
      <c r="D81" s="4" t="s">
        <v>194</v>
      </c>
      <c r="E81"/>
      <c r="F81" s="38"/>
      <c r="G81" s="38"/>
      <c r="H81" s="38"/>
      <c r="I81" s="39"/>
      <c r="J81" s="66" cm="1">
        <f t="array" ref="J81:K81">'MSUT H2'!AC228:AD228</f>
        <v>0</v>
      </c>
      <c r="K81" s="65">
        <v>0</v>
      </c>
      <c r="L81" s="65">
        <v>0</v>
      </c>
      <c r="M81" s="65">
        <v>0</v>
      </c>
      <c r="N81" s="66">
        <v>0</v>
      </c>
      <c r="O81" s="66">
        <v>0</v>
      </c>
      <c r="P81" s="66">
        <v>0</v>
      </c>
      <c r="Q81" s="66">
        <v>0</v>
      </c>
      <c r="R81" s="65" cm="1">
        <f t="array" ref="R81:S81">'MSUT H2'!AE228:AF228</f>
        <v>0</v>
      </c>
      <c r="S81" s="247">
        <v>0</v>
      </c>
      <c r="T81"/>
    </row>
    <row r="82" spans="1:20" s="4" customFormat="1" x14ac:dyDescent="0.35">
      <c r="A82" t="s">
        <v>195</v>
      </c>
      <c r="B82" s="4" t="s">
        <v>91</v>
      </c>
      <c r="C82" s="4" t="s">
        <v>145</v>
      </c>
      <c r="D82" s="4" t="s">
        <v>196</v>
      </c>
      <c r="E82"/>
      <c r="F82" s="38"/>
      <c r="G82" s="38"/>
      <c r="H82" s="38"/>
      <c r="I82" s="39"/>
      <c r="J82" s="66">
        <v>0</v>
      </c>
      <c r="K82" s="66">
        <v>0</v>
      </c>
      <c r="L82" s="65">
        <v>8.1093795177776388E-4</v>
      </c>
      <c r="M82" s="65">
        <v>8.1093795177776388E-4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247">
        <v>0</v>
      </c>
      <c r="T82"/>
    </row>
    <row r="83" spans="1:20" s="4" customFormat="1" x14ac:dyDescent="0.35">
      <c r="A83" t="s">
        <v>197</v>
      </c>
      <c r="B83" s="4" t="s">
        <v>91</v>
      </c>
      <c r="C83" s="4" t="s">
        <v>181</v>
      </c>
      <c r="D83" s="4" t="s">
        <v>198</v>
      </c>
      <c r="E83"/>
      <c r="F83" s="38"/>
      <c r="G83" s="38"/>
      <c r="H83" s="38"/>
      <c r="I83" s="39"/>
      <c r="J83" s="66" cm="1">
        <f t="array" ref="J83:K85">'MSUT H2'!AC225:AD227</f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 cm="1">
        <f t="array" ref="R83:S85">'MSUT H2'!AE225:AF227</f>
        <v>0</v>
      </c>
      <c r="S83" s="247">
        <v>0</v>
      </c>
      <c r="T83"/>
    </row>
    <row r="84" spans="1:20" s="4" customFormat="1" x14ac:dyDescent="0.35">
      <c r="A84" t="s">
        <v>199</v>
      </c>
      <c r="B84" s="4" t="s">
        <v>91</v>
      </c>
      <c r="C84" s="4" t="s">
        <v>181</v>
      </c>
      <c r="D84" s="4" t="s">
        <v>200</v>
      </c>
      <c r="E84"/>
      <c r="F84" s="38"/>
      <c r="G84" s="38"/>
      <c r="H84" s="38"/>
      <c r="I84" s="39"/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247">
        <v>0</v>
      </c>
      <c r="T84"/>
    </row>
    <row r="85" spans="1:20" s="4" customFormat="1" x14ac:dyDescent="0.35">
      <c r="A85" t="s">
        <v>201</v>
      </c>
      <c r="B85" s="4" t="s">
        <v>91</v>
      </c>
      <c r="C85" s="4" t="s">
        <v>181</v>
      </c>
      <c r="D85" s="4" t="s">
        <v>202</v>
      </c>
      <c r="E85"/>
      <c r="F85" s="38"/>
      <c r="G85" s="38"/>
      <c r="H85" s="38"/>
      <c r="I85" s="39"/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247">
        <v>0</v>
      </c>
      <c r="T85"/>
    </row>
    <row r="86" spans="1:20" s="4" customFormat="1" ht="15" thickBot="1" x14ac:dyDescent="0.4">
      <c r="A86" t="s">
        <v>87</v>
      </c>
      <c r="B86" s="4" t="s">
        <v>91</v>
      </c>
      <c r="C86" s="4" t="s">
        <v>145</v>
      </c>
      <c r="D86" s="4" t="s">
        <v>196</v>
      </c>
      <c r="E86"/>
      <c r="F86" s="38"/>
      <c r="G86" s="38"/>
      <c r="H86" s="38"/>
      <c r="I86" s="39"/>
      <c r="J86" s="69">
        <v>0</v>
      </c>
      <c r="K86" s="69">
        <v>0</v>
      </c>
      <c r="L86" s="69" cm="1">
        <f t="array" ref="L86:M86">'MSUT STEEL'!Y268:Z268</f>
        <v>0</v>
      </c>
      <c r="M86" s="69">
        <v>0</v>
      </c>
      <c r="N86" s="70" cm="1">
        <f t="array" ref="N86:O86">'MSUT STEEL'!AA268:AB268</f>
        <v>1.1339568587203704E-2</v>
      </c>
      <c r="O86" s="70">
        <v>1.1339568587203704E-2</v>
      </c>
      <c r="P86" s="69">
        <v>0</v>
      </c>
      <c r="Q86" s="69">
        <v>0</v>
      </c>
      <c r="R86" s="69">
        <v>0</v>
      </c>
      <c r="S86" s="250">
        <v>0</v>
      </c>
      <c r="T86"/>
    </row>
    <row r="87" spans="1:20" s="4" customFormat="1" x14ac:dyDescent="0.35">
      <c r="A87" t="s">
        <v>144</v>
      </c>
      <c r="B87" s="4" t="s">
        <v>92</v>
      </c>
      <c r="C87" s="4" t="s">
        <v>145</v>
      </c>
      <c r="D87" s="4" t="s">
        <v>146</v>
      </c>
      <c r="E87"/>
      <c r="F87" s="38"/>
      <c r="G87" s="38"/>
      <c r="H87" s="38"/>
      <c r="I87" s="39"/>
      <c r="J87" s="65" cm="1">
        <f t="array" ref="J87:K87">'MSUT H2'!AC230:AD230</f>
        <v>6.6239999999999997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 cm="1">
        <f t="array" ref="R87:S87">'MSUT H2'!AE230:AF230</f>
        <v>0</v>
      </c>
      <c r="S87" s="247">
        <v>0</v>
      </c>
      <c r="T87"/>
    </row>
    <row r="88" spans="1:20" s="4" customFormat="1" x14ac:dyDescent="0.35">
      <c r="A88" t="s">
        <v>172</v>
      </c>
      <c r="B88" s="4" t="s">
        <v>92</v>
      </c>
      <c r="C88" s="4" t="s">
        <v>145</v>
      </c>
      <c r="D88" s="4" t="s">
        <v>173</v>
      </c>
      <c r="E88"/>
      <c r="F88" s="50"/>
      <c r="G88" s="50"/>
      <c r="H88" s="38"/>
      <c r="I88" s="39"/>
      <c r="J88" s="65" cm="1">
        <f t="array" ref="J88:K92">'MSUT H2'!AC232:AD236</f>
        <v>6.0040746268656714E-2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 cm="1">
        <f t="array" ref="R88:S92">'MSUT H2'!AE232:AF236</f>
        <v>0</v>
      </c>
      <c r="S88" s="247">
        <v>0</v>
      </c>
      <c r="T88"/>
    </row>
    <row r="89" spans="1:20" s="4" customFormat="1" x14ac:dyDescent="0.35">
      <c r="A89" t="s">
        <v>174</v>
      </c>
      <c r="B89" s="4" t="s">
        <v>92</v>
      </c>
      <c r="C89" s="4" t="s">
        <v>145</v>
      </c>
      <c r="D89" s="4" t="s">
        <v>175</v>
      </c>
      <c r="E89"/>
      <c r="F89" s="50"/>
      <c r="G89" s="50"/>
      <c r="H89" s="38"/>
      <c r="I89" s="39"/>
      <c r="J89" s="66">
        <v>0</v>
      </c>
      <c r="K89" s="65">
        <v>3.3497344343163542E-3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247">
        <v>0</v>
      </c>
      <c r="T89"/>
    </row>
    <row r="90" spans="1:20" s="4" customFormat="1" x14ac:dyDescent="0.35">
      <c r="A90" t="s">
        <v>176</v>
      </c>
      <c r="B90" s="4" t="s">
        <v>92</v>
      </c>
      <c r="C90" s="4" t="s">
        <v>145</v>
      </c>
      <c r="D90" s="4" t="s">
        <v>177</v>
      </c>
      <c r="E90"/>
      <c r="F90" s="50"/>
      <c r="G90" s="50"/>
      <c r="H90" s="38"/>
      <c r="I90" s="39"/>
      <c r="J90" s="66">
        <v>0</v>
      </c>
      <c r="K90" s="65">
        <v>6.0269323460777589E-3</v>
      </c>
      <c r="L90" s="65" cm="1">
        <f t="array" ref="L90:M90">'MSUT STEEL'!Y275:Z275</f>
        <v>0.13886309499777949</v>
      </c>
      <c r="M90" s="65">
        <v>0.13886309499777949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247">
        <v>0</v>
      </c>
      <c r="T90"/>
    </row>
    <row r="91" spans="1:20" s="4" customFormat="1" x14ac:dyDescent="0.35">
      <c r="A91" t="s">
        <v>178</v>
      </c>
      <c r="B91" s="4" t="s">
        <v>92</v>
      </c>
      <c r="C91" s="4" t="s">
        <v>145</v>
      </c>
      <c r="D91" s="4" t="s">
        <v>179</v>
      </c>
      <c r="E91"/>
      <c r="F91" s="50"/>
      <c r="G91" s="50"/>
      <c r="H91" s="38"/>
      <c r="I91" s="39"/>
      <c r="J91" s="66">
        <v>0</v>
      </c>
      <c r="K91" s="65">
        <v>4.0947713992508196E-3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247">
        <v>0</v>
      </c>
      <c r="T91"/>
    </row>
    <row r="92" spans="1:20" s="4" customFormat="1" x14ac:dyDescent="0.35">
      <c r="A92" t="s">
        <v>180</v>
      </c>
      <c r="B92" s="4" t="s">
        <v>92</v>
      </c>
      <c r="C92" s="4" t="s">
        <v>181</v>
      </c>
      <c r="D92" s="4" t="s">
        <v>182</v>
      </c>
      <c r="E92"/>
      <c r="F92" s="50"/>
      <c r="G92" s="50"/>
      <c r="H92" s="38"/>
      <c r="I92" s="39"/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247">
        <v>0</v>
      </c>
      <c r="T92"/>
    </row>
    <row r="93" spans="1:20" s="4" customFormat="1" x14ac:dyDescent="0.35">
      <c r="A93" s="77" t="s">
        <v>183</v>
      </c>
      <c r="B93" s="4" t="s">
        <v>92</v>
      </c>
      <c r="C93" s="4" t="s">
        <v>145</v>
      </c>
      <c r="D93" s="4" t="s">
        <v>184</v>
      </c>
      <c r="E93"/>
      <c r="F93" s="50"/>
      <c r="G93" s="50"/>
      <c r="H93" s="38"/>
      <c r="I93" s="39"/>
      <c r="J93" s="66" cm="1">
        <f t="array" ref="J93:K93">'MSUT H2'!AC231:AD231</f>
        <v>0</v>
      </c>
      <c r="K93" s="66">
        <v>0</v>
      </c>
      <c r="L93" s="66" cm="1">
        <f t="array" ref="L93:M96">'MSUT STEEL'!Y276:Z279</f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 cm="1">
        <f t="array" ref="R93:S93">'MSUT H2'!AE231:AF231</f>
        <v>0</v>
      </c>
      <c r="S93" s="247">
        <v>0</v>
      </c>
      <c r="T93"/>
    </row>
    <row r="94" spans="1:20" s="4" customFormat="1" x14ac:dyDescent="0.35">
      <c r="A94" t="s">
        <v>185</v>
      </c>
      <c r="B94" s="4" t="s">
        <v>92</v>
      </c>
      <c r="C94" s="4" t="s">
        <v>145</v>
      </c>
      <c r="D94" s="4" t="s">
        <v>186</v>
      </c>
      <c r="E94"/>
      <c r="F94" s="50"/>
      <c r="G94" s="50"/>
      <c r="H94" s="38"/>
      <c r="I94" s="39"/>
      <c r="J94" s="66">
        <v>0</v>
      </c>
      <c r="K94" s="66">
        <v>0</v>
      </c>
      <c r="L94" s="65">
        <v>9.2968907089085616E-5</v>
      </c>
      <c r="M94" s="65">
        <v>9.2968907089085616E-5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247">
        <v>0</v>
      </c>
      <c r="T94"/>
    </row>
    <row r="95" spans="1:20" s="4" customFormat="1" x14ac:dyDescent="0.35">
      <c r="A95" t="s">
        <v>187</v>
      </c>
      <c r="B95" s="4" t="s">
        <v>92</v>
      </c>
      <c r="C95" s="4" t="s">
        <v>145</v>
      </c>
      <c r="D95" s="4" t="s">
        <v>188</v>
      </c>
      <c r="E95"/>
      <c r="F95"/>
      <c r="G95"/>
      <c r="H95"/>
      <c r="I95" s="20"/>
      <c r="J95" s="65" cm="1">
        <f t="array" ref="J95:K95">'MSUT H2'!AC229:AD229</f>
        <v>13.3146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 cm="1">
        <f t="array" ref="R95:S95">'MSUT H2'!AE229:AF229</f>
        <v>0</v>
      </c>
      <c r="S95" s="247">
        <v>0</v>
      </c>
      <c r="T95"/>
    </row>
    <row r="96" spans="1:20" s="4" customFormat="1" x14ac:dyDescent="0.35">
      <c r="A96" t="s">
        <v>189</v>
      </c>
      <c r="B96" s="4" t="s">
        <v>92</v>
      </c>
      <c r="C96" s="4" t="s">
        <v>145</v>
      </c>
      <c r="D96" s="4" t="s">
        <v>190</v>
      </c>
      <c r="E96"/>
      <c r="F96"/>
      <c r="G96"/>
      <c r="H96"/>
      <c r="I96" s="20"/>
      <c r="J96" s="66">
        <v>0</v>
      </c>
      <c r="K96" s="66">
        <v>0</v>
      </c>
      <c r="L96" s="65">
        <v>1.1251392039595793E-3</v>
      </c>
      <c r="M96" s="65">
        <v>1.1251392039595793E-3</v>
      </c>
      <c r="N96" s="65" cm="1">
        <f t="array" ref="N96:O96">'MSUT STEEL'!AA279:AB279</f>
        <v>5.9963902402539811E-4</v>
      </c>
      <c r="O96" s="65">
        <v>5.9963902402539811E-4</v>
      </c>
      <c r="P96" s="66">
        <v>0</v>
      </c>
      <c r="Q96" s="65">
        <f>'MSUT STEEL'!X279</f>
        <v>2.8885571737041122E-3</v>
      </c>
      <c r="R96" s="66">
        <v>0</v>
      </c>
      <c r="S96" s="247">
        <v>0</v>
      </c>
      <c r="T96"/>
    </row>
    <row r="97" spans="1:19" x14ac:dyDescent="0.35">
      <c r="A97" t="s">
        <v>191</v>
      </c>
      <c r="B97" s="4" t="s">
        <v>92</v>
      </c>
      <c r="C97" s="4" t="s">
        <v>145</v>
      </c>
      <c r="D97" s="4" t="s">
        <v>192</v>
      </c>
      <c r="J97" s="66">
        <v>0</v>
      </c>
      <c r="K97" s="66">
        <v>0</v>
      </c>
      <c r="L97" s="65" cm="1">
        <f t="array" ref="L97:M102">'MSUT STEEL'!Y281:Z286</f>
        <v>5.0048817841215026E-7</v>
      </c>
      <c r="M97" s="65">
        <v>5.0048817841215026E-7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247">
        <v>0</v>
      </c>
    </row>
    <row r="98" spans="1:19" x14ac:dyDescent="0.35">
      <c r="A98" t="s">
        <v>193</v>
      </c>
      <c r="B98" s="4" t="s">
        <v>92</v>
      </c>
      <c r="C98" s="4" t="s">
        <v>145</v>
      </c>
      <c r="D98" s="4" t="s">
        <v>194</v>
      </c>
      <c r="J98" s="66" cm="1">
        <f t="array" ref="J98:K98">'MSUT H2'!AC240:AD240</f>
        <v>0</v>
      </c>
      <c r="K98" s="65">
        <v>0</v>
      </c>
      <c r="L98" s="65">
        <v>0</v>
      </c>
      <c r="M98" s="65">
        <v>0</v>
      </c>
      <c r="N98" s="66">
        <v>0</v>
      </c>
      <c r="O98" s="66">
        <v>0</v>
      </c>
      <c r="P98" s="66">
        <v>0</v>
      </c>
      <c r="Q98" s="66">
        <v>0</v>
      </c>
      <c r="R98" s="65" cm="1">
        <f t="array" ref="R98:S98">'MSUT H2'!AE240:AF240</f>
        <v>0</v>
      </c>
      <c r="S98" s="247">
        <v>0</v>
      </c>
    </row>
    <row r="99" spans="1:19" x14ac:dyDescent="0.35">
      <c r="A99" t="s">
        <v>195</v>
      </c>
      <c r="B99" s="4" t="s">
        <v>92</v>
      </c>
      <c r="C99" s="4" t="s">
        <v>145</v>
      </c>
      <c r="D99" s="4" t="s">
        <v>196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247">
        <v>0</v>
      </c>
    </row>
    <row r="100" spans="1:19" x14ac:dyDescent="0.35">
      <c r="A100" t="s">
        <v>197</v>
      </c>
      <c r="B100" s="4" t="s">
        <v>92</v>
      </c>
      <c r="C100" s="4" t="s">
        <v>181</v>
      </c>
      <c r="D100" s="4" t="s">
        <v>198</v>
      </c>
      <c r="J100" s="66" cm="1">
        <f t="array" ref="J100:K102">'MSUT H2'!AC237:AD239</f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 cm="1">
        <f t="array" ref="R100:S102">'MSUT H2'!AE237:AF239</f>
        <v>0</v>
      </c>
      <c r="S100" s="247">
        <v>0</v>
      </c>
    </row>
    <row r="101" spans="1:19" x14ac:dyDescent="0.35">
      <c r="A101" t="s">
        <v>199</v>
      </c>
      <c r="B101" s="4" t="s">
        <v>92</v>
      </c>
      <c r="C101" s="4" t="s">
        <v>181</v>
      </c>
      <c r="D101" s="4" t="s">
        <v>200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247">
        <v>0</v>
      </c>
    </row>
    <row r="102" spans="1:19" x14ac:dyDescent="0.35">
      <c r="A102" t="s">
        <v>201</v>
      </c>
      <c r="B102" s="4" t="s">
        <v>92</v>
      </c>
      <c r="C102" s="4" t="s">
        <v>181</v>
      </c>
      <c r="D102" s="4" t="s">
        <v>202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247">
        <v>0</v>
      </c>
    </row>
    <row r="103" spans="1:19" ht="15" thickBot="1" x14ac:dyDescent="0.4">
      <c r="A103" t="s">
        <v>87</v>
      </c>
      <c r="B103" s="4" t="s">
        <v>92</v>
      </c>
      <c r="C103" s="4" t="s">
        <v>145</v>
      </c>
      <c r="D103" s="4" t="s">
        <v>196</v>
      </c>
      <c r="J103" s="69">
        <v>0</v>
      </c>
      <c r="K103" s="69">
        <v>0</v>
      </c>
      <c r="L103" s="69" cm="1">
        <f t="array" ref="L103:M103">'MSUT STEEL'!Y280:Z280</f>
        <v>0</v>
      </c>
      <c r="M103" s="69">
        <v>0</v>
      </c>
      <c r="N103" s="70" cm="1">
        <f t="array" ref="N103:O103">'MSUT STEEL'!AA280:AB280</f>
        <v>7.0614092017150581E-3</v>
      </c>
      <c r="O103" s="70">
        <v>7.0614092017150581E-3</v>
      </c>
      <c r="P103" s="69">
        <v>0</v>
      </c>
      <c r="Q103" s="69">
        <v>0</v>
      </c>
      <c r="R103" s="69">
        <v>0</v>
      </c>
      <c r="S103" s="250">
        <v>0</v>
      </c>
    </row>
    <row r="104" spans="1:19" x14ac:dyDescent="0.35">
      <c r="A104" t="s">
        <v>144</v>
      </c>
      <c r="B104" s="4" t="s">
        <v>93</v>
      </c>
      <c r="C104" s="4" t="s">
        <v>145</v>
      </c>
      <c r="D104" s="4" t="s">
        <v>146</v>
      </c>
      <c r="J104" s="65" cm="1">
        <f t="array" ref="J104:K104">'MSUT H2'!AC242:AD242</f>
        <v>44.633142857142865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 cm="1">
        <f t="array" ref="R104:S104">'MSUT H2'!AE242:AF242</f>
        <v>0</v>
      </c>
      <c r="S104" s="247">
        <v>0</v>
      </c>
    </row>
    <row r="105" spans="1:19" x14ac:dyDescent="0.35">
      <c r="A105" t="s">
        <v>172</v>
      </c>
      <c r="B105" s="4" t="s">
        <v>93</v>
      </c>
      <c r="C105" s="4" t="s">
        <v>145</v>
      </c>
      <c r="D105" s="4" t="s">
        <v>173</v>
      </c>
      <c r="J105" s="65" cm="1">
        <f t="array" ref="J105:K109">'MSUT H2'!AC244:AD248</f>
        <v>0.3673348440311186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 cm="1">
        <f t="array" ref="R105:S109">'MSUT H2'!AE244:AF248</f>
        <v>0</v>
      </c>
      <c r="S105" s="247">
        <v>0</v>
      </c>
    </row>
    <row r="106" spans="1:19" x14ac:dyDescent="0.35">
      <c r="A106" t="s">
        <v>174</v>
      </c>
      <c r="B106" s="4" t="s">
        <v>93</v>
      </c>
      <c r="C106" s="4" t="s">
        <v>145</v>
      </c>
      <c r="D106" s="4" t="s">
        <v>175</v>
      </c>
      <c r="J106" s="66">
        <v>0</v>
      </c>
      <c r="K106" s="65">
        <v>1.4980971667560324E-2</v>
      </c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247">
        <v>0</v>
      </c>
    </row>
    <row r="107" spans="1:19" x14ac:dyDescent="0.35">
      <c r="A107" t="s">
        <v>176</v>
      </c>
      <c r="B107" s="4" t="s">
        <v>93</v>
      </c>
      <c r="C107" s="4" t="s">
        <v>145</v>
      </c>
      <c r="D107" s="4" t="s">
        <v>177</v>
      </c>
      <c r="J107" s="66">
        <v>0</v>
      </c>
      <c r="K107" s="65">
        <v>4.3405477873147885E-2</v>
      </c>
      <c r="L107" s="65" cm="1">
        <f t="array" ref="L107:M107">'MSUT STEEL'!Y287:Z287</f>
        <v>1.0000807460939076</v>
      </c>
      <c r="M107" s="65">
        <v>1.0000807460939076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247">
        <v>0</v>
      </c>
    </row>
    <row r="108" spans="1:19" x14ac:dyDescent="0.35">
      <c r="A108" t="s">
        <v>178</v>
      </c>
      <c r="B108" s="4" t="s">
        <v>93</v>
      </c>
      <c r="C108" s="4" t="s">
        <v>145</v>
      </c>
      <c r="D108" s="4" t="s">
        <v>179</v>
      </c>
      <c r="J108" s="66">
        <v>0</v>
      </c>
      <c r="K108" s="65">
        <v>2.1237093113781802E-2</v>
      </c>
      <c r="L108" s="66">
        <v>0</v>
      </c>
      <c r="M108" s="66">
        <v>0</v>
      </c>
      <c r="N108" s="66">
        <v>0</v>
      </c>
      <c r="O108" s="66">
        <v>0</v>
      </c>
      <c r="P108" s="66">
        <v>0</v>
      </c>
      <c r="Q108" s="66">
        <v>0</v>
      </c>
      <c r="R108" s="66">
        <v>0</v>
      </c>
      <c r="S108" s="247">
        <v>0</v>
      </c>
    </row>
    <row r="109" spans="1:19" x14ac:dyDescent="0.35">
      <c r="A109" t="s">
        <v>180</v>
      </c>
      <c r="B109" s="4" t="s">
        <v>93</v>
      </c>
      <c r="C109" s="4" t="s">
        <v>181</v>
      </c>
      <c r="D109" s="4" t="s">
        <v>182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247">
        <v>0</v>
      </c>
    </row>
    <row r="110" spans="1:19" x14ac:dyDescent="0.35">
      <c r="A110" s="77" t="s">
        <v>183</v>
      </c>
      <c r="B110" s="4" t="s">
        <v>93</v>
      </c>
      <c r="C110" s="4" t="s">
        <v>145</v>
      </c>
      <c r="D110" s="4" t="s">
        <v>184</v>
      </c>
      <c r="J110" s="66" cm="1">
        <f t="array" ref="J110:K110">'MSUT H2'!AC243:AD243</f>
        <v>0</v>
      </c>
      <c r="K110" s="66">
        <v>0</v>
      </c>
      <c r="L110" s="66" cm="1">
        <f t="array" ref="L110:M113">'MSUT STEEL'!Y288:Z291</f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 cm="1">
        <f t="array" ref="R110:S110">'MSUT H2'!AE243:AF243</f>
        <v>0</v>
      </c>
      <c r="S110" s="247">
        <v>0</v>
      </c>
    </row>
    <row r="111" spans="1:19" x14ac:dyDescent="0.35">
      <c r="A111" t="s">
        <v>185</v>
      </c>
      <c r="B111" s="4" t="s">
        <v>93</v>
      </c>
      <c r="C111" s="4" t="s">
        <v>145</v>
      </c>
      <c r="D111" s="4" t="s">
        <v>186</v>
      </c>
      <c r="J111" s="66">
        <v>0</v>
      </c>
      <c r="K111" s="66">
        <v>0</v>
      </c>
      <c r="L111" s="65">
        <v>3.7052409430862396E-4</v>
      </c>
      <c r="M111" s="65">
        <v>3.7052409430862396E-4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247">
        <v>0</v>
      </c>
    </row>
    <row r="112" spans="1:19" x14ac:dyDescent="0.35">
      <c r="A112" t="s">
        <v>187</v>
      </c>
      <c r="B112" s="4" t="s">
        <v>93</v>
      </c>
      <c r="C112" s="4" t="s">
        <v>145</v>
      </c>
      <c r="D112" s="4" t="s">
        <v>188</v>
      </c>
      <c r="J112" s="65" cm="1">
        <f t="array" ref="J112:K112">'MSUT H2'!AC241:AD241</f>
        <v>138.77909999999997</v>
      </c>
      <c r="K112" s="65">
        <v>1.1930984723440377E-3</v>
      </c>
      <c r="L112" s="65">
        <v>5.8414042458127093E-3</v>
      </c>
      <c r="M112" s="65">
        <v>5.8414042458127093E-3</v>
      </c>
      <c r="N112" s="66">
        <v>0</v>
      </c>
      <c r="O112" s="66">
        <v>0</v>
      </c>
      <c r="P112" s="66">
        <v>0</v>
      </c>
      <c r="Q112" s="66">
        <v>0</v>
      </c>
      <c r="R112" s="66" cm="1">
        <f t="array" ref="R112:S112">'MSUT H2'!AE241:AF241</f>
        <v>0</v>
      </c>
      <c r="S112" s="247">
        <v>0</v>
      </c>
    </row>
    <row r="113" spans="1:19" x14ac:dyDescent="0.35">
      <c r="A113" t="s">
        <v>189</v>
      </c>
      <c r="B113" s="4" t="s">
        <v>93</v>
      </c>
      <c r="C113" s="4" t="s">
        <v>145</v>
      </c>
      <c r="D113" s="4" t="s">
        <v>190</v>
      </c>
      <c r="J113" s="66">
        <v>0</v>
      </c>
      <c r="K113" s="66">
        <v>0</v>
      </c>
      <c r="L113" s="65">
        <v>5.0319447308723453E-3</v>
      </c>
      <c r="M113" s="65">
        <v>5.0319447308723453E-3</v>
      </c>
      <c r="N113" s="65" cm="1">
        <f t="array" ref="N113:O113">'MSUT STEEL'!AA291:AB291</f>
        <v>2.4854239602480213E-3</v>
      </c>
      <c r="O113" s="65">
        <v>2.4854239602480213E-3</v>
      </c>
      <c r="P113" s="66">
        <v>0</v>
      </c>
      <c r="Q113" s="65">
        <f>'MSUT STEEL'!X291</f>
        <v>1.1972685102906883E-2</v>
      </c>
      <c r="R113" s="66">
        <v>0</v>
      </c>
      <c r="S113" s="247">
        <v>0</v>
      </c>
    </row>
    <row r="114" spans="1:19" x14ac:dyDescent="0.35">
      <c r="A114" t="s">
        <v>191</v>
      </c>
      <c r="B114" s="4" t="s">
        <v>93</v>
      </c>
      <c r="C114" s="4" t="s">
        <v>145</v>
      </c>
      <c r="D114" s="4" t="s">
        <v>192</v>
      </c>
      <c r="J114" s="66">
        <v>0</v>
      </c>
      <c r="K114" s="66">
        <v>0</v>
      </c>
      <c r="L114" s="65" cm="1">
        <f t="array" ref="L114:M119">'MSUT STEEL'!Y293:Z298</f>
        <v>4.336096678710085E-4</v>
      </c>
      <c r="M114" s="65">
        <v>4.336096678710085E-4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247">
        <v>0</v>
      </c>
    </row>
    <row r="115" spans="1:19" x14ac:dyDescent="0.35">
      <c r="A115" t="s">
        <v>193</v>
      </c>
      <c r="B115" s="4" t="s">
        <v>93</v>
      </c>
      <c r="C115" s="4" t="s">
        <v>145</v>
      </c>
      <c r="D115" s="4" t="s">
        <v>194</v>
      </c>
      <c r="J115" s="66" cm="1">
        <f t="array" ref="J115:K115">'MSUT H2'!AC252:AD252</f>
        <v>0</v>
      </c>
      <c r="K115" s="65">
        <v>8.7987828585017833E-3</v>
      </c>
      <c r="L115" s="65">
        <v>2.7129607609988112E-3</v>
      </c>
      <c r="M115" s="65">
        <v>2.7129607609988112E-3</v>
      </c>
      <c r="N115" s="66">
        <v>0</v>
      </c>
      <c r="O115" s="66">
        <v>0</v>
      </c>
      <c r="P115" s="66">
        <v>0</v>
      </c>
      <c r="Q115" s="66">
        <v>0</v>
      </c>
      <c r="R115" s="65" cm="1">
        <f t="array" ref="R115:S115">'MSUT H2'!AE252:AF252</f>
        <v>2.188358424259166E-3</v>
      </c>
      <c r="S115" s="247">
        <v>0</v>
      </c>
    </row>
    <row r="116" spans="1:19" x14ac:dyDescent="0.35">
      <c r="A116" t="s">
        <v>195</v>
      </c>
      <c r="B116" s="4" t="s">
        <v>93</v>
      </c>
      <c r="C116" s="4" t="s">
        <v>145</v>
      </c>
      <c r="D116" s="4" t="s">
        <v>196</v>
      </c>
      <c r="J116" s="66">
        <v>0</v>
      </c>
      <c r="K116" s="66">
        <v>0</v>
      </c>
      <c r="L116" s="65">
        <v>4.3855511603587784E-2</v>
      </c>
      <c r="M116" s="65">
        <v>4.3855511603587784E-2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247">
        <v>0</v>
      </c>
    </row>
    <row r="117" spans="1:19" x14ac:dyDescent="0.35">
      <c r="A117" t="s">
        <v>197</v>
      </c>
      <c r="B117" s="4" t="s">
        <v>93</v>
      </c>
      <c r="C117" s="4" t="s">
        <v>181</v>
      </c>
      <c r="D117" s="4" t="s">
        <v>198</v>
      </c>
      <c r="J117" s="66" cm="1">
        <f t="array" ref="J117:K119">'MSUT H2'!AC249:AD251</f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 cm="1">
        <f t="array" ref="R117:S119">'MSUT H2'!AE249:AF251</f>
        <v>0</v>
      </c>
      <c r="S117" s="247">
        <v>0</v>
      </c>
    </row>
    <row r="118" spans="1:19" x14ac:dyDescent="0.35">
      <c r="A118" t="s">
        <v>199</v>
      </c>
      <c r="B118" s="4" t="s">
        <v>93</v>
      </c>
      <c r="C118" s="4" t="s">
        <v>181</v>
      </c>
      <c r="D118" s="4" t="s">
        <v>200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247">
        <v>0</v>
      </c>
    </row>
    <row r="119" spans="1:19" x14ac:dyDescent="0.35">
      <c r="A119" t="s">
        <v>201</v>
      </c>
      <c r="B119" s="4" t="s">
        <v>93</v>
      </c>
      <c r="C119" s="4" t="s">
        <v>181</v>
      </c>
      <c r="D119" s="4" t="s">
        <v>202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247">
        <v>0</v>
      </c>
    </row>
    <row r="120" spans="1:19" ht="15" thickBot="1" x14ac:dyDescent="0.4">
      <c r="A120" t="s">
        <v>87</v>
      </c>
      <c r="B120" s="4" t="s">
        <v>93</v>
      </c>
      <c r="C120" s="4" t="s">
        <v>145</v>
      </c>
      <c r="D120" s="4" t="s">
        <v>196</v>
      </c>
      <c r="J120" s="69">
        <v>0</v>
      </c>
      <c r="K120" s="69">
        <v>0</v>
      </c>
      <c r="L120" s="69" cm="1">
        <f t="array" ref="L120:M120">'MSUT STEEL'!Y292:Z292</f>
        <v>0</v>
      </c>
      <c r="M120" s="69">
        <v>0</v>
      </c>
      <c r="N120" s="70" cm="1">
        <f t="array" ref="N120:O120">'MSUT STEEL'!AA292:AB292</f>
        <v>3.1580644155014347E-2</v>
      </c>
      <c r="O120" s="70">
        <v>3.1580644155014347E-2</v>
      </c>
      <c r="P120" s="69">
        <v>0</v>
      </c>
      <c r="Q120" s="69">
        <v>0</v>
      </c>
      <c r="R120" s="69">
        <v>0</v>
      </c>
      <c r="S120" s="250">
        <v>0</v>
      </c>
    </row>
    <row r="121" spans="1:19" x14ac:dyDescent="0.35">
      <c r="A121" t="s">
        <v>72</v>
      </c>
      <c r="B121" s="4" t="s">
        <v>73</v>
      </c>
      <c r="C121" s="4" t="s">
        <v>145</v>
      </c>
      <c r="D121" s="4" t="s">
        <v>72</v>
      </c>
      <c r="J121" s="73" cm="1">
        <f t="array" ref="J121:K123">'MSUT H2'!AC253:AD255</f>
        <v>0</v>
      </c>
      <c r="K121" s="73">
        <v>0</v>
      </c>
      <c r="L121" s="74" cm="1">
        <f t="array" ref="L121:M121">'MSUT STEEL'!Y299:Z299</f>
        <v>0.04</v>
      </c>
      <c r="M121" s="74">
        <v>0.04</v>
      </c>
      <c r="N121" s="392" cm="1">
        <f t="array" ref="N121:O121">'MSUT STEEL'!AA299:AB299</f>
        <v>-0.26400000000000001</v>
      </c>
      <c r="O121" s="392">
        <v>-0.8528</v>
      </c>
      <c r="P121" s="392">
        <f>'MSUT STEEL'!AC299</f>
        <v>-0.8</v>
      </c>
      <c r="Q121" s="392">
        <f>'MSUT STEEL'!X299</f>
        <v>-5.2256119372476872E-2</v>
      </c>
      <c r="R121" s="74" cm="1">
        <f t="array" ref="R121:S123">'MSUT H2'!AE253:AF255</f>
        <v>9.2847034381941373E-3</v>
      </c>
      <c r="S121" s="251">
        <v>0</v>
      </c>
    </row>
    <row r="122" spans="1:19" x14ac:dyDescent="0.35">
      <c r="A122" t="s">
        <v>203</v>
      </c>
      <c r="B122" s="4" t="s">
        <v>73</v>
      </c>
      <c r="C122" s="4" t="s">
        <v>145</v>
      </c>
      <c r="D122" s="4" t="s">
        <v>203</v>
      </c>
      <c r="J122" s="73">
        <v>0</v>
      </c>
      <c r="K122" s="73">
        <v>0</v>
      </c>
      <c r="L122" s="73">
        <v>0</v>
      </c>
      <c r="M122" s="73">
        <v>0</v>
      </c>
      <c r="N122" s="73">
        <v>0</v>
      </c>
      <c r="O122" s="73">
        <v>0</v>
      </c>
      <c r="P122" s="73">
        <v>0</v>
      </c>
      <c r="Q122" s="73">
        <v>0</v>
      </c>
      <c r="R122" s="74">
        <v>1.0805744449389311E-5</v>
      </c>
      <c r="S122" s="251">
        <v>0</v>
      </c>
    </row>
    <row r="123" spans="1:19" x14ac:dyDescent="0.35">
      <c r="A123" t="s">
        <v>204</v>
      </c>
      <c r="B123" s="4" t="s">
        <v>73</v>
      </c>
      <c r="C123" s="4" t="s">
        <v>145</v>
      </c>
      <c r="D123" s="4" t="s">
        <v>204</v>
      </c>
      <c r="J123" s="73">
        <v>0</v>
      </c>
      <c r="K123" s="73">
        <v>0</v>
      </c>
      <c r="L123" s="73">
        <v>0</v>
      </c>
      <c r="M123" s="73">
        <v>0</v>
      </c>
      <c r="N123" s="73">
        <v>0</v>
      </c>
      <c r="O123" s="73">
        <v>0</v>
      </c>
      <c r="P123" s="73">
        <v>0</v>
      </c>
      <c r="Q123" s="73">
        <v>0</v>
      </c>
      <c r="R123" s="74">
        <v>1.9244424664985413E-8</v>
      </c>
      <c r="S123" s="251">
        <v>0</v>
      </c>
    </row>
  </sheetData>
  <phoneticPr fontId="1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EE05-7963-4AFF-A1B2-2782F2863343}">
  <dimension ref="A2:N257"/>
  <sheetViews>
    <sheetView showGridLines="0" zoomScale="68" zoomScaleNormal="68" workbookViewId="0">
      <pane xSplit="6" ySplit="4" topLeftCell="G5" activePane="bottomRight" state="frozen"/>
      <selection pane="topRight" activeCell="G1" sqref="G1"/>
      <selection pane="bottomLeft" activeCell="A7" sqref="A7"/>
      <selection pane="bottomRight" activeCell="D23" sqref="D23"/>
    </sheetView>
  </sheetViews>
  <sheetFormatPr defaultRowHeight="14.5" x14ac:dyDescent="0.35"/>
  <cols>
    <col min="3" max="3" width="23.54296875" bestFit="1" customWidth="1"/>
    <col min="4" max="4" width="49.81640625" style="77" bestFit="1" customWidth="1"/>
    <col min="5" max="5" width="28.81640625" style="77" bestFit="1" customWidth="1"/>
    <col min="6" max="6" width="7.81640625" style="17" customWidth="1"/>
    <col min="7" max="7" width="12" style="4" customWidth="1"/>
    <col min="8" max="8" width="9.7265625" style="4" bestFit="1" customWidth="1"/>
    <col min="9" max="10" width="12.453125" style="4" bestFit="1" customWidth="1"/>
    <col min="11" max="11" width="8.7265625" style="4" bestFit="1" customWidth="1"/>
    <col min="12" max="12" width="12.453125" style="17" bestFit="1" customWidth="1"/>
    <col min="13" max="13" width="9.7265625" style="4" bestFit="1" customWidth="1"/>
  </cols>
  <sheetData>
    <row r="2" spans="2:13" x14ac:dyDescent="0.35">
      <c r="C2" s="361" t="s">
        <v>205</v>
      </c>
      <c r="F2" s="16" t="s">
        <v>206</v>
      </c>
      <c r="G2" s="4" t="s">
        <v>73</v>
      </c>
      <c r="H2" s="4" t="s">
        <v>88</v>
      </c>
      <c r="I2" s="4" t="s">
        <v>90</v>
      </c>
      <c r="J2" s="4" t="s">
        <v>91</v>
      </c>
      <c r="K2" s="4" t="s">
        <v>92</v>
      </c>
      <c r="L2" s="17" t="s">
        <v>93</v>
      </c>
    </row>
    <row r="3" spans="2:13" x14ac:dyDescent="0.35">
      <c r="D3"/>
      <c r="G3"/>
      <c r="H3"/>
      <c r="I3"/>
      <c r="J3"/>
      <c r="K3"/>
      <c r="L3" s="20"/>
    </row>
    <row r="4" spans="2:13" s="6" customFormat="1" x14ac:dyDescent="0.35">
      <c r="C4" s="78" t="s">
        <v>207</v>
      </c>
      <c r="D4" s="78" t="s">
        <v>208</v>
      </c>
      <c r="E4" s="78" t="s">
        <v>68</v>
      </c>
      <c r="F4" s="79" t="s">
        <v>138</v>
      </c>
      <c r="G4" s="80"/>
      <c r="H4" s="80"/>
      <c r="I4" s="80"/>
      <c r="J4" s="80"/>
      <c r="K4" s="80"/>
      <c r="L4" s="79"/>
      <c r="M4" s="6" t="s">
        <v>209</v>
      </c>
    </row>
    <row r="5" spans="2:13" s="81" customFormat="1" x14ac:dyDescent="0.35">
      <c r="C5" s="82" t="s">
        <v>210</v>
      </c>
      <c r="D5" s="82" t="s">
        <v>211</v>
      </c>
      <c r="E5" s="82" t="s">
        <v>212</v>
      </c>
      <c r="F5" s="83" t="s">
        <v>213</v>
      </c>
      <c r="G5" s="387">
        <v>4.1000000000000002E-2</v>
      </c>
      <c r="H5" s="387">
        <v>0.55900000000000005</v>
      </c>
      <c r="I5" s="387">
        <v>2.1999999999999999E-2</v>
      </c>
      <c r="J5" s="387">
        <v>8.1000000000000003E-2</v>
      </c>
      <c r="K5" s="387">
        <v>2.5999999999999999E-2</v>
      </c>
      <c r="L5" s="388">
        <f>1-SUM(G5:K5)</f>
        <v>0.27099999999999991</v>
      </c>
      <c r="M5" s="84">
        <f t="shared" ref="M5:M10" si="0">SUM(G5:L5)</f>
        <v>1</v>
      </c>
    </row>
    <row r="6" spans="2:13" s="85" customFormat="1" x14ac:dyDescent="0.35">
      <c r="B6" s="257" t="s">
        <v>214</v>
      </c>
      <c r="C6" s="86" t="s">
        <v>215</v>
      </c>
      <c r="D6" s="86" t="s">
        <v>216</v>
      </c>
      <c r="E6" s="86" t="s">
        <v>217</v>
      </c>
      <c r="F6" s="87" t="s">
        <v>213</v>
      </c>
      <c r="G6" s="88" cm="1">
        <f t="array" ref="G6:L6">G40:L40</f>
        <v>7.1428571428571425E-2</v>
      </c>
      <c r="H6" s="88">
        <v>0.47619047619047616</v>
      </c>
      <c r="I6" s="88">
        <v>4.7619047619047616E-2</v>
      </c>
      <c r="J6" s="88">
        <v>9.5238095238095233E-2</v>
      </c>
      <c r="K6" s="88">
        <v>0.04</v>
      </c>
      <c r="L6" s="360">
        <v>0.26952380952380955</v>
      </c>
      <c r="M6" s="89">
        <f t="shared" si="0"/>
        <v>1</v>
      </c>
    </row>
    <row r="7" spans="2:13" s="95" customFormat="1" x14ac:dyDescent="0.35">
      <c r="B7" s="90" t="s">
        <v>218</v>
      </c>
      <c r="C7" s="91" t="s">
        <v>219</v>
      </c>
      <c r="D7" s="92" t="s">
        <v>220</v>
      </c>
      <c r="E7" s="91" t="s">
        <v>221</v>
      </c>
      <c r="F7" s="93" t="s">
        <v>213</v>
      </c>
      <c r="G7" s="94" cm="1">
        <f t="array" ref="G7:L7">G115:L115</f>
        <v>2.4757028829788148E-2</v>
      </c>
      <c r="H7" s="94">
        <v>0.58238618974543455</v>
      </c>
      <c r="I7" s="94">
        <v>1.1462140047227192E-2</v>
      </c>
      <c r="J7" s="94">
        <v>6.4820130044383195E-2</v>
      </c>
      <c r="K7" s="94">
        <v>4.4474626865671635E-2</v>
      </c>
      <c r="L7" s="368">
        <v>0.27209988446749522</v>
      </c>
      <c r="M7" s="94">
        <f t="shared" si="0"/>
        <v>1</v>
      </c>
    </row>
    <row r="8" spans="2:13" s="96" customFormat="1" x14ac:dyDescent="0.35">
      <c r="C8" s="97" t="s">
        <v>222</v>
      </c>
      <c r="D8" s="97" t="s">
        <v>223</v>
      </c>
      <c r="E8" s="97"/>
      <c r="F8" s="98" t="s">
        <v>213</v>
      </c>
      <c r="G8" s="100" cm="1">
        <f t="array" ref="G8:L8">_xlfn.ANCHORARRAY(G6)</f>
        <v>7.1428571428571425E-2</v>
      </c>
      <c r="H8" s="100">
        <v>0.47619047619047616</v>
      </c>
      <c r="I8" s="100">
        <v>4.7619047619047616E-2</v>
      </c>
      <c r="J8" s="100">
        <v>9.5238095238095233E-2</v>
      </c>
      <c r="K8" s="100">
        <v>0.04</v>
      </c>
      <c r="L8" s="356">
        <v>0.26952380952380955</v>
      </c>
      <c r="M8" s="99">
        <f t="shared" si="0"/>
        <v>1</v>
      </c>
    </row>
    <row r="9" spans="2:13" s="108" customFormat="1" x14ac:dyDescent="0.35">
      <c r="B9" s="101"/>
      <c r="C9" s="102" t="s">
        <v>225</v>
      </c>
      <c r="D9" s="102" t="s">
        <v>226</v>
      </c>
      <c r="E9" s="102" t="s">
        <v>227</v>
      </c>
      <c r="F9" s="103" t="s">
        <v>213</v>
      </c>
      <c r="G9" s="357">
        <f>1131/48490</f>
        <v>2.3324396782841823E-2</v>
      </c>
      <c r="H9" s="357">
        <f>25617/48490</f>
        <v>0.52829449371004333</v>
      </c>
      <c r="I9" s="357">
        <f>3353/48490</f>
        <v>6.9148277995462984E-2</v>
      </c>
      <c r="J9" s="357">
        <f>4172/48490</f>
        <v>8.6038358424417399E-2</v>
      </c>
      <c r="K9" s="357">
        <f>2598/48490</f>
        <v>5.3578057331408538E-2</v>
      </c>
      <c r="L9" s="107">
        <f>(48490-1131-25617-3353-4172-2598)/48490</f>
        <v>0.23961641575582596</v>
      </c>
      <c r="M9" s="104">
        <f t="shared" si="0"/>
        <v>1</v>
      </c>
    </row>
    <row r="10" spans="2:13" s="109" customFormat="1" x14ac:dyDescent="0.35">
      <c r="C10" s="110" t="s">
        <v>228</v>
      </c>
      <c r="D10" s="110" t="s">
        <v>229</v>
      </c>
      <c r="E10" s="110" t="s">
        <v>230</v>
      </c>
      <c r="F10" s="111" t="s">
        <v>213</v>
      </c>
      <c r="G10" s="113">
        <f>32.2/2476.9</f>
        <v>1.3000121119140862E-2</v>
      </c>
      <c r="H10" s="113">
        <f>266/2476.9</f>
        <v>0.10739230489725059</v>
      </c>
      <c r="I10" s="113">
        <f>48.7/2476.9</f>
        <v>1.9661673866526706E-2</v>
      </c>
      <c r="J10" s="113">
        <f>249.3/2476.9</f>
        <v>0.10065000605595704</v>
      </c>
      <c r="K10" s="113">
        <f>229.3/2476.9</f>
        <v>9.2575396665186327E-2</v>
      </c>
      <c r="L10" s="358">
        <f>1-SUM(G10:K10)</f>
        <v>0.66672049739593842</v>
      </c>
      <c r="M10" s="112">
        <f t="shared" si="0"/>
        <v>1</v>
      </c>
    </row>
    <row r="11" spans="2:13" s="119" customFormat="1" x14ac:dyDescent="0.35">
      <c r="B11" s="114" t="s">
        <v>231</v>
      </c>
      <c r="C11" s="115" t="s">
        <v>232</v>
      </c>
      <c r="D11" s="115" t="s">
        <v>233</v>
      </c>
      <c r="E11" s="115" t="s">
        <v>234</v>
      </c>
      <c r="F11" s="116" t="s">
        <v>213</v>
      </c>
      <c r="G11" s="117" cm="1">
        <f t="array" ref="G11:M11">'[1]Inputs by region '!$G$6:$M$6</f>
        <v>1</v>
      </c>
      <c r="H11" s="117">
        <v>0</v>
      </c>
      <c r="I11" s="117">
        <v>0</v>
      </c>
      <c r="J11" s="117">
        <v>0</v>
      </c>
      <c r="K11" s="117">
        <v>0</v>
      </c>
      <c r="L11" s="265">
        <v>0</v>
      </c>
      <c r="M11" s="117">
        <v>1</v>
      </c>
    </row>
    <row r="12" spans="2:13" s="120" customFormat="1" x14ac:dyDescent="0.35">
      <c r="C12" s="121" t="s">
        <v>235</v>
      </c>
      <c r="D12" s="121" t="s">
        <v>236</v>
      </c>
      <c r="E12" s="121" t="s">
        <v>237</v>
      </c>
      <c r="F12" s="122" t="s">
        <v>213</v>
      </c>
      <c r="G12" s="359" cm="1">
        <f t="array" ref="G12:L12">'[3]Imports by region'!$D$5:$I$5</f>
        <v>0.2086558149685778</v>
      </c>
      <c r="H12" s="359">
        <v>0.17326594323804065</v>
      </c>
      <c r="I12" s="359">
        <v>0.20862148436288905</v>
      </c>
      <c r="J12" s="359">
        <v>0.20083517722289576</v>
      </c>
      <c r="K12" s="359">
        <v>0</v>
      </c>
      <c r="L12" s="126">
        <v>0.20862158020759675</v>
      </c>
      <c r="M12" s="123">
        <f t="shared" ref="M12:M14" si="1">SUM(G12:L12)</f>
        <v>1</v>
      </c>
    </row>
    <row r="13" spans="2:13" s="13" customFormat="1" x14ac:dyDescent="0.35">
      <c r="B13" s="127"/>
      <c r="C13" s="128" t="s">
        <v>239</v>
      </c>
      <c r="D13" s="128" t="s">
        <v>226</v>
      </c>
      <c r="E13" s="128" t="s">
        <v>240</v>
      </c>
      <c r="F13" s="129" t="s">
        <v>213</v>
      </c>
      <c r="G13" s="130">
        <f>195/51256</f>
        <v>3.8044326517871077E-3</v>
      </c>
      <c r="H13" s="130">
        <f>2381/51256</f>
        <v>4.6453098173872324E-2</v>
      </c>
      <c r="I13" s="130">
        <f>8833/51256</f>
        <v>0.1723310441704386</v>
      </c>
      <c r="J13" s="130">
        <f>384/51256</f>
        <v>7.4918058373653817E-3</v>
      </c>
      <c r="K13" s="130">
        <f>6379/51256</f>
        <v>0.12445372249102545</v>
      </c>
      <c r="L13" s="131">
        <f>(51256-2381-384-8833-6379-195)/51256</f>
        <v>0.64546589667551113</v>
      </c>
      <c r="M13" s="130">
        <f t="shared" si="1"/>
        <v>1</v>
      </c>
    </row>
    <row r="14" spans="2:13" s="132" customFormat="1" x14ac:dyDescent="0.35">
      <c r="C14" s="133" t="s">
        <v>241</v>
      </c>
      <c r="D14" s="133" t="s">
        <v>242</v>
      </c>
      <c r="E14" s="133"/>
      <c r="F14" s="134" t="s">
        <v>213</v>
      </c>
      <c r="G14" s="135">
        <v>1</v>
      </c>
      <c r="H14" s="135">
        <v>0</v>
      </c>
      <c r="I14" s="135">
        <v>0</v>
      </c>
      <c r="J14" s="135">
        <v>0</v>
      </c>
      <c r="K14" s="135">
        <v>0</v>
      </c>
      <c r="L14" s="136">
        <v>0</v>
      </c>
      <c r="M14" s="135">
        <f t="shared" si="1"/>
        <v>1</v>
      </c>
    </row>
    <row r="15" spans="2:13" s="144" customFormat="1" x14ac:dyDescent="0.35">
      <c r="B15" s="138" t="s">
        <v>243</v>
      </c>
      <c r="C15" s="139" t="s">
        <v>197</v>
      </c>
      <c r="D15" s="139"/>
      <c r="E15" s="139" t="s">
        <v>244</v>
      </c>
      <c r="F15" s="140" t="s">
        <v>213</v>
      </c>
      <c r="G15" s="141" cm="1">
        <f t="array" ref="G15:G17">G67:G69</f>
        <v>0.10714000000000003</v>
      </c>
      <c r="H15" s="141">
        <v>0</v>
      </c>
      <c r="I15" s="141">
        <v>0</v>
      </c>
      <c r="J15" s="141">
        <v>0</v>
      </c>
      <c r="K15" s="141">
        <v>0</v>
      </c>
      <c r="L15" s="142">
        <v>0</v>
      </c>
      <c r="M15" s="143"/>
    </row>
    <row r="16" spans="2:13" s="144" customFormat="1" x14ac:dyDescent="0.35">
      <c r="B16" s="138"/>
      <c r="C16" s="139" t="s">
        <v>199</v>
      </c>
      <c r="D16" s="139" t="s">
        <v>245</v>
      </c>
      <c r="E16" s="139" t="s">
        <v>244</v>
      </c>
      <c r="F16" s="140" t="s">
        <v>213</v>
      </c>
      <c r="G16" s="141">
        <v>0.20286000000000001</v>
      </c>
      <c r="H16" s="141">
        <v>0</v>
      </c>
      <c r="I16" s="141">
        <v>0</v>
      </c>
      <c r="J16" s="141">
        <v>0</v>
      </c>
      <c r="K16" s="141">
        <v>0</v>
      </c>
      <c r="L16" s="142">
        <v>0</v>
      </c>
      <c r="M16" s="143"/>
    </row>
    <row r="17" spans="2:14" s="144" customFormat="1" x14ac:dyDescent="0.35">
      <c r="B17" s="138"/>
      <c r="C17" s="139" t="s">
        <v>201</v>
      </c>
      <c r="D17" s="139" t="s">
        <v>246</v>
      </c>
      <c r="E17" s="139" t="s">
        <v>244</v>
      </c>
      <c r="F17" s="140" t="s">
        <v>213</v>
      </c>
      <c r="G17" s="141">
        <v>0.69</v>
      </c>
      <c r="H17" s="141">
        <v>0</v>
      </c>
      <c r="I17" s="141">
        <v>0</v>
      </c>
      <c r="J17" s="141">
        <v>0</v>
      </c>
      <c r="K17" s="141">
        <v>0</v>
      </c>
      <c r="L17" s="142">
        <v>0</v>
      </c>
      <c r="M17" s="146">
        <f>SUM(_xlfn.ANCHORARRAY(G15))</f>
        <v>1</v>
      </c>
    </row>
    <row r="18" spans="2:14" s="153" customFormat="1" x14ac:dyDescent="0.35">
      <c r="B18" s="147" t="s">
        <v>247</v>
      </c>
      <c r="C18" s="148" t="s">
        <v>248</v>
      </c>
      <c r="D18" s="149" t="s">
        <v>249</v>
      </c>
      <c r="E18" s="148" t="s">
        <v>250</v>
      </c>
      <c r="F18" s="150" t="s">
        <v>213</v>
      </c>
      <c r="G18" s="151" cm="1">
        <f t="array" ref="G18:L18">G34:L34</f>
        <v>0.12306777645659929</v>
      </c>
      <c r="H18" s="151">
        <v>0</v>
      </c>
      <c r="I18" s="151">
        <v>0.19869203329369797</v>
      </c>
      <c r="J18" s="151">
        <v>0</v>
      </c>
      <c r="K18" s="151">
        <v>0</v>
      </c>
      <c r="L18" s="152">
        <v>0.67824019024970283</v>
      </c>
      <c r="M18" s="151">
        <f>SUM(G18:L18)</f>
        <v>1</v>
      </c>
    </row>
    <row r="19" spans="2:14" x14ac:dyDescent="0.35">
      <c r="C19" s="77"/>
    </row>
    <row r="20" spans="2:14" x14ac:dyDescent="0.35">
      <c r="E20" s="4"/>
      <c r="N20" s="160"/>
    </row>
    <row r="21" spans="2:14" x14ac:dyDescent="0.35">
      <c r="B21" s="154" t="s">
        <v>247</v>
      </c>
      <c r="C21" s="362" t="s">
        <v>251</v>
      </c>
      <c r="E21" s="4"/>
      <c r="N21" s="160"/>
    </row>
    <row r="22" spans="2:14" x14ac:dyDescent="0.35">
      <c r="B22" s="4"/>
      <c r="C22" s="19">
        <v>2023</v>
      </c>
      <c r="D22" s="253" t="s">
        <v>252</v>
      </c>
      <c r="E22" s="4"/>
      <c r="G22" s="4" t="s">
        <v>253</v>
      </c>
      <c r="H22" s="4" t="s">
        <v>254</v>
      </c>
      <c r="I22" s="4" t="s">
        <v>254</v>
      </c>
      <c r="J22" s="4" t="s">
        <v>254</v>
      </c>
      <c r="K22" s="4" t="s">
        <v>254</v>
      </c>
      <c r="L22" s="17" t="s">
        <v>254</v>
      </c>
      <c r="N22" s="160"/>
    </row>
    <row r="23" spans="2:14" x14ac:dyDescent="0.35">
      <c r="B23" s="4"/>
      <c r="D23" s="154"/>
      <c r="F23" s="17" t="s">
        <v>255</v>
      </c>
      <c r="G23" s="4">
        <f>9.5+11.2</f>
        <v>20.7</v>
      </c>
      <c r="H23" s="4" cm="1">
        <f t="array" ref="H23:L23">H29:L29</f>
        <v>0</v>
      </c>
      <c r="I23" s="4">
        <v>28.08</v>
      </c>
      <c r="J23" s="4">
        <v>0</v>
      </c>
      <c r="K23" s="4">
        <v>21.36</v>
      </c>
      <c r="L23" s="17">
        <v>98.06</v>
      </c>
      <c r="M23" s="4">
        <f>SUM(G23:L23)</f>
        <v>168.2</v>
      </c>
      <c r="N23" s="160"/>
    </row>
    <row r="24" spans="2:14" x14ac:dyDescent="0.35">
      <c r="B24" s="4"/>
      <c r="F24" s="17" t="s">
        <v>213</v>
      </c>
      <c r="G24" s="10">
        <f t="shared" ref="G24:L24" si="2">G23/$M$23</f>
        <v>0.12306777645659929</v>
      </c>
      <c r="H24" s="10">
        <f t="shared" si="2"/>
        <v>0</v>
      </c>
      <c r="I24" s="10">
        <f t="shared" si="2"/>
        <v>0.16694411414982163</v>
      </c>
      <c r="J24" s="10">
        <f t="shared" si="2"/>
        <v>0</v>
      </c>
      <c r="K24" s="10">
        <f t="shared" si="2"/>
        <v>0.12699167657550536</v>
      </c>
      <c r="L24" s="158">
        <f t="shared" si="2"/>
        <v>0.58299643281807378</v>
      </c>
      <c r="M24" s="159">
        <f>SUM(G24:L24)</f>
        <v>1</v>
      </c>
      <c r="N24" s="160"/>
    </row>
    <row r="25" spans="2:14" x14ac:dyDescent="0.35">
      <c r="B25" s="4"/>
      <c r="N25" s="160"/>
    </row>
    <row r="26" spans="2:14" x14ac:dyDescent="0.35">
      <c r="B26" s="4"/>
      <c r="F26" s="17" t="s">
        <v>256</v>
      </c>
      <c r="H26" s="4" t="s">
        <v>88</v>
      </c>
      <c r="I26" s="4" t="s">
        <v>90</v>
      </c>
      <c r="J26" s="4" t="s">
        <v>91</v>
      </c>
      <c r="K26" s="4" t="s">
        <v>92</v>
      </c>
      <c r="L26" s="17" t="s">
        <v>93</v>
      </c>
      <c r="N26" s="160"/>
    </row>
    <row r="27" spans="2:14" x14ac:dyDescent="0.35">
      <c r="E27" s="4" t="s">
        <v>257</v>
      </c>
      <c r="F27" s="17" t="s">
        <v>258</v>
      </c>
      <c r="H27" s="4">
        <v>0</v>
      </c>
      <c r="I27" s="4">
        <f>18/100*M27</f>
        <v>12.78</v>
      </c>
      <c r="J27" s="4">
        <v>0</v>
      </c>
      <c r="K27" s="4">
        <f>15/100*M27</f>
        <v>10.65</v>
      </c>
      <c r="L27" s="17">
        <f>(100-18-15)/100*M27</f>
        <v>47.57</v>
      </c>
      <c r="M27" s="4">
        <f>76.5-5.5</f>
        <v>71</v>
      </c>
      <c r="N27" s="160"/>
    </row>
    <row r="28" spans="2:14" x14ac:dyDescent="0.35">
      <c r="E28" s="4" t="s">
        <v>259</v>
      </c>
      <c r="F28" s="17" t="s">
        <v>258</v>
      </c>
      <c r="H28" s="4">
        <v>0</v>
      </c>
      <c r="I28" s="4">
        <f>20/100*M28</f>
        <v>15.3</v>
      </c>
      <c r="J28" s="4">
        <v>0</v>
      </c>
      <c r="K28" s="4">
        <f>14/100*M28</f>
        <v>10.71</v>
      </c>
      <c r="L28" s="17">
        <f>(100-20-14)/100*M28</f>
        <v>50.49</v>
      </c>
      <c r="M28" s="4">
        <v>76.5</v>
      </c>
      <c r="N28" s="160"/>
    </row>
    <row r="29" spans="2:14" x14ac:dyDescent="0.35">
      <c r="E29" s="4" t="s">
        <v>260</v>
      </c>
      <c r="F29" s="17" t="s">
        <v>258</v>
      </c>
      <c r="H29" s="4">
        <f>SUM(H27:H28)</f>
        <v>0</v>
      </c>
      <c r="I29" s="4">
        <f t="shared" ref="I29:L29" si="3">SUM(I27:I28)</f>
        <v>28.08</v>
      </c>
      <c r="J29" s="4">
        <f t="shared" si="3"/>
        <v>0</v>
      </c>
      <c r="K29" s="4">
        <f t="shared" si="3"/>
        <v>21.36</v>
      </c>
      <c r="L29" s="17">
        <f t="shared" si="3"/>
        <v>98.06</v>
      </c>
      <c r="M29" s="4">
        <f>SUM(M27:M28)</f>
        <v>147.5</v>
      </c>
      <c r="N29" s="160"/>
    </row>
    <row r="30" spans="2:14" x14ac:dyDescent="0.35">
      <c r="B30" s="4"/>
      <c r="N30" s="160"/>
    </row>
    <row r="31" spans="2:14" x14ac:dyDescent="0.35">
      <c r="C31" s="19">
        <v>2030</v>
      </c>
      <c r="D31" s="77" t="s">
        <v>261</v>
      </c>
      <c r="E31" s="4"/>
      <c r="F31" s="4"/>
      <c r="G31" s="558" t="s">
        <v>262</v>
      </c>
      <c r="H31" s="559"/>
      <c r="I31" s="559"/>
      <c r="J31" s="559"/>
      <c r="K31" s="559"/>
      <c r="L31" s="560"/>
      <c r="N31" s="160"/>
    </row>
    <row r="32" spans="2:14" x14ac:dyDescent="0.35">
      <c r="E32" s="4"/>
      <c r="M32" s="354"/>
      <c r="N32" s="160"/>
    </row>
    <row r="33" spans="2:14" x14ac:dyDescent="0.35">
      <c r="B33" s="154"/>
      <c r="C33" s="255" t="s">
        <v>263</v>
      </c>
      <c r="G33" s="4" t="s">
        <v>253</v>
      </c>
      <c r="H33" s="4" t="s">
        <v>254</v>
      </c>
      <c r="I33" s="4" t="s">
        <v>254</v>
      </c>
      <c r="J33" s="4" t="s">
        <v>254</v>
      </c>
      <c r="K33" s="4" t="s">
        <v>254</v>
      </c>
      <c r="L33" s="17" t="s">
        <v>254</v>
      </c>
      <c r="N33" s="160"/>
    </row>
    <row r="34" spans="2:14" x14ac:dyDescent="0.35">
      <c r="B34" s="154"/>
      <c r="C34" s="255" t="s">
        <v>264</v>
      </c>
      <c r="F34" s="17" t="s">
        <v>213</v>
      </c>
      <c r="G34" s="10">
        <f>G24</f>
        <v>0.12306777645659929</v>
      </c>
      <c r="H34" s="10">
        <v>0</v>
      </c>
      <c r="I34" s="10">
        <f>I24+1/4*K24</f>
        <v>0.19869203329369797</v>
      </c>
      <c r="J34" s="10">
        <v>0</v>
      </c>
      <c r="K34" s="355">
        <v>0</v>
      </c>
      <c r="L34" s="158">
        <f>L24+K24*3/4</f>
        <v>0.67824019024970283</v>
      </c>
      <c r="M34" s="10">
        <f>SUM(G34:L34)</f>
        <v>1</v>
      </c>
      <c r="N34" s="160"/>
    </row>
    <row r="35" spans="2:14" x14ac:dyDescent="0.35">
      <c r="B35" s="154"/>
      <c r="C35" s="255"/>
      <c r="E35" s="4"/>
      <c r="F35" s="4"/>
      <c r="N35" s="160"/>
    </row>
    <row r="36" spans="2:14" x14ac:dyDescent="0.35">
      <c r="B36" s="154"/>
      <c r="C36" s="4"/>
      <c r="E36" s="4"/>
      <c r="F36" s="4"/>
      <c r="N36" s="160"/>
    </row>
    <row r="37" spans="2:14" x14ac:dyDescent="0.35">
      <c r="B37" s="154" t="s">
        <v>214</v>
      </c>
      <c r="C37" s="362" t="s">
        <v>265</v>
      </c>
      <c r="D37" s="4"/>
      <c r="E37" s="4"/>
      <c r="F37" s="4"/>
      <c r="N37" s="160"/>
    </row>
    <row r="38" spans="2:14" x14ac:dyDescent="0.35">
      <c r="B38" s="4"/>
      <c r="C38" s="4"/>
      <c r="D38" s="255"/>
      <c r="E38" s="4"/>
      <c r="F38" s="4"/>
      <c r="N38" s="161"/>
    </row>
    <row r="39" spans="2:14" x14ac:dyDescent="0.35">
      <c r="B39" s="4"/>
      <c r="C39" s="4"/>
      <c r="D39" s="4"/>
      <c r="E39" s="77" t="s">
        <v>266</v>
      </c>
      <c r="F39" s="17" t="s">
        <v>267</v>
      </c>
      <c r="G39" s="4">
        <v>0.15</v>
      </c>
      <c r="H39" s="4">
        <v>1</v>
      </c>
      <c r="I39" s="4">
        <v>0.1</v>
      </c>
      <c r="J39" s="4">
        <v>0.2</v>
      </c>
      <c r="K39" s="256">
        <f>M39*4/100</f>
        <v>8.4000000000000005E-2</v>
      </c>
      <c r="L39" s="163">
        <f>0.6+0.05-K39</f>
        <v>0.56600000000000006</v>
      </c>
      <c r="M39" s="4">
        <v>2.1</v>
      </c>
      <c r="N39" s="161"/>
    </row>
    <row r="40" spans="2:14" x14ac:dyDescent="0.35">
      <c r="B40" s="4"/>
      <c r="C40" s="4"/>
      <c r="F40" s="17" t="s">
        <v>213</v>
      </c>
      <c r="G40" s="10">
        <f t="shared" ref="G40:L40" si="4">G39/$M39</f>
        <v>7.1428571428571425E-2</v>
      </c>
      <c r="H40" s="10">
        <f t="shared" si="4"/>
        <v>0.47619047619047616</v>
      </c>
      <c r="I40" s="10">
        <f t="shared" si="4"/>
        <v>4.7619047619047616E-2</v>
      </c>
      <c r="J40" s="10">
        <f t="shared" si="4"/>
        <v>9.5238095238095233E-2</v>
      </c>
      <c r="K40" s="10">
        <f t="shared" si="4"/>
        <v>0.04</v>
      </c>
      <c r="L40" s="158">
        <f t="shared" si="4"/>
        <v>0.26952380952380955</v>
      </c>
      <c r="M40" s="11">
        <f>SUM(G40:L40)</f>
        <v>1</v>
      </c>
      <c r="N40" s="161"/>
    </row>
    <row r="41" spans="2:14" x14ac:dyDescent="0.35">
      <c r="B41" s="4"/>
      <c r="C41" s="4"/>
      <c r="N41" s="161"/>
    </row>
    <row r="42" spans="2:14" x14ac:dyDescent="0.35">
      <c r="B42" s="4"/>
      <c r="C42" s="4"/>
      <c r="N42" s="161"/>
    </row>
    <row r="43" spans="2:14" x14ac:dyDescent="0.35">
      <c r="B43" s="4"/>
      <c r="C43" s="4"/>
      <c r="N43" s="161"/>
    </row>
    <row r="44" spans="2:14" x14ac:dyDescent="0.35">
      <c r="B44" s="4"/>
      <c r="C44" s="4"/>
      <c r="E44" s="77" t="s">
        <v>268</v>
      </c>
      <c r="F44" s="17" t="s">
        <v>267</v>
      </c>
      <c r="G44" s="4">
        <f>1.9-1.75</f>
        <v>0.14999999999999991</v>
      </c>
      <c r="H44" s="4">
        <f>1.5-0.6</f>
        <v>0.9</v>
      </c>
      <c r="I44" s="4">
        <v>0.05</v>
      </c>
      <c r="J44" s="4">
        <f>1.7-1.5</f>
        <v>0.19999999999999996</v>
      </c>
      <c r="K44" s="256">
        <f>M44*4/100</f>
        <v>7.8E-2</v>
      </c>
      <c r="L44" s="163">
        <f>0.6+0.05-K44</f>
        <v>0.57200000000000006</v>
      </c>
      <c r="M44" s="4">
        <v>1.95</v>
      </c>
      <c r="N44" s="161"/>
    </row>
    <row r="45" spans="2:14" x14ac:dyDescent="0.35">
      <c r="B45" s="4"/>
      <c r="C45" s="4"/>
      <c r="F45" s="17" t="s">
        <v>213</v>
      </c>
      <c r="G45" s="10">
        <f t="shared" ref="G45:L45" si="5">G44/$M44</f>
        <v>7.6923076923076886E-2</v>
      </c>
      <c r="H45" s="10">
        <f t="shared" si="5"/>
        <v>0.46153846153846156</v>
      </c>
      <c r="I45" s="10">
        <f t="shared" si="5"/>
        <v>2.5641025641025644E-2</v>
      </c>
      <c r="J45" s="10">
        <f t="shared" si="5"/>
        <v>0.10256410256410255</v>
      </c>
      <c r="K45" s="10">
        <f t="shared" si="5"/>
        <v>0.04</v>
      </c>
      <c r="L45" s="158">
        <f t="shared" si="5"/>
        <v>0.29333333333333339</v>
      </c>
      <c r="M45" s="11">
        <f>SUM(G45:L45)</f>
        <v>1</v>
      </c>
      <c r="N45" s="161"/>
    </row>
    <row r="46" spans="2:14" x14ac:dyDescent="0.35">
      <c r="B46" s="4"/>
      <c r="C46" s="4"/>
      <c r="N46" s="161"/>
    </row>
    <row r="47" spans="2:14" x14ac:dyDescent="0.35">
      <c r="B47" s="4"/>
      <c r="C47" s="4"/>
      <c r="D47" s="4"/>
      <c r="E47" s="4"/>
      <c r="F47" s="4"/>
      <c r="N47" s="161"/>
    </row>
    <row r="48" spans="2:14" x14ac:dyDescent="0.35">
      <c r="B48" s="162" t="s">
        <v>243</v>
      </c>
      <c r="C48" s="362" t="s">
        <v>269</v>
      </c>
      <c r="D48" s="4"/>
      <c r="E48" s="4"/>
      <c r="F48" s="4"/>
      <c r="N48" s="161"/>
    </row>
    <row r="49" spans="2:14" x14ac:dyDescent="0.35">
      <c r="B49" s="162"/>
      <c r="C49" s="362"/>
      <c r="D49" s="4"/>
      <c r="E49" s="4"/>
      <c r="F49" s="4"/>
      <c r="N49" s="161"/>
    </row>
    <row r="50" spans="2:14" x14ac:dyDescent="0.35">
      <c r="B50" s="154"/>
      <c r="C50" s="19">
        <v>2022</v>
      </c>
      <c r="D50" s="4"/>
      <c r="E50" s="4"/>
      <c r="F50" s="4"/>
      <c r="N50" s="161"/>
    </row>
    <row r="51" spans="2:14" x14ac:dyDescent="0.35">
      <c r="B51" s="154"/>
      <c r="C51" t="s">
        <v>270</v>
      </c>
      <c r="N51" s="161"/>
    </row>
    <row r="52" spans="2:14" x14ac:dyDescent="0.35">
      <c r="B52" s="154"/>
      <c r="C52" t="s">
        <v>271</v>
      </c>
      <c r="D52" s="77" t="s">
        <v>272</v>
      </c>
      <c r="E52" s="77" t="s">
        <v>273</v>
      </c>
      <c r="F52" s="17" t="s">
        <v>274</v>
      </c>
      <c r="G52" s="164">
        <f>556.16+461.21+43.93</f>
        <v>1061.3</v>
      </c>
      <c r="N52" s="161"/>
    </row>
    <row r="53" spans="2:14" x14ac:dyDescent="0.35">
      <c r="B53" s="154"/>
      <c r="C53" s="166" t="s">
        <v>275</v>
      </c>
      <c r="D53" s="77" t="s">
        <v>272</v>
      </c>
      <c r="E53" s="77" t="s">
        <v>273</v>
      </c>
      <c r="F53" s="17" t="s">
        <v>274</v>
      </c>
      <c r="G53" s="164">
        <v>608.58000000000004</v>
      </c>
      <c r="N53" s="161"/>
    </row>
    <row r="54" spans="2:14" x14ac:dyDescent="0.35">
      <c r="B54" s="154"/>
      <c r="C54" s="166" t="s">
        <v>276</v>
      </c>
      <c r="D54" s="77" t="s">
        <v>272</v>
      </c>
      <c r="E54" s="77" t="s">
        <v>273</v>
      </c>
      <c r="F54" s="17" t="s">
        <v>274</v>
      </c>
      <c r="G54" s="164">
        <f>420.48+276.86+207.24</f>
        <v>904.58</v>
      </c>
      <c r="N54" s="161"/>
    </row>
    <row r="55" spans="2:14" x14ac:dyDescent="0.35">
      <c r="B55" s="154"/>
      <c r="F55" s="17" t="s">
        <v>274</v>
      </c>
      <c r="G55" s="164">
        <f>SUM(G52:G54)</f>
        <v>2574.46</v>
      </c>
      <c r="N55" s="161"/>
    </row>
    <row r="56" spans="2:14" x14ac:dyDescent="0.35">
      <c r="B56" s="154"/>
      <c r="C56" t="s">
        <v>277</v>
      </c>
      <c r="G56" s="164"/>
      <c r="N56" s="161"/>
    </row>
    <row r="57" spans="2:14" x14ac:dyDescent="0.35">
      <c r="B57" s="154"/>
      <c r="C57" t="s">
        <v>271</v>
      </c>
      <c r="D57" s="77" t="s">
        <v>272</v>
      </c>
      <c r="E57" s="77" t="s">
        <v>273</v>
      </c>
      <c r="F57" s="17" t="s">
        <v>213</v>
      </c>
      <c r="G57" s="159">
        <f>G52/$G$55</f>
        <v>0.41224179051140819</v>
      </c>
      <c r="N57" s="161"/>
    </row>
    <row r="58" spans="2:14" x14ac:dyDescent="0.35">
      <c r="B58" s="154"/>
      <c r="C58" s="166" t="s">
        <v>275</v>
      </c>
      <c r="D58" s="77" t="s">
        <v>272</v>
      </c>
      <c r="E58" s="77" t="s">
        <v>273</v>
      </c>
      <c r="F58" s="17" t="s">
        <v>213</v>
      </c>
      <c r="G58" s="159">
        <f>G53/$G$55</f>
        <v>0.23639132089836318</v>
      </c>
      <c r="N58" s="161"/>
    </row>
    <row r="59" spans="2:14" x14ac:dyDescent="0.35">
      <c r="B59" s="154"/>
      <c r="C59" s="166" t="s">
        <v>276</v>
      </c>
      <c r="D59" s="77" t="s">
        <v>272</v>
      </c>
      <c r="E59" s="77" t="s">
        <v>273</v>
      </c>
      <c r="F59" s="17" t="s">
        <v>213</v>
      </c>
      <c r="G59" s="159">
        <f>G54/$G$55</f>
        <v>0.35136688859022863</v>
      </c>
      <c r="N59" s="161"/>
    </row>
    <row r="60" spans="2:14" x14ac:dyDescent="0.35">
      <c r="B60" s="154"/>
      <c r="C60" s="166"/>
      <c r="F60" s="4"/>
      <c r="G60" s="159"/>
      <c r="N60" s="161"/>
    </row>
    <row r="61" spans="2:14" x14ac:dyDescent="0.35">
      <c r="B61" s="154"/>
      <c r="C61" s="155" t="s">
        <v>278</v>
      </c>
      <c r="F61" s="4"/>
      <c r="G61" s="159"/>
      <c r="N61" s="161"/>
    </row>
    <row r="62" spans="2:14" x14ac:dyDescent="0.35">
      <c r="D62" s="4"/>
      <c r="E62" s="4"/>
      <c r="F62" s="4"/>
    </row>
    <row r="63" spans="2:14" x14ac:dyDescent="0.35">
      <c r="C63" s="19">
        <v>2030</v>
      </c>
    </row>
    <row r="64" spans="2:14" x14ac:dyDescent="0.35">
      <c r="C64" s="166" t="s">
        <v>279</v>
      </c>
      <c r="D64" s="77" t="s">
        <v>280</v>
      </c>
      <c r="F64" s="17" t="s">
        <v>274</v>
      </c>
      <c r="G64" s="164">
        <v>3000</v>
      </c>
      <c r="L64" s="163"/>
      <c r="M64" s="164"/>
    </row>
    <row r="65" spans="2:13" x14ac:dyDescent="0.35">
      <c r="C65" s="166"/>
      <c r="G65" s="164"/>
      <c r="L65" s="163"/>
      <c r="M65" s="164"/>
    </row>
    <row r="66" spans="2:13" x14ac:dyDescent="0.35">
      <c r="C66" s="166" t="s">
        <v>277</v>
      </c>
      <c r="H66" s="164"/>
      <c r="I66" s="164"/>
      <c r="J66" s="164"/>
      <c r="K66" s="164"/>
      <c r="L66" s="165"/>
      <c r="M66" s="164"/>
    </row>
    <row r="67" spans="2:13" x14ac:dyDescent="0.35">
      <c r="C67" t="s">
        <v>281</v>
      </c>
      <c r="F67" s="17" t="s">
        <v>213</v>
      </c>
      <c r="G67" s="159">
        <f>G72/$G$64</f>
        <v>0.10714000000000003</v>
      </c>
      <c r="H67" s="164"/>
      <c r="I67" s="164"/>
      <c r="J67" s="164"/>
      <c r="K67" s="164"/>
      <c r="L67" s="165"/>
      <c r="M67" s="164"/>
    </row>
    <row r="68" spans="2:13" x14ac:dyDescent="0.35">
      <c r="C68" t="s">
        <v>282</v>
      </c>
      <c r="F68" s="17" t="s">
        <v>213</v>
      </c>
      <c r="G68" s="159">
        <f>G73/$G$64</f>
        <v>0.20286000000000001</v>
      </c>
      <c r="H68" s="164"/>
      <c r="I68" s="164"/>
      <c r="J68" s="164"/>
      <c r="K68" s="164"/>
      <c r="L68" s="165"/>
      <c r="M68" s="164"/>
    </row>
    <row r="69" spans="2:13" x14ac:dyDescent="0.35">
      <c r="C69" t="s">
        <v>283</v>
      </c>
      <c r="D69" s="77" t="s">
        <v>284</v>
      </c>
      <c r="E69" s="77" t="s">
        <v>246</v>
      </c>
      <c r="F69" s="17" t="s">
        <v>213</v>
      </c>
      <c r="G69" s="159">
        <v>0.69</v>
      </c>
      <c r="H69" s="164"/>
      <c r="I69" s="164"/>
      <c r="J69" s="164"/>
      <c r="K69" s="164"/>
      <c r="L69" s="165"/>
    </row>
    <row r="70" spans="2:13" x14ac:dyDescent="0.35">
      <c r="H70" s="164"/>
      <c r="I70" s="164"/>
      <c r="J70" s="164"/>
      <c r="K70" s="164"/>
      <c r="L70" s="165"/>
    </row>
    <row r="71" spans="2:13" x14ac:dyDescent="0.35">
      <c r="C71" s="166" t="s">
        <v>277</v>
      </c>
      <c r="H71" s="164"/>
      <c r="I71" s="164"/>
      <c r="J71" s="164"/>
      <c r="K71" s="164"/>
      <c r="L71" s="165"/>
    </row>
    <row r="72" spans="2:13" x14ac:dyDescent="0.35">
      <c r="C72" t="s">
        <v>281</v>
      </c>
      <c r="F72" s="17" t="s">
        <v>274</v>
      </c>
      <c r="G72" s="164">
        <f>G64-SUM(G73:G74)</f>
        <v>321.42000000000007</v>
      </c>
      <c r="H72" s="164"/>
      <c r="I72" s="164"/>
      <c r="J72" s="164"/>
      <c r="K72" s="164"/>
      <c r="L72" s="165"/>
    </row>
    <row r="73" spans="2:13" x14ac:dyDescent="0.35">
      <c r="C73" t="s">
        <v>282</v>
      </c>
      <c r="D73" s="77" t="s">
        <v>285</v>
      </c>
      <c r="F73" s="17" t="s">
        <v>274</v>
      </c>
      <c r="G73" s="164">
        <f>G53</f>
        <v>608.58000000000004</v>
      </c>
      <c r="H73" s="167"/>
      <c r="I73" s="167"/>
      <c r="J73" s="167"/>
      <c r="K73" s="167"/>
      <c r="L73" s="168"/>
    </row>
    <row r="74" spans="2:13" x14ac:dyDescent="0.35">
      <c r="C74" t="s">
        <v>283</v>
      </c>
      <c r="D74" s="77" t="s">
        <v>284</v>
      </c>
      <c r="E74" s="77" t="s">
        <v>246</v>
      </c>
      <c r="F74" s="17" t="s">
        <v>274</v>
      </c>
      <c r="G74" s="164">
        <f>G69*G64</f>
        <v>2070</v>
      </c>
      <c r="H74" s="167"/>
      <c r="I74" s="167"/>
      <c r="J74" s="167"/>
      <c r="K74" s="167"/>
      <c r="L74" s="168"/>
    </row>
    <row r="75" spans="2:13" x14ac:dyDescent="0.35">
      <c r="H75" s="167"/>
      <c r="I75" s="167"/>
      <c r="J75" s="167"/>
      <c r="K75" s="167"/>
      <c r="L75" s="168"/>
      <c r="M75" s="164"/>
    </row>
    <row r="77" spans="2:13" x14ac:dyDescent="0.35">
      <c r="B77" s="162" t="s">
        <v>218</v>
      </c>
      <c r="C77" s="364" t="s">
        <v>286</v>
      </c>
    </row>
    <row r="78" spans="2:13" x14ac:dyDescent="0.35">
      <c r="D78" s="77" t="s">
        <v>287</v>
      </c>
    </row>
    <row r="79" spans="2:13" x14ac:dyDescent="0.35">
      <c r="C79" s="8" t="s">
        <v>288</v>
      </c>
      <c r="D79" s="170">
        <v>25724</v>
      </c>
    </row>
    <row r="80" spans="2:13" x14ac:dyDescent="0.35">
      <c r="C80" s="18" t="s">
        <v>92</v>
      </c>
      <c r="D80" s="171">
        <v>3640000</v>
      </c>
    </row>
    <row r="81" spans="3:5" x14ac:dyDescent="0.35">
      <c r="C81" s="77" t="s">
        <v>289</v>
      </c>
      <c r="D81" s="172">
        <v>262500</v>
      </c>
      <c r="E81" s="173"/>
    </row>
    <row r="82" spans="3:5" x14ac:dyDescent="0.35">
      <c r="C82" s="174" t="s">
        <v>290</v>
      </c>
      <c r="D82" s="175">
        <v>61000</v>
      </c>
      <c r="E82" s="173"/>
    </row>
    <row r="83" spans="3:5" x14ac:dyDescent="0.35">
      <c r="C83" s="176" t="s">
        <v>291</v>
      </c>
      <c r="D83" s="177">
        <f>SUM(D79:D82)</f>
        <v>3989224</v>
      </c>
      <c r="E83" s="173"/>
    </row>
    <row r="84" spans="3:5" x14ac:dyDescent="0.35">
      <c r="C84" s="77" t="s">
        <v>292</v>
      </c>
      <c r="D84" s="172">
        <v>163995</v>
      </c>
      <c r="E84" s="173"/>
    </row>
    <row r="85" spans="3:5" x14ac:dyDescent="0.35">
      <c r="C85" s="77" t="s">
        <v>293</v>
      </c>
      <c r="D85" s="172">
        <v>37867</v>
      </c>
      <c r="E85" s="173"/>
    </row>
    <row r="86" spans="3:5" x14ac:dyDescent="0.35">
      <c r="C86" s="77" t="s">
        <v>294</v>
      </c>
      <c r="D86" s="172">
        <v>190000</v>
      </c>
      <c r="E86" s="173"/>
    </row>
    <row r="87" spans="3:5" x14ac:dyDescent="0.35">
      <c r="C87" s="77" t="s">
        <v>295</v>
      </c>
      <c r="D87" s="172">
        <v>124000</v>
      </c>
      <c r="E87" s="173"/>
    </row>
    <row r="88" spans="3:5" x14ac:dyDescent="0.35">
      <c r="C88" t="s">
        <v>296</v>
      </c>
      <c r="D88" s="172">
        <v>440000</v>
      </c>
      <c r="E88" s="173"/>
    </row>
    <row r="89" spans="3:5" x14ac:dyDescent="0.35">
      <c r="C89" s="77" t="s">
        <v>297</v>
      </c>
      <c r="D89" s="172">
        <v>520000</v>
      </c>
      <c r="E89" s="173"/>
    </row>
    <row r="90" spans="3:5" x14ac:dyDescent="0.35">
      <c r="C90" s="77" t="s">
        <v>298</v>
      </c>
      <c r="D90" s="172">
        <v>183775</v>
      </c>
      <c r="E90" s="173"/>
    </row>
    <row r="91" spans="3:5" x14ac:dyDescent="0.35">
      <c r="C91" s="77" t="s">
        <v>299</v>
      </c>
      <c r="D91" s="172">
        <v>46700</v>
      </c>
    </row>
    <row r="92" spans="3:5" x14ac:dyDescent="0.35">
      <c r="C92" s="77" t="s">
        <v>300</v>
      </c>
      <c r="D92" s="172">
        <v>293399</v>
      </c>
    </row>
    <row r="93" spans="3:5" x14ac:dyDescent="0.35">
      <c r="C93" s="178" t="s">
        <v>301</v>
      </c>
      <c r="D93" s="179">
        <f>SUM(D84:D92)</f>
        <v>1999736</v>
      </c>
    </row>
    <row r="94" spans="3:5" x14ac:dyDescent="0.35">
      <c r="C94" s="178" t="s">
        <v>90</v>
      </c>
      <c r="D94" s="179">
        <v>907846</v>
      </c>
    </row>
    <row r="95" spans="3:5" x14ac:dyDescent="0.35">
      <c r="C95" s="18" t="s">
        <v>88</v>
      </c>
      <c r="D95" s="171">
        <v>38502600</v>
      </c>
    </row>
    <row r="96" spans="3:5" x14ac:dyDescent="0.35">
      <c r="C96" s="178" t="s">
        <v>91</v>
      </c>
      <c r="D96" s="179">
        <v>3583800</v>
      </c>
    </row>
    <row r="97" spans="3:13" x14ac:dyDescent="0.35">
      <c r="C97" s="77" t="s">
        <v>302</v>
      </c>
      <c r="D97" s="172">
        <v>67000000</v>
      </c>
    </row>
    <row r="102" spans="3:13" x14ac:dyDescent="0.35">
      <c r="C102" s="18" t="s">
        <v>303</v>
      </c>
      <c r="E102" s="77" t="s">
        <v>304</v>
      </c>
      <c r="F102" s="17" t="s">
        <v>305</v>
      </c>
      <c r="G102" s="164">
        <f>SUM(D104:D128)+SUM(D130:D131)</f>
        <v>18692135</v>
      </c>
      <c r="H102" s="164" cm="1">
        <f t="array" ref="H102:K102">TRANSPOSE(D134:D137)</f>
        <v>25502874</v>
      </c>
      <c r="I102" s="164">
        <v>20832766</v>
      </c>
      <c r="J102" s="164">
        <v>9262348</v>
      </c>
      <c r="K102" s="164">
        <v>1840000</v>
      </c>
      <c r="L102" s="165">
        <f>D140-SUM(G102:K102)</f>
        <v>10722537</v>
      </c>
    </row>
    <row r="103" spans="3:13" x14ac:dyDescent="0.35">
      <c r="C103" s="18" t="s">
        <v>306</v>
      </c>
    </row>
    <row r="104" spans="3:13" x14ac:dyDescent="0.35">
      <c r="C104" s="77" t="s">
        <v>297</v>
      </c>
      <c r="D104" s="172">
        <v>4123633</v>
      </c>
      <c r="E104" s="77" t="s">
        <v>307</v>
      </c>
      <c r="F104" s="17" t="s">
        <v>305</v>
      </c>
      <c r="G104" s="164">
        <f>SUM(D145:D169)+SUM(D171:D172)</f>
        <v>21706390.149999999</v>
      </c>
      <c r="H104" s="164" cm="1">
        <f t="array" ref="H104:K104">TRANSPOSE(D175:D178)</f>
        <v>36183700</v>
      </c>
      <c r="I104" s="164">
        <v>24671940</v>
      </c>
      <c r="J104" s="164">
        <v>15714120</v>
      </c>
      <c r="K104" s="164">
        <v>2108781.5384615385</v>
      </c>
      <c r="L104" s="165">
        <f>D181-SUM(G104:K104)</f>
        <v>9196401.3361538351</v>
      </c>
    </row>
    <row r="105" spans="3:13" x14ac:dyDescent="0.35">
      <c r="C105" s="77" t="s">
        <v>296</v>
      </c>
      <c r="D105" s="172">
        <v>2866851</v>
      </c>
    </row>
    <row r="106" spans="3:13" x14ac:dyDescent="0.35">
      <c r="C106" s="77" t="s">
        <v>308</v>
      </c>
      <c r="D106" s="172">
        <v>2305069</v>
      </c>
      <c r="F106" s="366" t="s">
        <v>24</v>
      </c>
      <c r="G106" s="367">
        <f>G104/G102-1</f>
        <v>0.16125793816490197</v>
      </c>
      <c r="H106" s="10">
        <f t="shared" ref="H106:L106" si="6">H104/H102-1</f>
        <v>0.41880871936237463</v>
      </c>
      <c r="I106" s="10">
        <f t="shared" si="6"/>
        <v>0.18428537045920845</v>
      </c>
      <c r="J106" s="10">
        <f t="shared" si="6"/>
        <v>0.69655901505752116</v>
      </c>
      <c r="K106" s="10">
        <f t="shared" si="6"/>
        <v>0.14607692307692299</v>
      </c>
      <c r="L106" s="158">
        <f t="shared" si="6"/>
        <v>-0.14232971766347502</v>
      </c>
    </row>
    <row r="107" spans="3:13" x14ac:dyDescent="0.35">
      <c r="C107" s="77" t="s">
        <v>294</v>
      </c>
      <c r="D107" s="172">
        <v>1696716</v>
      </c>
    </row>
    <row r="108" spans="3:13" x14ac:dyDescent="0.35">
      <c r="C108" s="77" t="s">
        <v>309</v>
      </c>
      <c r="D108" s="172">
        <v>1275889</v>
      </c>
      <c r="E108" s="77" t="s">
        <v>310</v>
      </c>
      <c r="F108" s="17" t="s">
        <v>145</v>
      </c>
      <c r="G108" s="164">
        <f>D93</f>
        <v>1999736</v>
      </c>
      <c r="H108" s="164">
        <f>D95</f>
        <v>38502600</v>
      </c>
      <c r="I108" s="164">
        <f>D94</f>
        <v>907846</v>
      </c>
      <c r="J108" s="164">
        <f>D96</f>
        <v>3583800</v>
      </c>
      <c r="K108" s="164">
        <f>D80</f>
        <v>3640000</v>
      </c>
      <c r="L108" s="165">
        <f>D97-SUM(G108:K108)</f>
        <v>18366018</v>
      </c>
      <c r="M108" s="164">
        <f>D97</f>
        <v>67000000</v>
      </c>
    </row>
    <row r="109" spans="3:13" x14ac:dyDescent="0.35">
      <c r="C109" s="77" t="s">
        <v>299</v>
      </c>
      <c r="D109" s="172">
        <v>953913</v>
      </c>
      <c r="F109" s="17" t="s">
        <v>213</v>
      </c>
      <c r="G109" s="367">
        <f>G108/$M$108</f>
        <v>2.9846805970149253E-2</v>
      </c>
      <c r="H109" s="10">
        <f t="shared" ref="H109:K109" si="7">H108/$M$108</f>
        <v>0.57466567164179105</v>
      </c>
      <c r="I109" s="10">
        <f t="shared" si="7"/>
        <v>1.3549940298507463E-2</v>
      </c>
      <c r="J109" s="10">
        <f t="shared" si="7"/>
        <v>5.3489552238805971E-2</v>
      </c>
      <c r="K109" s="10">
        <f t="shared" si="7"/>
        <v>5.4328358208955221E-2</v>
      </c>
      <c r="L109" s="158">
        <f>L108/$M$108</f>
        <v>0.27411967164179102</v>
      </c>
    </row>
    <row r="110" spans="3:13" x14ac:dyDescent="0.35">
      <c r="C110" s="77" t="s">
        <v>311</v>
      </c>
      <c r="D110" s="172">
        <v>317472</v>
      </c>
    </row>
    <row r="111" spans="3:13" x14ac:dyDescent="0.35">
      <c r="C111" s="77" t="s">
        <v>312</v>
      </c>
      <c r="D111" s="172">
        <v>196434</v>
      </c>
      <c r="E111" s="77" t="s">
        <v>313</v>
      </c>
      <c r="F111" s="17" t="s">
        <v>145</v>
      </c>
      <c r="G111" s="164">
        <f>(1+G106)*G108</f>
        <v>2322209.3042341284</v>
      </c>
      <c r="H111" s="164">
        <f t="shared" ref="H111:I111" si="8">(1+H106)*H108</f>
        <v>54627824.598121762</v>
      </c>
      <c r="I111" s="164">
        <f t="shared" si="8"/>
        <v>1075148.7364299106</v>
      </c>
      <c r="J111" s="164">
        <f>(1+J106)*J108</f>
        <v>6080128.1981631443</v>
      </c>
      <c r="K111" s="164">
        <f t="shared" ref="K111" si="9">(1+K106)*K108</f>
        <v>4171719.9999999995</v>
      </c>
      <c r="L111" s="165">
        <f>(1+L106)*L108</f>
        <v>15751987.843457701</v>
      </c>
      <c r="M111" s="164">
        <f>SUM(G111:L111)</f>
        <v>84029018.680406645</v>
      </c>
    </row>
    <row r="112" spans="3:13" x14ac:dyDescent="0.35">
      <c r="C112" s="77" t="s">
        <v>314</v>
      </c>
      <c r="D112" s="172">
        <v>564703</v>
      </c>
      <c r="F112" s="17" t="s">
        <v>213</v>
      </c>
      <c r="G112" s="159">
        <f>G111/$M$111</f>
        <v>2.7635801782552608E-2</v>
      </c>
      <c r="H112" s="159">
        <f t="shared" ref="H112:L112" si="10">H111/$M$111</f>
        <v>0.65010665905657583</v>
      </c>
      <c r="I112" s="159">
        <f t="shared" si="10"/>
        <v>1.279496956306366E-2</v>
      </c>
      <c r="J112" s="159">
        <f t="shared" si="10"/>
        <v>7.2357481899058163E-2</v>
      </c>
      <c r="K112" s="159">
        <f t="shared" si="10"/>
        <v>4.9646182539231948E-2</v>
      </c>
      <c r="L112" s="158">
        <f t="shared" si="10"/>
        <v>0.18745890515951782</v>
      </c>
    </row>
    <row r="113" spans="3:14" x14ac:dyDescent="0.35">
      <c r="C113" s="77" t="s">
        <v>315</v>
      </c>
      <c r="D113" s="172">
        <v>454820</v>
      </c>
    </row>
    <row r="114" spans="3:14" x14ac:dyDescent="0.35">
      <c r="C114" s="77" t="s">
        <v>316</v>
      </c>
      <c r="D114" s="172">
        <v>401109</v>
      </c>
      <c r="E114" s="77" t="s">
        <v>317</v>
      </c>
      <c r="F114" s="17" t="s">
        <v>145</v>
      </c>
      <c r="G114" s="164" cm="1">
        <f t="array" ref="G114:K114">G111:K111</f>
        <v>2322209.3042341284</v>
      </c>
      <c r="H114" s="164">
        <v>54627824.598121762</v>
      </c>
      <c r="I114" s="164">
        <v>1075148.7364299106</v>
      </c>
      <c r="J114" s="164">
        <v>6080128.1981631443</v>
      </c>
      <c r="K114" s="164">
        <v>4171719.9999999995</v>
      </c>
      <c r="L114" s="379">
        <f>M114-SUM(_xlfn.ANCHORARRAY(G114))</f>
        <v>25522969.163051054</v>
      </c>
      <c r="M114" s="164">
        <f>D97*140/100</f>
        <v>93800000</v>
      </c>
      <c r="N114" s="386" t="s">
        <v>224</v>
      </c>
    </row>
    <row r="115" spans="3:14" x14ac:dyDescent="0.35">
      <c r="C115" s="77" t="s">
        <v>318</v>
      </c>
      <c r="D115" s="172">
        <v>319343</v>
      </c>
      <c r="F115" s="17" t="s">
        <v>213</v>
      </c>
      <c r="G115" s="367">
        <f>G114/$M$114</f>
        <v>2.4757028829788148E-2</v>
      </c>
      <c r="H115" s="10">
        <f t="shared" ref="H115:L115" si="11">H114/$M$114</f>
        <v>0.58238618974543455</v>
      </c>
      <c r="I115" s="10">
        <f t="shared" si="11"/>
        <v>1.1462140047227192E-2</v>
      </c>
      <c r="J115" s="10">
        <f t="shared" si="11"/>
        <v>6.4820130044383195E-2</v>
      </c>
      <c r="K115" s="10">
        <f t="shared" si="11"/>
        <v>4.4474626865671635E-2</v>
      </c>
      <c r="L115" s="158">
        <f t="shared" si="11"/>
        <v>0.27209988446749522</v>
      </c>
      <c r="M115" s="11"/>
    </row>
    <row r="116" spans="3:14" x14ac:dyDescent="0.35">
      <c r="C116" s="77" t="s">
        <v>319</v>
      </c>
      <c r="D116" s="172">
        <v>154316</v>
      </c>
    </row>
    <row r="117" spans="3:14" x14ac:dyDescent="0.35">
      <c r="C117" s="77" t="s">
        <v>320</v>
      </c>
      <c r="D117" s="172">
        <v>509795</v>
      </c>
      <c r="J117" s="164"/>
    </row>
    <row r="118" spans="3:14" x14ac:dyDescent="0.35">
      <c r="C118" s="77" t="s">
        <v>298</v>
      </c>
      <c r="D118" s="172">
        <v>297187</v>
      </c>
      <c r="F118" s="369" t="s">
        <v>224</v>
      </c>
      <c r="G118" s="253" t="s">
        <v>321</v>
      </c>
    </row>
    <row r="119" spans="3:14" x14ac:dyDescent="0.35">
      <c r="C119" s="77" t="s">
        <v>322</v>
      </c>
      <c r="D119" s="172">
        <v>254806</v>
      </c>
    </row>
    <row r="120" spans="3:14" x14ac:dyDescent="0.35">
      <c r="C120" s="77" t="s">
        <v>323</v>
      </c>
      <c r="D120" s="172">
        <v>103568</v>
      </c>
    </row>
    <row r="121" spans="3:14" x14ac:dyDescent="0.35">
      <c r="C121" s="77" t="s">
        <v>324</v>
      </c>
      <c r="D121" s="172">
        <v>47995</v>
      </c>
    </row>
    <row r="122" spans="3:14" x14ac:dyDescent="0.35">
      <c r="C122" s="77" t="s">
        <v>325</v>
      </c>
      <c r="D122" s="172">
        <v>56260</v>
      </c>
    </row>
    <row r="123" spans="3:14" x14ac:dyDescent="0.35">
      <c r="C123" s="77" t="s">
        <v>326</v>
      </c>
      <c r="D123" s="172">
        <v>72487</v>
      </c>
    </row>
    <row r="124" spans="3:14" x14ac:dyDescent="0.35">
      <c r="C124" s="77" t="s">
        <v>327</v>
      </c>
      <c r="D124" s="172">
        <v>184784</v>
      </c>
    </row>
    <row r="125" spans="3:14" x14ac:dyDescent="0.35">
      <c r="C125" s="77" t="s">
        <v>328</v>
      </c>
      <c r="D125" s="172">
        <v>332202</v>
      </c>
    </row>
    <row r="126" spans="3:14" x14ac:dyDescent="0.35">
      <c r="C126" s="77" t="s">
        <v>300</v>
      </c>
      <c r="D126" s="172">
        <v>534645</v>
      </c>
    </row>
    <row r="127" spans="3:14" x14ac:dyDescent="0.35">
      <c r="C127" s="77" t="s">
        <v>293</v>
      </c>
      <c r="D127" s="172">
        <v>79111</v>
      </c>
    </row>
    <row r="128" spans="3:14" x14ac:dyDescent="0.35">
      <c r="C128" s="77" t="s">
        <v>295</v>
      </c>
      <c r="D128" s="172">
        <v>542497</v>
      </c>
    </row>
    <row r="129" spans="1:4" x14ac:dyDescent="0.35">
      <c r="C129" s="18" t="s">
        <v>329</v>
      </c>
      <c r="D129" s="172"/>
    </row>
    <row r="130" spans="1:4" x14ac:dyDescent="0.35">
      <c r="C130" s="77" t="s">
        <v>330</v>
      </c>
      <c r="D130" s="172">
        <v>28430</v>
      </c>
    </row>
    <row r="131" spans="1:4" x14ac:dyDescent="0.35">
      <c r="C131" s="77" t="s">
        <v>331</v>
      </c>
      <c r="D131" s="172">
        <v>18100</v>
      </c>
    </row>
    <row r="132" spans="1:4" x14ac:dyDescent="0.35">
      <c r="C132" s="77"/>
      <c r="D132" s="172"/>
    </row>
    <row r="133" spans="1:4" x14ac:dyDescent="0.35">
      <c r="C133" s="18" t="s">
        <v>306</v>
      </c>
    </row>
    <row r="134" spans="1:4" x14ac:dyDescent="0.35">
      <c r="C134" t="s">
        <v>88</v>
      </c>
      <c r="D134" s="172">
        <v>25502874</v>
      </c>
    </row>
    <row r="135" spans="1:4" x14ac:dyDescent="0.35">
      <c r="C135" t="s">
        <v>90</v>
      </c>
      <c r="D135" s="172">
        <v>20832766</v>
      </c>
    </row>
    <row r="136" spans="1:4" x14ac:dyDescent="0.35">
      <c r="A136" s="154"/>
      <c r="C136" t="s">
        <v>91</v>
      </c>
      <c r="D136" s="172">
        <v>9262348</v>
      </c>
    </row>
    <row r="137" spans="1:4" x14ac:dyDescent="0.35">
      <c r="A137" s="154"/>
      <c r="C137" t="s">
        <v>92</v>
      </c>
      <c r="D137" s="172">
        <v>1840000</v>
      </c>
    </row>
    <row r="138" spans="1:4" x14ac:dyDescent="0.35">
      <c r="A138" s="154"/>
    </row>
    <row r="139" spans="1:4" x14ac:dyDescent="0.35">
      <c r="C139" s="365" t="s">
        <v>332</v>
      </c>
    </row>
    <row r="140" spans="1:4" x14ac:dyDescent="0.35">
      <c r="C140" t="s">
        <v>302</v>
      </c>
      <c r="D140" s="172">
        <v>86852660</v>
      </c>
    </row>
    <row r="143" spans="1:4" x14ac:dyDescent="0.35">
      <c r="C143" s="18" t="s">
        <v>333</v>
      </c>
    </row>
    <row r="144" spans="1:4" x14ac:dyDescent="0.35">
      <c r="C144" s="18" t="s">
        <v>306</v>
      </c>
    </row>
    <row r="145" spans="3:4" x14ac:dyDescent="0.35">
      <c r="C145" s="77" t="s">
        <v>297</v>
      </c>
      <c r="D145" s="172">
        <v>4504068</v>
      </c>
    </row>
    <row r="146" spans="3:4" x14ac:dyDescent="0.35">
      <c r="C146" s="77" t="s">
        <v>296</v>
      </c>
      <c r="D146" s="172">
        <v>3266167</v>
      </c>
    </row>
    <row r="147" spans="3:4" x14ac:dyDescent="0.35">
      <c r="C147" s="77" t="s">
        <v>308</v>
      </c>
      <c r="D147" s="172">
        <v>2574547</v>
      </c>
    </row>
    <row r="148" spans="3:4" x14ac:dyDescent="0.35">
      <c r="C148" s="77" t="s">
        <v>294</v>
      </c>
      <c r="D148" s="172">
        <v>2024713</v>
      </c>
    </row>
    <row r="149" spans="3:4" x14ac:dyDescent="0.35">
      <c r="C149" s="77" t="s">
        <v>309</v>
      </c>
      <c r="D149" s="172">
        <v>1678901</v>
      </c>
    </row>
    <row r="150" spans="3:4" x14ac:dyDescent="0.35">
      <c r="C150" s="77" t="s">
        <v>299</v>
      </c>
      <c r="D150" s="172">
        <v>1106129</v>
      </c>
    </row>
    <row r="151" spans="3:4" x14ac:dyDescent="0.35">
      <c r="C151" s="77" t="s">
        <v>311</v>
      </c>
      <c r="D151" s="172">
        <v>395392</v>
      </c>
    </row>
    <row r="152" spans="3:4" x14ac:dyDescent="0.35">
      <c r="C152" s="77" t="s">
        <v>312</v>
      </c>
      <c r="D152" s="172">
        <v>148469</v>
      </c>
    </row>
    <row r="153" spans="3:4" x14ac:dyDescent="0.35">
      <c r="C153" s="77" t="s">
        <v>314</v>
      </c>
      <c r="D153" s="172">
        <v>658164</v>
      </c>
    </row>
    <row r="154" spans="3:4" x14ac:dyDescent="0.35">
      <c r="C154" s="77" t="s">
        <v>315</v>
      </c>
      <c r="D154" s="172">
        <v>534151</v>
      </c>
    </row>
    <row r="155" spans="3:4" x14ac:dyDescent="0.35">
      <c r="C155" s="77" t="s">
        <v>316</v>
      </c>
      <c r="D155" s="172">
        <v>461762</v>
      </c>
    </row>
    <row r="156" spans="3:4" x14ac:dyDescent="0.35">
      <c r="C156" s="77" t="s">
        <v>318</v>
      </c>
      <c r="D156" s="172">
        <v>364327</v>
      </c>
    </row>
    <row r="157" spans="3:4" x14ac:dyDescent="0.35">
      <c r="C157" s="77" t="s">
        <v>319</v>
      </c>
      <c r="D157" s="172">
        <v>200862</v>
      </c>
    </row>
    <row r="158" spans="3:4" x14ac:dyDescent="0.35">
      <c r="C158" s="77" t="s">
        <v>320</v>
      </c>
      <c r="D158" s="172">
        <v>661511</v>
      </c>
    </row>
    <row r="159" spans="3:4" x14ac:dyDescent="0.35">
      <c r="C159" s="77" t="s">
        <v>298</v>
      </c>
      <c r="D159" s="172">
        <v>376131</v>
      </c>
    </row>
    <row r="160" spans="3:4" x14ac:dyDescent="0.35">
      <c r="C160" s="77" t="s">
        <v>322</v>
      </c>
      <c r="D160" s="172">
        <v>286142</v>
      </c>
    </row>
    <row r="161" spans="3:4" x14ac:dyDescent="0.35">
      <c r="C161" s="77" t="s">
        <v>323</v>
      </c>
      <c r="D161" s="172">
        <v>125618</v>
      </c>
    </row>
    <row r="162" spans="3:4" x14ac:dyDescent="0.35">
      <c r="C162" s="77" t="s">
        <v>324</v>
      </c>
      <c r="D162" s="172">
        <v>56893</v>
      </c>
    </row>
    <row r="163" spans="3:4" x14ac:dyDescent="0.35">
      <c r="C163" s="77" t="s">
        <v>325</v>
      </c>
      <c r="D163" s="172">
        <v>66392</v>
      </c>
    </row>
    <row r="164" spans="3:4" x14ac:dyDescent="0.35">
      <c r="C164" s="77" t="s">
        <v>326</v>
      </c>
      <c r="D164" s="172">
        <v>87895</v>
      </c>
    </row>
    <row r="165" spans="3:4" x14ac:dyDescent="0.35">
      <c r="C165" s="77" t="s">
        <v>327</v>
      </c>
      <c r="D165" s="172">
        <v>219579</v>
      </c>
    </row>
    <row r="166" spans="3:4" x14ac:dyDescent="0.35">
      <c r="C166" s="77" t="s">
        <v>328</v>
      </c>
      <c r="D166" s="172">
        <v>413210</v>
      </c>
    </row>
    <row r="167" spans="3:4" x14ac:dyDescent="0.35">
      <c r="C167" s="77" t="s">
        <v>300</v>
      </c>
      <c r="D167" s="172">
        <v>684892</v>
      </c>
    </row>
    <row r="168" spans="3:4" x14ac:dyDescent="0.35">
      <c r="C168" s="77" t="s">
        <v>293</v>
      </c>
      <c r="D168" s="172">
        <v>96796</v>
      </c>
    </row>
    <row r="169" spans="3:4" x14ac:dyDescent="0.35">
      <c r="C169" s="77" t="s">
        <v>295</v>
      </c>
      <c r="D169" s="172">
        <v>652233</v>
      </c>
    </row>
    <row r="170" spans="3:4" x14ac:dyDescent="0.35">
      <c r="C170" s="18" t="s">
        <v>329</v>
      </c>
      <c r="D170" s="172"/>
    </row>
    <row r="171" spans="3:4" x14ac:dyDescent="0.35">
      <c r="C171" s="380" t="s">
        <v>330</v>
      </c>
      <c r="D171" s="381">
        <f>D130*(1+D200*9)</f>
        <v>34236.280769230769</v>
      </c>
    </row>
    <row r="172" spans="3:4" x14ac:dyDescent="0.35">
      <c r="C172" s="382" t="s">
        <v>331</v>
      </c>
      <c r="D172" s="383">
        <f>D131*(1+D219*9)</f>
        <v>27209.869230769229</v>
      </c>
    </row>
    <row r="173" spans="3:4" x14ac:dyDescent="0.35">
      <c r="C173" s="77"/>
      <c r="D173" s="172"/>
    </row>
    <row r="174" spans="3:4" x14ac:dyDescent="0.35">
      <c r="C174" s="18" t="s">
        <v>306</v>
      </c>
    </row>
    <row r="175" spans="3:4" x14ac:dyDescent="0.35">
      <c r="C175" t="s">
        <v>88</v>
      </c>
      <c r="D175" s="172">
        <v>36183700</v>
      </c>
    </row>
    <row r="176" spans="3:4" x14ac:dyDescent="0.35">
      <c r="C176" t="s">
        <v>90</v>
      </c>
      <c r="D176" s="172">
        <v>24671940</v>
      </c>
    </row>
    <row r="177" spans="3:4" x14ac:dyDescent="0.35">
      <c r="C177" t="s">
        <v>91</v>
      </c>
      <c r="D177" s="172">
        <v>15714120</v>
      </c>
    </row>
    <row r="178" spans="3:4" x14ac:dyDescent="0.35">
      <c r="C178" s="14" t="s">
        <v>92</v>
      </c>
      <c r="D178" s="370">
        <f>D137*(1+D238*9)</f>
        <v>2108781.5384615385</v>
      </c>
    </row>
    <row r="180" spans="3:4" x14ac:dyDescent="0.35">
      <c r="C180" s="365" t="s">
        <v>332</v>
      </c>
    </row>
    <row r="181" spans="3:4" x14ac:dyDescent="0.35">
      <c r="C181" s="375" t="s">
        <v>302</v>
      </c>
      <c r="D181" s="376">
        <f>D140*(1+D257*9)</f>
        <v>109581333.02461538</v>
      </c>
    </row>
    <row r="182" spans="3:4" x14ac:dyDescent="0.35">
      <c r="D182" s="172"/>
    </row>
    <row r="183" spans="3:4" x14ac:dyDescent="0.35">
      <c r="D183" s="172"/>
    </row>
    <row r="184" spans="3:4" x14ac:dyDescent="0.35">
      <c r="C184" s="384" t="s">
        <v>334</v>
      </c>
      <c r="D184" s="380"/>
    </row>
    <row r="185" spans="3:4" x14ac:dyDescent="0.35">
      <c r="C185" s="253" t="s">
        <v>335</v>
      </c>
    </row>
    <row r="186" spans="3:4" x14ac:dyDescent="0.35">
      <c r="C186" s="4">
        <v>2010</v>
      </c>
      <c r="D186" s="371">
        <v>0.02</v>
      </c>
    </row>
    <row r="187" spans="3:4" x14ac:dyDescent="0.35">
      <c r="C187" s="4">
        <v>2011</v>
      </c>
      <c r="D187" s="371">
        <v>4.0000000000000001E-3</v>
      </c>
    </row>
    <row r="188" spans="3:4" x14ac:dyDescent="0.35">
      <c r="C188" s="4">
        <v>2012</v>
      </c>
      <c r="D188" s="371">
        <v>-3.4000000000000002E-2</v>
      </c>
    </row>
    <row r="189" spans="3:4" x14ac:dyDescent="0.35">
      <c r="C189" s="4">
        <v>2013</v>
      </c>
      <c r="D189" s="371">
        <v>-6.6000000000000003E-2</v>
      </c>
    </row>
    <row r="190" spans="3:4" x14ac:dyDescent="0.35">
      <c r="C190" s="4">
        <v>2014</v>
      </c>
      <c r="D190" s="371">
        <v>-1.7999999999999999E-2</v>
      </c>
    </row>
    <row r="191" spans="3:4" x14ac:dyDescent="0.35">
      <c r="C191" s="4">
        <v>2015</v>
      </c>
      <c r="D191" s="371">
        <v>3.4000000000000002E-2</v>
      </c>
    </row>
    <row r="192" spans="3:4" x14ac:dyDescent="0.35">
      <c r="C192" s="4">
        <v>2016</v>
      </c>
      <c r="D192" s="371">
        <v>6.5000000000000002E-2</v>
      </c>
    </row>
    <row r="193" spans="3:4" x14ac:dyDescent="0.35">
      <c r="C193" s="4">
        <v>2017</v>
      </c>
      <c r="D193" s="371">
        <v>5.8999999999999997E-2</v>
      </c>
    </row>
    <row r="194" spans="3:4" x14ac:dyDescent="0.35">
      <c r="C194" s="4">
        <v>2018</v>
      </c>
      <c r="D194" s="371">
        <v>5.7000000000000002E-2</v>
      </c>
    </row>
    <row r="195" spans="3:4" x14ac:dyDescent="0.35">
      <c r="C195" s="4">
        <v>2019</v>
      </c>
      <c r="D195" s="371">
        <v>5.8000000000000003E-2</v>
      </c>
    </row>
    <row r="196" spans="3:4" x14ac:dyDescent="0.35">
      <c r="C196" s="4">
        <v>2020</v>
      </c>
      <c r="D196" s="371">
        <v>-3.4000000000000002E-2</v>
      </c>
    </row>
    <row r="197" spans="3:4" x14ac:dyDescent="0.35">
      <c r="C197" s="4">
        <v>2021</v>
      </c>
      <c r="D197" s="371">
        <v>9.9000000000000005E-2</v>
      </c>
    </row>
    <row r="198" spans="3:4" x14ac:dyDescent="0.35">
      <c r="C198" s="4">
        <v>2022</v>
      </c>
      <c r="D198" s="371">
        <v>5.0999999999999997E-2</v>
      </c>
    </row>
    <row r="200" spans="3:4" x14ac:dyDescent="0.35">
      <c r="C200" s="4" t="s">
        <v>336</v>
      </c>
      <c r="D200" s="372">
        <f>AVERAGE(D186:D198)</f>
        <v>2.2692307692307692E-2</v>
      </c>
    </row>
    <row r="201" spans="3:4" x14ac:dyDescent="0.35">
      <c r="C201" s="4"/>
      <c r="D201" s="372"/>
    </row>
    <row r="202" spans="3:4" x14ac:dyDescent="0.35">
      <c r="C202" s="4"/>
      <c r="D202" s="372"/>
    </row>
    <row r="203" spans="3:4" x14ac:dyDescent="0.35">
      <c r="C203" s="385" t="s">
        <v>337</v>
      </c>
      <c r="D203" s="382"/>
    </row>
    <row r="204" spans="3:4" x14ac:dyDescent="0.35">
      <c r="C204" s="253" t="s">
        <v>338</v>
      </c>
    </row>
    <row r="205" spans="3:4" x14ac:dyDescent="0.35">
      <c r="C205" s="4">
        <v>2010</v>
      </c>
      <c r="D205" s="371">
        <v>5.5E-2</v>
      </c>
    </row>
    <row r="206" spans="3:4" x14ac:dyDescent="0.35">
      <c r="C206" s="4">
        <v>2011</v>
      </c>
      <c r="D206" s="371">
        <v>5.0000000000000001E-3</v>
      </c>
    </row>
    <row r="207" spans="3:4" x14ac:dyDescent="0.35">
      <c r="C207" s="4">
        <v>2012</v>
      </c>
      <c r="D207" s="371">
        <v>4.1000000000000002E-2</v>
      </c>
    </row>
    <row r="208" spans="3:4" x14ac:dyDescent="0.35">
      <c r="C208" s="4">
        <v>2013</v>
      </c>
      <c r="D208" s="371">
        <v>5.5E-2</v>
      </c>
    </row>
    <row r="209" spans="3:4" x14ac:dyDescent="0.35">
      <c r="C209" s="4">
        <v>2014</v>
      </c>
      <c r="D209" s="371">
        <v>7.5999999999999998E-2</v>
      </c>
    </row>
    <row r="210" spans="3:4" x14ac:dyDescent="0.35">
      <c r="C210" s="4">
        <v>2015</v>
      </c>
      <c r="D210" s="371">
        <v>9.6000000000000002E-2</v>
      </c>
    </row>
    <row r="211" spans="3:4" x14ac:dyDescent="0.35">
      <c r="C211" s="4">
        <v>2016</v>
      </c>
      <c r="D211" s="371">
        <v>3.4000000000000002E-2</v>
      </c>
    </row>
    <row r="212" spans="3:4" x14ac:dyDescent="0.35">
      <c r="C212" s="4">
        <v>2017</v>
      </c>
      <c r="D212" s="371">
        <v>0.109</v>
      </c>
    </row>
    <row r="213" spans="3:4" x14ac:dyDescent="0.35">
      <c r="C213" s="4">
        <v>2018</v>
      </c>
      <c r="D213" s="371">
        <v>7.3999999999999996E-2</v>
      </c>
    </row>
    <row r="214" spans="3:4" x14ac:dyDescent="0.35">
      <c r="C214" s="4">
        <v>2019</v>
      </c>
      <c r="D214" s="371">
        <v>7.0999999999999994E-2</v>
      </c>
    </row>
    <row r="215" spans="3:4" x14ac:dyDescent="0.35">
      <c r="C215" s="4">
        <v>2020</v>
      </c>
      <c r="D215" s="371">
        <v>-8.1000000000000003E-2</v>
      </c>
    </row>
    <row r="216" spans="3:4" x14ac:dyDescent="0.35">
      <c r="C216" s="4">
        <v>2021</v>
      </c>
      <c r="D216" s="371">
        <v>0.123</v>
      </c>
    </row>
    <row r="217" spans="3:4" x14ac:dyDescent="0.35">
      <c r="C217" s="4">
        <v>2022</v>
      </c>
      <c r="D217" s="371">
        <v>6.9000000000000006E-2</v>
      </c>
    </row>
    <row r="219" spans="3:4" x14ac:dyDescent="0.35">
      <c r="C219" s="4" t="s">
        <v>336</v>
      </c>
      <c r="D219" s="372">
        <f>AVERAGE(D205:D217)</f>
        <v>5.5923076923076916E-2</v>
      </c>
    </row>
    <row r="220" spans="3:4" x14ac:dyDescent="0.35">
      <c r="C220" s="4"/>
      <c r="D220" s="372"/>
    </row>
    <row r="221" spans="3:4" x14ac:dyDescent="0.35">
      <c r="D221" s="172"/>
    </row>
    <row r="222" spans="3:4" x14ac:dyDescent="0.35">
      <c r="C222" s="373" t="s">
        <v>339</v>
      </c>
      <c r="D222" s="374"/>
    </row>
    <row r="223" spans="3:4" x14ac:dyDescent="0.35">
      <c r="C223" s="253" t="s">
        <v>340</v>
      </c>
    </row>
    <row r="224" spans="3:4" x14ac:dyDescent="0.35">
      <c r="C224" s="4">
        <v>2010</v>
      </c>
      <c r="D224" s="371">
        <v>4.4999999999999998E-2</v>
      </c>
    </row>
    <row r="225" spans="3:4" x14ac:dyDescent="0.35">
      <c r="C225" s="4">
        <v>2011</v>
      </c>
      <c r="D225" s="371">
        <v>4.2999999999999997E-2</v>
      </c>
    </row>
    <row r="226" spans="3:4" x14ac:dyDescent="0.35">
      <c r="C226" s="4">
        <v>2012</v>
      </c>
      <c r="D226" s="371">
        <v>0.04</v>
      </c>
    </row>
    <row r="227" spans="3:4" x14ac:dyDescent="0.35">
      <c r="C227" s="4">
        <v>2013</v>
      </c>
      <c r="D227" s="371">
        <v>1.7999999999999999E-2</v>
      </c>
    </row>
    <row r="228" spans="3:4" x14ac:dyDescent="0.35">
      <c r="C228" s="4">
        <v>2014</v>
      </c>
      <c r="D228" s="371">
        <v>7.0000000000000001E-3</v>
      </c>
    </row>
    <row r="229" spans="3:4" x14ac:dyDescent="0.35">
      <c r="C229" s="4">
        <v>2015</v>
      </c>
      <c r="D229" s="371">
        <v>-0.02</v>
      </c>
    </row>
    <row r="230" spans="3:4" x14ac:dyDescent="0.35">
      <c r="C230" s="4">
        <v>2016</v>
      </c>
      <c r="D230" s="371">
        <v>2E-3</v>
      </c>
    </row>
    <row r="231" spans="3:4" x14ac:dyDescent="0.35">
      <c r="C231" s="4">
        <v>2017</v>
      </c>
      <c r="D231" s="371">
        <v>1.7999999999999999E-2</v>
      </c>
    </row>
    <row r="232" spans="3:4" x14ac:dyDescent="0.35">
      <c r="C232" s="4">
        <v>2018</v>
      </c>
      <c r="D232" s="371">
        <v>2.8000000000000001E-2</v>
      </c>
    </row>
    <row r="233" spans="3:4" x14ac:dyDescent="0.35">
      <c r="C233" s="4">
        <v>2019</v>
      </c>
      <c r="D233" s="371">
        <v>2.1999999999999999E-2</v>
      </c>
    </row>
    <row r="234" spans="3:4" x14ac:dyDescent="0.35">
      <c r="C234" s="4">
        <v>2020</v>
      </c>
      <c r="D234" s="371">
        <v>-2.7E-2</v>
      </c>
    </row>
    <row r="235" spans="3:4" x14ac:dyDescent="0.35">
      <c r="C235" s="4">
        <v>2021</v>
      </c>
      <c r="D235" s="371">
        <v>5.6000000000000001E-2</v>
      </c>
    </row>
    <row r="236" spans="3:4" x14ac:dyDescent="0.35">
      <c r="C236" s="4">
        <v>2022</v>
      </c>
      <c r="D236" s="371">
        <v>-2.1000000000000001E-2</v>
      </c>
    </row>
    <row r="238" spans="3:4" x14ac:dyDescent="0.35">
      <c r="C238" s="4" t="s">
        <v>336</v>
      </c>
      <c r="D238" s="372">
        <f>AVERAGE(D224:D236)</f>
        <v>1.6230769230769229E-2</v>
      </c>
    </row>
    <row r="241" spans="3:4" x14ac:dyDescent="0.35">
      <c r="C241" s="377" t="s">
        <v>341</v>
      </c>
      <c r="D241" s="378"/>
    </row>
    <row r="242" spans="3:4" x14ac:dyDescent="0.35">
      <c r="C242" s="253" t="s">
        <v>342</v>
      </c>
    </row>
    <row r="243" spans="3:4" x14ac:dyDescent="0.35">
      <c r="C243" s="4">
        <v>2010</v>
      </c>
      <c r="D243" s="371">
        <v>4.4999999999999998E-2</v>
      </c>
    </row>
    <row r="244" spans="3:4" x14ac:dyDescent="0.35">
      <c r="C244" s="4">
        <v>2011</v>
      </c>
      <c r="D244" s="371">
        <v>3.3000000000000002E-2</v>
      </c>
    </row>
    <row r="245" spans="3:4" x14ac:dyDescent="0.35">
      <c r="C245" s="4">
        <v>2012</v>
      </c>
      <c r="D245" s="371">
        <v>2.7E-2</v>
      </c>
    </row>
    <row r="246" spans="3:4" x14ac:dyDescent="0.35">
      <c r="C246" s="4">
        <v>2013</v>
      </c>
      <c r="D246" s="371">
        <v>2.8000000000000001E-2</v>
      </c>
    </row>
    <row r="247" spans="3:4" x14ac:dyDescent="0.35">
      <c r="C247" s="4">
        <v>2014</v>
      </c>
      <c r="D247" s="371">
        <v>3.1E-2</v>
      </c>
    </row>
    <row r="248" spans="3:4" x14ac:dyDescent="0.35">
      <c r="C248" s="4">
        <v>2015</v>
      </c>
      <c r="D248" s="371">
        <v>3.1E-2</v>
      </c>
    </row>
    <row r="249" spans="3:4" x14ac:dyDescent="0.35">
      <c r="C249" s="4">
        <v>2016</v>
      </c>
      <c r="D249" s="371">
        <v>2.8000000000000001E-2</v>
      </c>
    </row>
    <row r="250" spans="3:4" x14ac:dyDescent="0.35">
      <c r="C250" s="4">
        <v>2017</v>
      </c>
      <c r="D250" s="371">
        <v>3.4000000000000002E-2</v>
      </c>
    </row>
    <row r="251" spans="3:4" x14ac:dyDescent="0.35">
      <c r="C251" s="4">
        <v>2018</v>
      </c>
      <c r="D251" s="371">
        <v>3.3000000000000002E-2</v>
      </c>
    </row>
    <row r="252" spans="3:4" x14ac:dyDescent="0.35">
      <c r="C252" s="4">
        <v>2019</v>
      </c>
      <c r="D252" s="371">
        <v>2.5999999999999999E-2</v>
      </c>
    </row>
    <row r="253" spans="3:4" x14ac:dyDescent="0.35">
      <c r="C253" s="4">
        <v>2020</v>
      </c>
      <c r="D253" s="371">
        <v>-3.1E-2</v>
      </c>
    </row>
    <row r="254" spans="3:4" x14ac:dyDescent="0.35">
      <c r="C254" s="4">
        <v>2021</v>
      </c>
      <c r="D254" s="371">
        <v>6.2E-2</v>
      </c>
    </row>
    <row r="255" spans="3:4" x14ac:dyDescent="0.35">
      <c r="C255" s="4">
        <v>2022</v>
      </c>
      <c r="D255" s="371">
        <v>3.1E-2</v>
      </c>
    </row>
    <row r="257" spans="3:4" x14ac:dyDescent="0.35">
      <c r="C257" s="4" t="s">
        <v>336</v>
      </c>
      <c r="D257" s="372">
        <f>AVERAGE(D243:D255)</f>
        <v>2.9076923076923077E-2</v>
      </c>
    </row>
  </sheetData>
  <mergeCells count="1">
    <mergeCell ref="G31:L31"/>
  </mergeCells>
  <hyperlinks>
    <hyperlink ref="C61" r:id="rId1" display="https://ourworldindata.org/grapher/electricity-production-by-source?country=~OWID_EU27" xr:uid="{5AF17D8B-BCE0-40F2-A921-9BA7B2EC48A7}"/>
    <hyperlink ref="D22" r:id="rId2" display="https://energy.ec.europa.eu/system/files/2023-01/Quarterly report on European gas markets Q3_FINAL.pdf" xr:uid="{2B6419FC-DCC8-4DE6-85A6-7A095197418C}"/>
    <hyperlink ref="G118" r:id="rId3" display="https://www.google.com/url?sa=t&amp;rct=j&amp;q=&amp;esrc=s&amp;source=web&amp;cd=&amp;ved=2ahUKEwjPyOmG1bKDAxUg9AIHHU7BAEcQFnoECCUQAQ&amp;url=https%3A%2F%2Fwww.weforum.org%2Fagenda%2F2023%2F11%2Faluminium-demand-how-to-make-it-sustainable%2F&amp;usg=AOvVaw1HqKMyYgWvyIOEWlDTHU8N&amp;opi=89978449" xr:uid="{B3EE840B-4982-4EBA-A16B-C03CC85F6DC5}"/>
    <hyperlink ref="C242" r:id="rId4" display="https://www.google.com/url?sa=t&amp;rct=j&amp;q=&amp;esrc=s&amp;source=web&amp;cd=&amp;ved=2ahUKEwjis8Xj1bKDAxUW9AIHHXuhBI8QFnoECBkQAQ&amp;url=https%3A%2F%2Fdata.worldbank.org%2Findicator%2FNY.GDP.MKTP.KD.ZG&amp;usg=AOvVaw21bP7k3MAOEIj7z02PVnzd&amp;opi=89978449" xr:uid="{14EB39EE-90AE-4C7F-8FCF-C3C835641A21}"/>
    <hyperlink ref="C223" r:id="rId5" display="https://data.worldbank.org/indicator/NY.GDP.MKTP.KD.ZG?locations=RU" xr:uid="{6C386F6D-05C2-44E6-911A-366D871CB202}"/>
    <hyperlink ref="C185" r:id="rId6" display="https://www.google.com/url?sa=t&amp;rct=j&amp;q=&amp;esrc=s&amp;source=web&amp;cd=&amp;ved=2ahUKEwi-5LvZwrSDAxXfxAIHHS2IAZAQFnoECBoQAQ&amp;url=https%3A%2F%2Fdata.worldbank.org%2Findicator%2FNY.GDP.MKTP.KD.ZG%3Flocations%3DCY&amp;usg=AOvVaw0-SwMZMctkiicIpX0BcGsz&amp;opi=89978449" xr:uid="{FC89F3A5-F363-4AEB-90ED-A791F012FD73}"/>
    <hyperlink ref="C204" r:id="rId7" display="https://data.worldbank.org/indicator/NY.GDP.MKTP.KD.ZG?locations=MT" xr:uid="{0753C8FE-7884-45B2-B021-4AF075F44538}"/>
  </hyperlinks>
  <pageMargins left="0.7" right="0.7" top="0.75" bottom="0.75" header="0.3" footer="0.3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2070-5C67-4EC5-84CE-4826E3AE06B2}">
  <dimension ref="B2:Y158"/>
  <sheetViews>
    <sheetView showGridLines="0" zoomScale="68" zoomScaleNormal="68" workbookViewId="0">
      <pane xSplit="6" ySplit="4" topLeftCell="G5" activePane="bottomRight" state="frozen"/>
      <selection pane="topRight" activeCell="G1" sqref="G1"/>
      <selection pane="bottomLeft" activeCell="A7" sqref="A7"/>
      <selection pane="bottomRight" activeCell="D18" sqref="D18"/>
    </sheetView>
  </sheetViews>
  <sheetFormatPr defaultRowHeight="14.5" x14ac:dyDescent="0.35"/>
  <cols>
    <col min="3" max="3" width="23.54296875" bestFit="1" customWidth="1"/>
    <col min="4" max="4" width="54.453125" style="77" bestFit="1" customWidth="1"/>
    <col min="5" max="5" width="34.1796875" style="77" bestFit="1" customWidth="1"/>
    <col min="6" max="6" width="7.81640625" style="17" customWidth="1"/>
    <col min="7" max="7" width="12" style="4" customWidth="1"/>
    <col min="8" max="10" width="12.453125" style="4" bestFit="1" customWidth="1"/>
    <col min="11" max="11" width="12" style="4" customWidth="1"/>
    <col min="12" max="12" width="12.453125" style="17" bestFit="1" customWidth="1"/>
    <col min="13" max="13" width="8.453125" style="4" customWidth="1"/>
    <col min="14" max="16" width="8.7265625" style="4"/>
    <col min="17" max="17" width="11.81640625" style="4" bestFit="1" customWidth="1"/>
    <col min="18" max="18" width="8.7265625" style="4"/>
    <col min="19" max="19" width="23.54296875" style="4" bestFit="1" customWidth="1"/>
    <col min="20" max="20" width="69.1796875" style="4" bestFit="1" customWidth="1"/>
    <col min="21" max="21" width="8.7265625" style="4"/>
    <col min="22" max="22" width="11.81640625" style="4" bestFit="1" customWidth="1"/>
    <col min="23" max="25" width="8.7265625" style="4"/>
  </cols>
  <sheetData>
    <row r="2" spans="2:25" x14ac:dyDescent="0.35">
      <c r="C2" s="361" t="s">
        <v>205</v>
      </c>
      <c r="F2" s="16" t="s">
        <v>206</v>
      </c>
      <c r="G2" s="4" t="s">
        <v>73</v>
      </c>
      <c r="H2" s="4" t="s">
        <v>88</v>
      </c>
      <c r="I2" s="4" t="s">
        <v>90</v>
      </c>
      <c r="J2" s="4" t="s">
        <v>91</v>
      </c>
      <c r="K2" s="4" t="s">
        <v>92</v>
      </c>
      <c r="L2" s="17" t="s">
        <v>93</v>
      </c>
    </row>
    <row r="3" spans="2:25" x14ac:dyDescent="0.35">
      <c r="D3"/>
      <c r="G3"/>
      <c r="H3"/>
      <c r="I3"/>
      <c r="J3"/>
      <c r="K3"/>
      <c r="L3" s="20"/>
    </row>
    <row r="4" spans="2:25" s="6" customFormat="1" x14ac:dyDescent="0.35">
      <c r="C4" s="78" t="s">
        <v>207</v>
      </c>
      <c r="D4" s="78" t="s">
        <v>343</v>
      </c>
      <c r="E4" s="78" t="s">
        <v>68</v>
      </c>
      <c r="F4" s="79" t="s">
        <v>138</v>
      </c>
      <c r="G4" s="80"/>
      <c r="H4" s="80"/>
      <c r="I4" s="80"/>
      <c r="J4" s="80"/>
      <c r="K4" s="80"/>
      <c r="L4" s="79"/>
      <c r="M4" s="6" t="s">
        <v>209</v>
      </c>
    </row>
    <row r="5" spans="2:25" s="258" customFormat="1" x14ac:dyDescent="0.35">
      <c r="C5" s="259" t="s">
        <v>228</v>
      </c>
      <c r="D5" s="259" t="s">
        <v>229</v>
      </c>
      <c r="E5" s="259" t="s">
        <v>230</v>
      </c>
      <c r="F5" s="260" t="s">
        <v>213</v>
      </c>
      <c r="G5" s="261">
        <f>32.2/2476.9</f>
        <v>1.3000121119140862E-2</v>
      </c>
      <c r="H5" s="261">
        <f>266/2476.9</f>
        <v>0.10739230489725059</v>
      </c>
      <c r="I5" s="261">
        <f>48.7/2476.9</f>
        <v>1.9661673866526706E-2</v>
      </c>
      <c r="J5" s="261">
        <f>249.3/2476.9</f>
        <v>0.10065000605595704</v>
      </c>
      <c r="K5" s="261">
        <f>229.3/2476.9</f>
        <v>9.2575396665186327E-2</v>
      </c>
      <c r="L5" s="262">
        <f>1-SUM(G5:K5)</f>
        <v>0.66672049739593842</v>
      </c>
      <c r="M5" s="263">
        <f t="shared" ref="M5:M12" si="0">SUM(G5:L5)</f>
        <v>1</v>
      </c>
      <c r="N5" s="264"/>
      <c r="P5" s="264"/>
      <c r="Q5" s="264"/>
      <c r="R5" s="264"/>
      <c r="S5" s="264"/>
      <c r="T5" s="264"/>
      <c r="U5" s="264"/>
      <c r="V5" s="264"/>
      <c r="W5" s="264"/>
      <c r="X5" s="264"/>
      <c r="Y5" s="264"/>
    </row>
    <row r="6" spans="2:25" s="119" customFormat="1" x14ac:dyDescent="0.35">
      <c r="B6" s="114" t="s">
        <v>231</v>
      </c>
      <c r="C6" s="115" t="s">
        <v>232</v>
      </c>
      <c r="D6" s="115" t="s">
        <v>233</v>
      </c>
      <c r="E6" s="115" t="s">
        <v>234</v>
      </c>
      <c r="F6" s="116" t="s">
        <v>213</v>
      </c>
      <c r="G6" s="117">
        <v>1</v>
      </c>
      <c r="H6" s="117">
        <v>0</v>
      </c>
      <c r="I6" s="117">
        <v>0</v>
      </c>
      <c r="J6" s="117">
        <v>0</v>
      </c>
      <c r="K6" s="117">
        <v>0</v>
      </c>
      <c r="L6" s="265">
        <v>0</v>
      </c>
      <c r="M6" s="117">
        <f t="shared" si="0"/>
        <v>1</v>
      </c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</row>
    <row r="7" spans="2:25" s="132" customFormat="1" x14ac:dyDescent="0.35">
      <c r="B7" s="266" t="s">
        <v>344</v>
      </c>
      <c r="C7" s="133" t="s">
        <v>345</v>
      </c>
      <c r="D7" s="133" t="s">
        <v>346</v>
      </c>
      <c r="E7" s="133" t="s">
        <v>347</v>
      </c>
      <c r="F7" s="134" t="s">
        <v>213</v>
      </c>
      <c r="G7" s="252" cm="1">
        <f t="array" ref="G7:L7">G95:L95</f>
        <v>0.6468220353759514</v>
      </c>
      <c r="H7" s="252">
        <v>0.16852945407583597</v>
      </c>
      <c r="I7" s="252">
        <v>7.0158143579935094E-3</v>
      </c>
      <c r="J7" s="252">
        <v>2.257631413321563E-2</v>
      </c>
      <c r="K7" s="252">
        <v>3.0989635696361869E-2</v>
      </c>
      <c r="L7" s="267">
        <v>0.12350803143620799</v>
      </c>
      <c r="M7" s="252">
        <f t="shared" si="0"/>
        <v>0.99944128507556629</v>
      </c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</row>
    <row r="8" spans="2:25" s="120" customFormat="1" x14ac:dyDescent="0.35">
      <c r="C8" s="121" t="s">
        <v>235</v>
      </c>
      <c r="D8" s="121" t="s">
        <v>348</v>
      </c>
      <c r="E8" s="121" t="s">
        <v>237</v>
      </c>
      <c r="F8" s="122" t="s">
        <v>213</v>
      </c>
      <c r="G8" s="125" cm="1">
        <f t="array" ref="G8:L8">'[3]Imports by region'!$D$5:$I$5</f>
        <v>0.2086558149685778</v>
      </c>
      <c r="H8" s="125">
        <v>0.17326594323804065</v>
      </c>
      <c r="I8" s="125">
        <v>0.20862148436288905</v>
      </c>
      <c r="J8" s="125">
        <v>0.20083517722289576</v>
      </c>
      <c r="K8" s="125">
        <v>0</v>
      </c>
      <c r="L8" s="126">
        <v>0.20862158020759675</v>
      </c>
      <c r="M8" s="123">
        <f t="shared" si="0"/>
        <v>1</v>
      </c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</row>
    <row r="9" spans="2:25" s="108" customFormat="1" x14ac:dyDescent="0.35">
      <c r="B9" s="101"/>
      <c r="C9" s="102" t="s">
        <v>349</v>
      </c>
      <c r="D9" s="102" t="s">
        <v>226</v>
      </c>
      <c r="E9" s="102" t="s">
        <v>227</v>
      </c>
      <c r="F9" s="103" t="s">
        <v>213</v>
      </c>
      <c r="G9" s="106">
        <f>1131/48490</f>
        <v>2.3324396782841823E-2</v>
      </c>
      <c r="H9" s="106">
        <f>25617/48490</f>
        <v>0.52829449371004333</v>
      </c>
      <c r="I9" s="106">
        <f>3353/48490</f>
        <v>6.9148277995462984E-2</v>
      </c>
      <c r="J9" s="106">
        <f>4172/48490</f>
        <v>8.6038358424417399E-2</v>
      </c>
      <c r="K9" s="106">
        <f>2598/48490</f>
        <v>5.3578057331408538E-2</v>
      </c>
      <c r="L9" s="107">
        <f>(48490-1131-25617-3353-4172-2598)/48490</f>
        <v>0.23961641575582596</v>
      </c>
      <c r="M9" s="104">
        <f t="shared" si="0"/>
        <v>1</v>
      </c>
      <c r="N9" s="105"/>
      <c r="P9" s="105"/>
      <c r="Q9" s="105"/>
      <c r="R9" s="105"/>
      <c r="S9" s="105"/>
      <c r="T9" s="105"/>
      <c r="U9" s="105"/>
      <c r="V9" s="105"/>
      <c r="W9" s="105"/>
      <c r="X9" s="105"/>
      <c r="Y9" s="105"/>
    </row>
    <row r="10" spans="2:25" s="269" customFormat="1" x14ac:dyDescent="0.35">
      <c r="B10" s="268" t="s">
        <v>238</v>
      </c>
      <c r="C10" s="269" t="s">
        <v>350</v>
      </c>
      <c r="D10" s="270" t="s">
        <v>346</v>
      </c>
      <c r="E10" s="270" t="s">
        <v>351</v>
      </c>
      <c r="F10" s="271" t="s">
        <v>213</v>
      </c>
      <c r="G10" s="272" cm="1">
        <f t="array" ref="G10:L10">G156:L156</f>
        <v>0.82194004052291281</v>
      </c>
      <c r="H10" s="273">
        <v>9.6362342633008104E-3</v>
      </c>
      <c r="I10" s="273">
        <v>2.1710290038124094E-2</v>
      </c>
      <c r="J10" s="273">
        <v>1.8830706020920099E-3</v>
      </c>
      <c r="K10" s="273">
        <v>1.6682939280405009E-4</v>
      </c>
      <c r="L10" s="274">
        <v>0.14453655595700282</v>
      </c>
      <c r="M10" s="272">
        <f t="shared" si="0"/>
        <v>0.99987302077623674</v>
      </c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</row>
    <row r="11" spans="2:25" s="282" customFormat="1" x14ac:dyDescent="0.35">
      <c r="B11" s="276" t="s">
        <v>247</v>
      </c>
      <c r="C11" s="277" t="s">
        <v>248</v>
      </c>
      <c r="D11" s="363" t="s">
        <v>249</v>
      </c>
      <c r="E11" s="277" t="s">
        <v>250</v>
      </c>
      <c r="F11" s="278" t="s">
        <v>213</v>
      </c>
      <c r="G11" s="279" cm="1">
        <f t="array" ref="G11:L11">'Inputs by region H2'!G34:L34</f>
        <v>0.12306777645659929</v>
      </c>
      <c r="H11" s="279">
        <v>0</v>
      </c>
      <c r="I11" s="279">
        <v>0.19869203329369797</v>
      </c>
      <c r="J11" s="279">
        <v>0</v>
      </c>
      <c r="K11" s="279">
        <v>0</v>
      </c>
      <c r="L11" s="280">
        <v>0.67824019024970283</v>
      </c>
      <c r="M11" s="279">
        <f t="shared" si="0"/>
        <v>1</v>
      </c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281"/>
    </row>
    <row r="12" spans="2:25" s="290" customFormat="1" x14ac:dyDescent="0.35">
      <c r="B12" s="283"/>
      <c r="C12" s="284" t="s">
        <v>352</v>
      </c>
      <c r="D12" s="285" t="s">
        <v>348</v>
      </c>
      <c r="E12" s="284" t="s">
        <v>234</v>
      </c>
      <c r="F12" s="286" t="s">
        <v>213</v>
      </c>
      <c r="G12" s="287" cm="1">
        <f t="array" ref="G12:L12">TRANSPOSE('[4]Gross exports world'!$L$7:$L$12)</f>
        <v>0</v>
      </c>
      <c r="H12" s="287">
        <v>5.0918430334824016E-2</v>
      </c>
      <c r="I12" s="287">
        <v>0.15146639903364834</v>
      </c>
      <c r="J12" s="287">
        <v>1.4481034853174354E-2</v>
      </c>
      <c r="K12" s="287">
        <v>0</v>
      </c>
      <c r="L12" s="288">
        <v>0.78313413577835322</v>
      </c>
      <c r="M12" s="287">
        <f t="shared" si="0"/>
        <v>1</v>
      </c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</row>
    <row r="13" spans="2:25" s="144" customFormat="1" x14ac:dyDescent="0.35">
      <c r="B13" s="291" t="s">
        <v>243</v>
      </c>
      <c r="C13" s="139" t="s">
        <v>197</v>
      </c>
      <c r="D13" s="139"/>
      <c r="E13" s="139" t="s">
        <v>244</v>
      </c>
      <c r="F13" s="140" t="s">
        <v>213</v>
      </c>
      <c r="G13" s="141" cm="1">
        <f t="array" ref="G13:G15">G36:G38</f>
        <v>0.10714000000000003</v>
      </c>
      <c r="H13" s="141">
        <v>0</v>
      </c>
      <c r="I13" s="141">
        <v>0</v>
      </c>
      <c r="J13" s="141">
        <v>0</v>
      </c>
      <c r="K13" s="141">
        <v>0</v>
      </c>
      <c r="L13" s="142">
        <v>0</v>
      </c>
      <c r="M13" s="146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</row>
    <row r="14" spans="2:25" s="144" customFormat="1" x14ac:dyDescent="0.35">
      <c r="B14" s="291"/>
      <c r="C14" s="139" t="s">
        <v>199</v>
      </c>
      <c r="D14" s="139" t="s">
        <v>245</v>
      </c>
      <c r="E14" s="139" t="s">
        <v>244</v>
      </c>
      <c r="F14" s="140" t="s">
        <v>213</v>
      </c>
      <c r="G14" s="141">
        <v>0.20286000000000001</v>
      </c>
      <c r="H14" s="141">
        <v>0</v>
      </c>
      <c r="I14" s="141">
        <v>0</v>
      </c>
      <c r="J14" s="141">
        <v>0</v>
      </c>
      <c r="K14" s="141">
        <v>0</v>
      </c>
      <c r="L14" s="142">
        <v>0</v>
      </c>
      <c r="M14" s="146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</row>
    <row r="15" spans="2:25" s="299" customFormat="1" x14ac:dyDescent="0.35">
      <c r="B15" s="293"/>
      <c r="C15" s="294" t="s">
        <v>201</v>
      </c>
      <c r="D15" s="294" t="s">
        <v>246</v>
      </c>
      <c r="E15" s="294" t="s">
        <v>244</v>
      </c>
      <c r="F15" s="295" t="s">
        <v>213</v>
      </c>
      <c r="G15" s="292">
        <v>0.69</v>
      </c>
      <c r="H15" s="292">
        <v>0</v>
      </c>
      <c r="I15" s="292">
        <v>0</v>
      </c>
      <c r="J15" s="292">
        <v>0</v>
      </c>
      <c r="K15" s="292">
        <v>0</v>
      </c>
      <c r="L15" s="296">
        <v>0</v>
      </c>
      <c r="M15" s="297">
        <f>SUM(G13:L15)</f>
        <v>1</v>
      </c>
      <c r="N15" s="298"/>
      <c r="O15" s="298"/>
      <c r="P15" s="298"/>
      <c r="Q15" s="298"/>
      <c r="R15" s="298"/>
      <c r="S15" s="298"/>
      <c r="T15" s="298"/>
      <c r="U15" s="298"/>
      <c r="V15" s="298"/>
      <c r="W15" s="298"/>
      <c r="X15" s="298"/>
      <c r="Y15" s="298"/>
    </row>
    <row r="17" spans="2:20" x14ac:dyDescent="0.35">
      <c r="B17" s="154"/>
      <c r="C17" s="155"/>
    </row>
    <row r="18" spans="2:20" x14ac:dyDescent="0.35">
      <c r="B18" s="162" t="s">
        <v>243</v>
      </c>
      <c r="C18" s="364" t="s">
        <v>269</v>
      </c>
    </row>
    <row r="20" spans="2:20" x14ac:dyDescent="0.35">
      <c r="C20" t="s">
        <v>277</v>
      </c>
      <c r="L20" s="163"/>
      <c r="M20" s="164"/>
      <c r="T20" s="76"/>
    </row>
    <row r="21" spans="2:20" x14ac:dyDescent="0.35">
      <c r="C21" t="s">
        <v>271</v>
      </c>
      <c r="D21" s="77" t="s">
        <v>272</v>
      </c>
      <c r="E21" s="77" t="s">
        <v>273</v>
      </c>
      <c r="F21" s="17" t="s">
        <v>274</v>
      </c>
      <c r="G21" s="164">
        <f>556.16+461.21+43.93</f>
        <v>1061.3</v>
      </c>
      <c r="H21" s="164"/>
      <c r="I21" s="164"/>
      <c r="J21" s="164"/>
      <c r="K21" s="164"/>
      <c r="L21" s="165"/>
      <c r="M21" s="164"/>
      <c r="T21" s="76"/>
    </row>
    <row r="22" spans="2:20" x14ac:dyDescent="0.35">
      <c r="C22" s="166" t="s">
        <v>275</v>
      </c>
      <c r="D22" s="77" t="s">
        <v>272</v>
      </c>
      <c r="E22" s="77" t="s">
        <v>273</v>
      </c>
      <c r="F22" s="17" t="s">
        <v>274</v>
      </c>
      <c r="G22" s="164">
        <v>608.58000000000004</v>
      </c>
      <c r="H22" s="164"/>
      <c r="I22" s="164"/>
      <c r="J22" s="164"/>
      <c r="K22" s="164"/>
      <c r="L22" s="165"/>
      <c r="M22" s="164"/>
    </row>
    <row r="23" spans="2:20" x14ac:dyDescent="0.35">
      <c r="C23" s="166" t="s">
        <v>276</v>
      </c>
      <c r="D23" s="77" t="s">
        <v>272</v>
      </c>
      <c r="E23" s="77" t="s">
        <v>273</v>
      </c>
      <c r="F23" s="17" t="s">
        <v>274</v>
      </c>
      <c r="G23" s="164">
        <f>420.48+276.86+207.24</f>
        <v>904.58</v>
      </c>
      <c r="H23" s="164"/>
      <c r="I23" s="164"/>
      <c r="J23" s="164"/>
      <c r="K23" s="164"/>
      <c r="L23" s="165"/>
      <c r="M23" s="164"/>
      <c r="O23" s="164"/>
    </row>
    <row r="24" spans="2:20" x14ac:dyDescent="0.35">
      <c r="C24" s="166"/>
      <c r="F24" s="17" t="s">
        <v>274</v>
      </c>
      <c r="G24" s="164">
        <f>SUM(G21:G23)</f>
        <v>2574.46</v>
      </c>
      <c r="H24" s="164"/>
      <c r="I24" s="164"/>
      <c r="J24" s="164"/>
      <c r="K24" s="164"/>
      <c r="L24" s="165"/>
      <c r="M24" s="164"/>
      <c r="O24" s="164"/>
    </row>
    <row r="25" spans="2:20" x14ac:dyDescent="0.35">
      <c r="C25" t="s">
        <v>277</v>
      </c>
      <c r="G25" s="164"/>
      <c r="H25" s="164"/>
      <c r="I25" s="164"/>
      <c r="J25" s="164"/>
      <c r="K25" s="164"/>
      <c r="L25" s="165"/>
    </row>
    <row r="26" spans="2:20" x14ac:dyDescent="0.35">
      <c r="C26" t="s">
        <v>271</v>
      </c>
      <c r="D26" s="77" t="s">
        <v>272</v>
      </c>
      <c r="E26" s="77" t="s">
        <v>273</v>
      </c>
      <c r="F26" s="17" t="s">
        <v>213</v>
      </c>
      <c r="G26" s="159">
        <f>G21/$G$24</f>
        <v>0.41224179051140819</v>
      </c>
      <c r="H26" s="159"/>
      <c r="I26" s="159"/>
      <c r="J26" s="159"/>
      <c r="K26" s="159"/>
      <c r="L26" s="158"/>
      <c r="M26" s="164"/>
    </row>
    <row r="27" spans="2:20" x14ac:dyDescent="0.35">
      <c r="C27" s="166" t="s">
        <v>275</v>
      </c>
      <c r="D27" s="77" t="s">
        <v>272</v>
      </c>
      <c r="E27" s="77" t="s">
        <v>273</v>
      </c>
      <c r="F27" s="17" t="s">
        <v>213</v>
      </c>
      <c r="G27" s="159">
        <f t="shared" ref="G27:G28" si="1">G22/$G$24</f>
        <v>0.23639132089836318</v>
      </c>
      <c r="H27" s="159"/>
      <c r="I27" s="159"/>
      <c r="J27" s="159"/>
      <c r="K27" s="159"/>
      <c r="L27" s="158"/>
      <c r="M27" s="164"/>
    </row>
    <row r="28" spans="2:20" x14ac:dyDescent="0.35">
      <c r="C28" s="166" t="s">
        <v>276</v>
      </c>
      <c r="D28" s="77" t="s">
        <v>272</v>
      </c>
      <c r="E28" s="77" t="s">
        <v>273</v>
      </c>
      <c r="F28" s="17" t="s">
        <v>213</v>
      </c>
      <c r="G28" s="159">
        <f t="shared" si="1"/>
        <v>0.35136688859022863</v>
      </c>
      <c r="H28" s="159"/>
      <c r="I28" s="159"/>
      <c r="J28" s="159"/>
      <c r="K28" s="159"/>
      <c r="L28" s="158"/>
      <c r="M28" s="164"/>
    </row>
    <row r="29" spans="2:20" x14ac:dyDescent="0.35">
      <c r="G29" s="11">
        <f>SUM(G26:G28)</f>
        <v>1</v>
      </c>
      <c r="H29" s="164"/>
      <c r="I29" s="164"/>
      <c r="J29" s="164"/>
      <c r="K29" s="164"/>
      <c r="L29" s="165"/>
    </row>
    <row r="30" spans="2:20" x14ac:dyDescent="0.35">
      <c r="C30" s="155" t="s">
        <v>278</v>
      </c>
    </row>
    <row r="32" spans="2:20" x14ac:dyDescent="0.35">
      <c r="C32" s="19">
        <v>2030</v>
      </c>
    </row>
    <row r="33" spans="2:13" x14ac:dyDescent="0.35">
      <c r="C33" s="166" t="s">
        <v>279</v>
      </c>
      <c r="D33" s="77" t="s">
        <v>280</v>
      </c>
      <c r="F33" s="17" t="s">
        <v>274</v>
      </c>
      <c r="G33" s="164">
        <v>3000</v>
      </c>
    </row>
    <row r="34" spans="2:13" x14ac:dyDescent="0.35">
      <c r="C34" s="166"/>
      <c r="G34" s="164"/>
    </row>
    <row r="35" spans="2:13" x14ac:dyDescent="0.35">
      <c r="C35" s="166" t="s">
        <v>277</v>
      </c>
    </row>
    <row r="36" spans="2:13" x14ac:dyDescent="0.35">
      <c r="C36" t="s">
        <v>281</v>
      </c>
      <c r="F36" s="17" t="s">
        <v>213</v>
      </c>
      <c r="G36" s="159">
        <f>G41/$G$33</f>
        <v>0.10714000000000003</v>
      </c>
    </row>
    <row r="37" spans="2:13" x14ac:dyDescent="0.35">
      <c r="C37" t="s">
        <v>282</v>
      </c>
      <c r="F37" s="17" t="s">
        <v>213</v>
      </c>
      <c r="G37" s="159">
        <f>G42/$G$33</f>
        <v>0.20286000000000001</v>
      </c>
    </row>
    <row r="38" spans="2:13" x14ac:dyDescent="0.35">
      <c r="C38" t="s">
        <v>283</v>
      </c>
      <c r="D38" s="77" t="s">
        <v>284</v>
      </c>
      <c r="E38" s="77" t="s">
        <v>246</v>
      </c>
      <c r="F38" s="17" t="s">
        <v>213</v>
      </c>
      <c r="G38" s="159">
        <v>0.69</v>
      </c>
    </row>
    <row r="40" spans="2:13" x14ac:dyDescent="0.35">
      <c r="C40" s="166" t="s">
        <v>277</v>
      </c>
    </row>
    <row r="41" spans="2:13" x14ac:dyDescent="0.35">
      <c r="C41" t="s">
        <v>281</v>
      </c>
      <c r="F41" s="17" t="s">
        <v>274</v>
      </c>
      <c r="G41" s="164">
        <f>G33-SUM(G42:G43)</f>
        <v>321.42000000000007</v>
      </c>
    </row>
    <row r="42" spans="2:13" x14ac:dyDescent="0.35">
      <c r="C42" t="s">
        <v>282</v>
      </c>
      <c r="D42" s="77" t="s">
        <v>285</v>
      </c>
      <c r="F42" s="17" t="s">
        <v>274</v>
      </c>
      <c r="G42" s="164">
        <f>G22</f>
        <v>608.58000000000004</v>
      </c>
    </row>
    <row r="43" spans="2:13" x14ac:dyDescent="0.35">
      <c r="C43" t="s">
        <v>283</v>
      </c>
      <c r="D43" s="77" t="s">
        <v>284</v>
      </c>
      <c r="E43" s="77" t="s">
        <v>246</v>
      </c>
      <c r="F43" s="17" t="s">
        <v>274</v>
      </c>
      <c r="G43" s="164">
        <f>G38*G33</f>
        <v>2070</v>
      </c>
    </row>
    <row r="46" spans="2:13" x14ac:dyDescent="0.35">
      <c r="B46" s="154" t="s">
        <v>344</v>
      </c>
      <c r="C46" s="364" t="s">
        <v>353</v>
      </c>
    </row>
    <row r="47" spans="2:13" x14ac:dyDescent="0.35">
      <c r="C47" s="155"/>
    </row>
    <row r="48" spans="2:13" x14ac:dyDescent="0.35">
      <c r="D48" s="77" t="s">
        <v>354</v>
      </c>
      <c r="E48" s="77" t="s">
        <v>355</v>
      </c>
      <c r="F48" s="17" t="s">
        <v>213</v>
      </c>
      <c r="G48" s="159">
        <f>(52.4+0.73+0.052+0.05+0.022)/100</f>
        <v>0.5325399999999999</v>
      </c>
      <c r="H48" s="159">
        <v>5.7700000000000001E-2</v>
      </c>
      <c r="I48" s="159">
        <v>6.3E-3</v>
      </c>
      <c r="J48" s="159">
        <v>0</v>
      </c>
      <c r="K48" s="159">
        <v>1.7299999999999999E-2</v>
      </c>
      <c r="L48" s="158">
        <f>(37.3+0.08+1.27)/100</f>
        <v>0.38650000000000001</v>
      </c>
      <c r="M48" s="11">
        <f>SUM(G48:L48)</f>
        <v>1.0003399999999998</v>
      </c>
    </row>
    <row r="49" spans="4:14" x14ac:dyDescent="0.35">
      <c r="F49" s="17" t="s">
        <v>305</v>
      </c>
      <c r="G49" s="300">
        <f>G48*$M49</f>
        <v>148.57865999999999</v>
      </c>
      <c r="H49" s="300">
        <f t="shared" ref="H49:L49" si="2">H48*$M49</f>
        <v>16.098300000000002</v>
      </c>
      <c r="I49" s="300">
        <f t="shared" si="2"/>
        <v>1.7577</v>
      </c>
      <c r="J49" s="300">
        <f t="shared" si="2"/>
        <v>0</v>
      </c>
      <c r="K49" s="300">
        <f t="shared" si="2"/>
        <v>4.8266999999999998</v>
      </c>
      <c r="L49" s="301">
        <f t="shared" si="2"/>
        <v>107.8335</v>
      </c>
      <c r="M49" s="156">
        <v>279</v>
      </c>
      <c r="N49" s="256"/>
    </row>
    <row r="50" spans="4:14" x14ac:dyDescent="0.35">
      <c r="D50" s="77" t="s">
        <v>308</v>
      </c>
      <c r="E50" s="77" t="s">
        <v>355</v>
      </c>
      <c r="F50" s="17" t="s">
        <v>213</v>
      </c>
      <c r="G50" s="159">
        <f>(0.011+7.34+25+0.37+28.7+7.04+5.81+0.49+0.058+0.04+0.019+0.033)/100</f>
        <v>0.74911000000000016</v>
      </c>
      <c r="H50" s="159">
        <v>0.19600000000000001</v>
      </c>
      <c r="I50" s="159">
        <v>0</v>
      </c>
      <c r="J50" s="159">
        <v>1.7999999999999999E-2</v>
      </c>
      <c r="K50" s="159">
        <v>3.4000000000000002E-2</v>
      </c>
      <c r="L50" s="168">
        <v>5.2999999999999998E-4</v>
      </c>
      <c r="M50" s="11">
        <f>SUM(G50:L50)</f>
        <v>0.99764000000000019</v>
      </c>
    </row>
    <row r="51" spans="4:14" x14ac:dyDescent="0.35">
      <c r="F51" s="17" t="s">
        <v>305</v>
      </c>
      <c r="G51" s="300">
        <f>G50*$M51</f>
        <v>185.03017000000003</v>
      </c>
      <c r="H51" s="300">
        <f t="shared" ref="H51:L51" si="3">H50*$M51</f>
        <v>48.411999999999999</v>
      </c>
      <c r="I51" s="300">
        <f t="shared" si="3"/>
        <v>0</v>
      </c>
      <c r="J51" s="300">
        <f t="shared" si="3"/>
        <v>4.4459999999999997</v>
      </c>
      <c r="K51" s="300">
        <f t="shared" si="3"/>
        <v>8.3980000000000015</v>
      </c>
      <c r="L51" s="301">
        <f t="shared" si="3"/>
        <v>0.13091</v>
      </c>
      <c r="M51" s="156">
        <v>247</v>
      </c>
    </row>
    <row r="52" spans="4:14" x14ac:dyDescent="0.35">
      <c r="D52" s="77" t="s">
        <v>297</v>
      </c>
      <c r="E52" s="77" t="s">
        <v>355</v>
      </c>
      <c r="F52" s="17" t="s">
        <v>213</v>
      </c>
      <c r="G52" s="159">
        <f>(4.99+27.7+0.0044+1.36+17.6+2.55+0.52+1.18+0.55+2.86+0.064+0.031)/100</f>
        <v>0.5940939999999999</v>
      </c>
      <c r="H52" s="159">
        <v>0.20799999999999999</v>
      </c>
      <c r="I52" s="159">
        <v>1.89E-2</v>
      </c>
      <c r="J52" s="159">
        <v>3.2599999999999997E-2</v>
      </c>
      <c r="K52" s="159">
        <v>9.4299999999999995E-2</v>
      </c>
      <c r="L52" s="158">
        <f>(0.38+3.29+1.09+0.11+0.15+0.03+0.011+0.084)/100</f>
        <v>5.1450000000000003E-2</v>
      </c>
      <c r="M52" s="11">
        <f>SUM(G52:L52)</f>
        <v>0.99934399999999979</v>
      </c>
    </row>
    <row r="53" spans="4:14" x14ac:dyDescent="0.35">
      <c r="F53" s="17" t="s">
        <v>305</v>
      </c>
      <c r="G53" s="300">
        <f>G52*$M53</f>
        <v>69.508997999999991</v>
      </c>
      <c r="H53" s="300">
        <f t="shared" ref="H53:L53" si="4">H52*$M53</f>
        <v>24.335999999999999</v>
      </c>
      <c r="I53" s="300">
        <f t="shared" si="4"/>
        <v>2.2113</v>
      </c>
      <c r="J53" s="300">
        <f t="shared" si="4"/>
        <v>3.8141999999999996</v>
      </c>
      <c r="K53" s="300">
        <f t="shared" si="4"/>
        <v>11.033099999999999</v>
      </c>
      <c r="L53" s="301">
        <f t="shared" si="4"/>
        <v>6.0196500000000004</v>
      </c>
      <c r="M53" s="156">
        <v>117</v>
      </c>
    </row>
    <row r="54" spans="4:14" x14ac:dyDescent="0.35">
      <c r="D54" s="77" t="s">
        <v>294</v>
      </c>
      <c r="E54" s="77" t="s">
        <v>355</v>
      </c>
      <c r="F54" s="17" t="s">
        <v>213</v>
      </c>
      <c r="G54" s="159">
        <f>(24.4+27.6+0.021+0.6+0.042+1.89+1.84+5.65)/100</f>
        <v>0.62043000000000004</v>
      </c>
      <c r="H54" s="159">
        <v>0.14499999999999999</v>
      </c>
      <c r="I54" s="159">
        <v>1.89E-2</v>
      </c>
      <c r="J54" s="159">
        <v>0.13800000000000001</v>
      </c>
      <c r="K54" s="159">
        <v>5.1999999999999998E-3</v>
      </c>
      <c r="L54" s="158">
        <f>(0.031+1.58+0.38+5.21+0.061)/100</f>
        <v>7.2620000000000004E-2</v>
      </c>
      <c r="M54" s="11">
        <f t="shared" ref="M54:M92" si="5">SUM(G54:L54)</f>
        <v>1.0001500000000001</v>
      </c>
    </row>
    <row r="55" spans="4:14" x14ac:dyDescent="0.35">
      <c r="F55" s="17" t="s">
        <v>305</v>
      </c>
      <c r="G55" s="300">
        <f>G54*$M55</f>
        <v>45.415476000000005</v>
      </c>
      <c r="H55" s="300">
        <f t="shared" ref="H55:L55" si="6">H54*$M55</f>
        <v>10.613999999999999</v>
      </c>
      <c r="I55" s="300">
        <f t="shared" si="6"/>
        <v>1.38348</v>
      </c>
      <c r="J55" s="300">
        <f t="shared" si="6"/>
        <v>10.101600000000001</v>
      </c>
      <c r="K55" s="300">
        <f t="shared" si="6"/>
        <v>0.38063999999999998</v>
      </c>
      <c r="L55" s="301">
        <f t="shared" si="6"/>
        <v>5.3157840000000007</v>
      </c>
      <c r="M55" s="156">
        <v>73.2</v>
      </c>
    </row>
    <row r="56" spans="4:14" x14ac:dyDescent="0.35">
      <c r="D56" s="77" t="s">
        <v>296</v>
      </c>
      <c r="E56" s="77" t="s">
        <v>355</v>
      </c>
      <c r="F56" s="17" t="s">
        <v>213</v>
      </c>
      <c r="G56" s="159">
        <f>(1.4+9.64+0.36+40.1+0.25+2.63+1.59+2.82+0.0065+3.03+2.26+0.024)/100</f>
        <v>0.64110500000000015</v>
      </c>
      <c r="H56" s="159">
        <v>0.14000000000000001</v>
      </c>
      <c r="I56" s="159">
        <v>1.0500000000000001E-2</v>
      </c>
      <c r="J56" s="159">
        <v>2.7799999999999998E-2</v>
      </c>
      <c r="K56" s="159">
        <v>2.9899999999999999E-2</v>
      </c>
      <c r="L56" s="158">
        <f>(0.069+1.54+4.74+7.88+0.056+0.011+0.78)/100</f>
        <v>0.15075999999999998</v>
      </c>
      <c r="M56" s="11">
        <f t="shared" si="5"/>
        <v>1.0000650000000002</v>
      </c>
    </row>
    <row r="57" spans="4:14" x14ac:dyDescent="0.35">
      <c r="F57" s="17" t="s">
        <v>305</v>
      </c>
      <c r="G57" s="300">
        <f>G56*$M57</f>
        <v>43.979803000000004</v>
      </c>
      <c r="H57" s="300">
        <f t="shared" ref="H57:L57" si="7">H56*$M57</f>
        <v>9.604000000000001</v>
      </c>
      <c r="I57" s="300">
        <f t="shared" si="7"/>
        <v>0.72029999999999994</v>
      </c>
      <c r="J57" s="300">
        <f t="shared" si="7"/>
        <v>1.9070799999999997</v>
      </c>
      <c r="K57" s="300">
        <f t="shared" si="7"/>
        <v>2.0511399999999997</v>
      </c>
      <c r="L57" s="301">
        <f t="shared" si="7"/>
        <v>10.342135999999998</v>
      </c>
      <c r="M57" s="156">
        <v>68.599999999999994</v>
      </c>
    </row>
    <row r="58" spans="4:14" x14ac:dyDescent="0.35">
      <c r="D58" s="77" t="s">
        <v>326</v>
      </c>
      <c r="E58" s="77" t="s">
        <v>355</v>
      </c>
      <c r="F58" s="17" t="s">
        <v>213</v>
      </c>
      <c r="G58" s="159">
        <f>(0.032+1.21+41.1+8.91+0.0024+6.88)/100</f>
        <v>0.58134399999999997</v>
      </c>
      <c r="H58" s="159">
        <v>6.3399999999999998E-2</v>
      </c>
      <c r="I58" s="159">
        <v>0</v>
      </c>
      <c r="J58" s="159">
        <v>4.7000000000000002E-3</v>
      </c>
      <c r="K58" s="159">
        <v>0</v>
      </c>
      <c r="L58" s="158">
        <v>0.35099999999999998</v>
      </c>
      <c r="M58" s="11">
        <f t="shared" si="5"/>
        <v>1.0004439999999999</v>
      </c>
    </row>
    <row r="59" spans="4:14" x14ac:dyDescent="0.35">
      <c r="F59" s="17" t="s">
        <v>305</v>
      </c>
      <c r="G59" s="300">
        <f>G58*$M59</f>
        <v>22.439878400000001</v>
      </c>
      <c r="H59" s="300">
        <f t="shared" ref="H59:L59" si="8">H58*$M59</f>
        <v>2.4472399999999999</v>
      </c>
      <c r="I59" s="300">
        <f t="shared" si="8"/>
        <v>0</v>
      </c>
      <c r="J59" s="300">
        <f t="shared" si="8"/>
        <v>0.18142000000000003</v>
      </c>
      <c r="K59" s="300">
        <f t="shared" si="8"/>
        <v>0</v>
      </c>
      <c r="L59" s="301">
        <f t="shared" si="8"/>
        <v>13.5486</v>
      </c>
      <c r="M59" s="156">
        <v>38.6</v>
      </c>
    </row>
    <row r="60" spans="4:14" x14ac:dyDescent="0.35">
      <c r="D60" s="77" t="s">
        <v>299</v>
      </c>
      <c r="E60" s="77" t="s">
        <v>355</v>
      </c>
      <c r="F60" s="17" t="s">
        <v>213</v>
      </c>
      <c r="G60" s="159">
        <f>(0.32+6.53+0.045+5.11+0.095+1.78+2.05+0.12+0.075+0.011+0.052+0.04+0.013+0.025+0.016)/100</f>
        <v>0.16281999999999996</v>
      </c>
      <c r="H60" s="159">
        <v>0.81299999999999994</v>
      </c>
      <c r="I60" s="159">
        <v>3.0999999999999999E-3</v>
      </c>
      <c r="J60" s="159">
        <v>0</v>
      </c>
      <c r="K60" s="159">
        <v>0</v>
      </c>
      <c r="L60" s="158">
        <f>(0.014+1.9+0.017+0.16)/100</f>
        <v>2.0909999999999998E-2</v>
      </c>
      <c r="M60" s="11">
        <f t="shared" si="5"/>
        <v>0.99982999999999989</v>
      </c>
    </row>
    <row r="61" spans="4:14" x14ac:dyDescent="0.35">
      <c r="F61" s="17" t="s">
        <v>305</v>
      </c>
      <c r="G61" s="300">
        <f>G60*$M61</f>
        <v>5.5847259999999981</v>
      </c>
      <c r="H61" s="300">
        <f t="shared" ref="H61:L61" si="9">H60*$M61</f>
        <v>27.885899999999996</v>
      </c>
      <c r="I61" s="300">
        <f t="shared" si="9"/>
        <v>0.10632999999999999</v>
      </c>
      <c r="J61" s="300">
        <f t="shared" si="9"/>
        <v>0</v>
      </c>
      <c r="K61" s="300">
        <f t="shared" si="9"/>
        <v>0</v>
      </c>
      <c r="L61" s="301">
        <f t="shared" si="9"/>
        <v>0.71721299999999988</v>
      </c>
      <c r="M61" s="156">
        <v>34.299999999999997</v>
      </c>
    </row>
    <row r="62" spans="4:14" x14ac:dyDescent="0.35">
      <c r="D62" s="77" t="s">
        <v>295</v>
      </c>
      <c r="E62" s="77" t="s">
        <v>355</v>
      </c>
      <c r="F62" s="17" t="s">
        <v>213</v>
      </c>
      <c r="G62" s="159">
        <f>(4.58+47.2+18.3+13.1+1.01+5.62+0.26+1.41)/100</f>
        <v>0.91480000000000006</v>
      </c>
      <c r="H62" s="159">
        <v>1.7899999999999999E-2</v>
      </c>
      <c r="I62" s="159">
        <v>2.9000000000000001E-2</v>
      </c>
      <c r="J62" s="159">
        <v>0</v>
      </c>
      <c r="K62" s="159">
        <v>3.8399999999999997E-2</v>
      </c>
      <c r="L62" s="169">
        <v>1.9000000000000001E-4</v>
      </c>
      <c r="M62" s="11">
        <f t="shared" si="5"/>
        <v>1.0002900000000001</v>
      </c>
    </row>
    <row r="63" spans="4:14" x14ac:dyDescent="0.35">
      <c r="F63" s="17" t="s">
        <v>305</v>
      </c>
      <c r="G63" s="300">
        <f>G62*$M63</f>
        <v>27.718440000000001</v>
      </c>
      <c r="H63" s="300">
        <f t="shared" ref="H63:L63" si="10">H62*$M63</f>
        <v>0.54237000000000002</v>
      </c>
      <c r="I63" s="300">
        <f t="shared" si="10"/>
        <v>0.87870000000000004</v>
      </c>
      <c r="J63" s="300">
        <f t="shared" si="10"/>
        <v>0</v>
      </c>
      <c r="K63" s="300">
        <f t="shared" si="10"/>
        <v>1.1635199999999999</v>
      </c>
      <c r="L63" s="301">
        <f t="shared" si="10"/>
        <v>5.7570000000000008E-3</v>
      </c>
      <c r="M63" s="156">
        <v>30.3</v>
      </c>
    </row>
    <row r="64" spans="4:14" x14ac:dyDescent="0.35">
      <c r="D64" s="77" t="s">
        <v>309</v>
      </c>
      <c r="E64" s="77" t="s">
        <v>355</v>
      </c>
      <c r="F64" s="17" t="s">
        <v>213</v>
      </c>
      <c r="G64" s="159">
        <f>(0.012+7.05+59.8+0.29+14+6.32+0.021+1.81)/100</f>
        <v>0.8930300000000001</v>
      </c>
      <c r="H64" s="159">
        <v>6.9900000000000004E-2</v>
      </c>
      <c r="I64" s="159">
        <v>0</v>
      </c>
      <c r="J64" s="159">
        <v>1.46E-2</v>
      </c>
      <c r="K64" s="159">
        <v>8.9999999999999998E-4</v>
      </c>
      <c r="L64" s="158">
        <f>(2.08+0.14)/100</f>
        <v>2.2200000000000001E-2</v>
      </c>
      <c r="M64" s="11">
        <f t="shared" si="5"/>
        <v>1.0006300000000001</v>
      </c>
    </row>
    <row r="65" spans="4:13" x14ac:dyDescent="0.35">
      <c r="F65" s="17" t="s">
        <v>305</v>
      </c>
      <c r="G65" s="300">
        <f>G64*$M65</f>
        <v>46.973378000000004</v>
      </c>
      <c r="H65" s="300">
        <f t="shared" ref="H65:L65" si="11">H64*$M65</f>
        <v>3.6767400000000001</v>
      </c>
      <c r="I65" s="300">
        <f t="shared" si="11"/>
        <v>0</v>
      </c>
      <c r="J65" s="300">
        <f t="shared" si="11"/>
        <v>0.76795999999999998</v>
      </c>
      <c r="K65" s="300">
        <f t="shared" si="11"/>
        <v>4.734E-2</v>
      </c>
      <c r="L65" s="301">
        <f t="shared" si="11"/>
        <v>1.1677200000000001</v>
      </c>
      <c r="M65" s="156">
        <v>52.6</v>
      </c>
    </row>
    <row r="66" spans="4:13" x14ac:dyDescent="0.35">
      <c r="D66" s="77" t="s">
        <v>298</v>
      </c>
      <c r="E66" s="77" t="s">
        <v>355</v>
      </c>
      <c r="F66" s="17" t="s">
        <v>213</v>
      </c>
      <c r="G66" s="159">
        <f>(0.035+2.8+0.017+46.5+0.031+0.03+24.9+0.095)/100</f>
        <v>0.74407999999999985</v>
      </c>
      <c r="H66" s="159">
        <v>0.16200000000000001</v>
      </c>
      <c r="I66" s="159">
        <v>3.0999999999999999E-3</v>
      </c>
      <c r="J66" s="159">
        <v>6.6900000000000001E-2</v>
      </c>
      <c r="K66" s="159">
        <v>2.3099999999999999E-2</v>
      </c>
      <c r="L66" s="158">
        <v>0</v>
      </c>
      <c r="M66" s="11">
        <f t="shared" si="5"/>
        <v>0.99917999999999985</v>
      </c>
    </row>
    <row r="67" spans="4:13" x14ac:dyDescent="0.35">
      <c r="F67" s="17" t="s">
        <v>305</v>
      </c>
      <c r="G67" s="300">
        <f>G66*$M67</f>
        <v>18.006735999999997</v>
      </c>
      <c r="H67" s="300">
        <f t="shared" ref="H67:L67" si="12">H66*$M67</f>
        <v>3.9203999999999999</v>
      </c>
      <c r="I67" s="300">
        <f t="shared" si="12"/>
        <v>7.5019999999999989E-2</v>
      </c>
      <c r="J67" s="300">
        <f t="shared" si="12"/>
        <v>1.6189800000000001</v>
      </c>
      <c r="K67" s="300">
        <f t="shared" si="12"/>
        <v>0.55901999999999996</v>
      </c>
      <c r="L67" s="301">
        <f t="shared" si="12"/>
        <v>0</v>
      </c>
      <c r="M67" s="156">
        <v>24.2</v>
      </c>
    </row>
    <row r="68" spans="4:13" x14ac:dyDescent="0.35">
      <c r="D68" s="77" t="s">
        <v>293</v>
      </c>
      <c r="E68" s="77" t="s">
        <v>355</v>
      </c>
      <c r="F68" s="17" t="s">
        <v>213</v>
      </c>
      <c r="G68" s="159">
        <f>(0.013+20.5+30.3+2.43+6.16+0.37+1.85+0.01+0.21+5.66+7.51)/100</f>
        <v>0.75013000000000007</v>
      </c>
      <c r="H68" s="159">
        <v>0.19400000000000001</v>
      </c>
      <c r="I68" s="159">
        <v>0</v>
      </c>
      <c r="J68" s="159">
        <v>0</v>
      </c>
      <c r="K68" s="159">
        <v>0.03</v>
      </c>
      <c r="L68" s="158">
        <f>(2.59+0.0045)/100</f>
        <v>2.5944999999999999E-2</v>
      </c>
      <c r="M68" s="11">
        <f t="shared" si="5"/>
        <v>1.0000750000000003</v>
      </c>
    </row>
    <row r="69" spans="4:13" x14ac:dyDescent="0.35">
      <c r="F69" s="17" t="s">
        <v>305</v>
      </c>
      <c r="G69" s="300">
        <f>G68*$M69</f>
        <v>16.727899000000001</v>
      </c>
      <c r="H69" s="300">
        <f t="shared" ref="H69:L69" si="13">H68*$M69</f>
        <v>4.3262</v>
      </c>
      <c r="I69" s="300">
        <f t="shared" si="13"/>
        <v>0</v>
      </c>
      <c r="J69" s="300">
        <f t="shared" si="13"/>
        <v>0</v>
      </c>
      <c r="K69" s="300">
        <f t="shared" si="13"/>
        <v>0.66900000000000004</v>
      </c>
      <c r="L69" s="301">
        <f t="shared" si="13"/>
        <v>0.57857349999999996</v>
      </c>
      <c r="M69" s="156">
        <v>22.3</v>
      </c>
    </row>
    <row r="70" spans="4:13" x14ac:dyDescent="0.35">
      <c r="D70" s="77" t="s">
        <v>322</v>
      </c>
      <c r="E70" s="77" t="s">
        <v>355</v>
      </c>
      <c r="F70" s="17" t="s">
        <v>213</v>
      </c>
      <c r="G70" s="159">
        <f>(0.1+39.4+11+0.49+0.58+0.13+42.6)/100</f>
        <v>0.94300000000000006</v>
      </c>
      <c r="H70" s="159">
        <v>0</v>
      </c>
      <c r="I70" s="159">
        <v>3.8800000000000001E-2</v>
      </c>
      <c r="J70" s="159">
        <v>0</v>
      </c>
      <c r="K70" s="159">
        <v>1.83E-2</v>
      </c>
      <c r="L70" s="158">
        <f>0.024/100</f>
        <v>2.4000000000000001E-4</v>
      </c>
      <c r="M70" s="11">
        <f t="shared" si="5"/>
        <v>1.00034</v>
      </c>
    </row>
    <row r="71" spans="4:13" x14ac:dyDescent="0.35">
      <c r="F71" s="17" t="s">
        <v>305</v>
      </c>
      <c r="G71" s="300">
        <f>G70*$M71</f>
        <v>20.2745</v>
      </c>
      <c r="H71" s="300">
        <f t="shared" ref="H71:L71" si="14">H70*$M71</f>
        <v>0</v>
      </c>
      <c r="I71" s="300">
        <f t="shared" si="14"/>
        <v>0.83420000000000005</v>
      </c>
      <c r="J71" s="300">
        <f t="shared" si="14"/>
        <v>0</v>
      </c>
      <c r="K71" s="300">
        <f t="shared" si="14"/>
        <v>0.39345000000000002</v>
      </c>
      <c r="L71" s="301">
        <f t="shared" si="14"/>
        <v>5.1600000000000005E-3</v>
      </c>
      <c r="M71" s="156">
        <v>21.5</v>
      </c>
    </row>
    <row r="72" spans="4:13" x14ac:dyDescent="0.35">
      <c r="D72" s="77" t="s">
        <v>328</v>
      </c>
      <c r="E72" s="77" t="s">
        <v>355</v>
      </c>
      <c r="F72" s="17" t="s">
        <v>213</v>
      </c>
      <c r="G72" s="159">
        <f>(0.1+8.4+0.0021+0.014+70.7+1.79+2.36)/100</f>
        <v>0.83366099999999999</v>
      </c>
      <c r="H72" s="159">
        <v>3.49E-2</v>
      </c>
      <c r="I72" s="159">
        <v>0</v>
      </c>
      <c r="J72" s="159">
        <v>8.5000000000000006E-2</v>
      </c>
      <c r="K72" s="159">
        <v>4.6399999999999997E-2</v>
      </c>
      <c r="L72" s="169">
        <v>4.8999999999999998E-4</v>
      </c>
      <c r="M72" s="11">
        <f t="shared" si="5"/>
        <v>1.000451</v>
      </c>
    </row>
    <row r="73" spans="4:13" x14ac:dyDescent="0.35">
      <c r="F73" s="17" t="s">
        <v>305</v>
      </c>
      <c r="G73" s="300">
        <f>G72*$M73</f>
        <v>16.589853899999998</v>
      </c>
      <c r="H73" s="300">
        <f t="shared" ref="H73:L73" si="15">H72*$M73</f>
        <v>0.69450999999999996</v>
      </c>
      <c r="I73" s="300">
        <f t="shared" si="15"/>
        <v>0</v>
      </c>
      <c r="J73" s="300">
        <f t="shared" si="15"/>
        <v>1.6915</v>
      </c>
      <c r="K73" s="300">
        <f t="shared" si="15"/>
        <v>0.92335999999999985</v>
      </c>
      <c r="L73" s="301">
        <f t="shared" si="15"/>
        <v>9.7509999999999993E-3</v>
      </c>
      <c r="M73" s="156">
        <v>19.899999999999999</v>
      </c>
    </row>
    <row r="74" spans="4:13" x14ac:dyDescent="0.35">
      <c r="D74" s="77" t="s">
        <v>314</v>
      </c>
      <c r="E74" s="77" t="s">
        <v>355</v>
      </c>
      <c r="F74" s="17" t="s">
        <v>213</v>
      </c>
      <c r="G74" s="159">
        <f>(0.02+2.19+29+32.6+1.32+0.007+6.46+15.1)/100</f>
        <v>0.86696999999999991</v>
      </c>
      <c r="H74" s="159">
        <v>0.13100000000000001</v>
      </c>
      <c r="I74" s="159">
        <v>0</v>
      </c>
      <c r="J74" s="159">
        <v>0</v>
      </c>
      <c r="K74" s="159">
        <v>0</v>
      </c>
      <c r="L74" s="168">
        <f>0.093/100</f>
        <v>9.2999999999999995E-4</v>
      </c>
      <c r="M74" s="11">
        <f t="shared" si="5"/>
        <v>0.9988999999999999</v>
      </c>
    </row>
    <row r="75" spans="4:13" x14ac:dyDescent="0.35">
      <c r="F75" s="17" t="s">
        <v>305</v>
      </c>
      <c r="G75" s="300">
        <f>G74*$M75</f>
        <v>38.926952999999997</v>
      </c>
      <c r="H75" s="300">
        <f t="shared" ref="H75:L75" si="16">H74*$M75</f>
        <v>5.8818999999999999</v>
      </c>
      <c r="I75" s="300">
        <f t="shared" si="16"/>
        <v>0</v>
      </c>
      <c r="J75" s="300">
        <f t="shared" si="16"/>
        <v>0</v>
      </c>
      <c r="K75" s="300">
        <f t="shared" si="16"/>
        <v>0</v>
      </c>
      <c r="L75" s="301">
        <f t="shared" si="16"/>
        <v>4.1756999999999996E-2</v>
      </c>
      <c r="M75" s="156">
        <v>44.9</v>
      </c>
    </row>
    <row r="76" spans="4:13" x14ac:dyDescent="0.35">
      <c r="D76" s="77" t="s">
        <v>323</v>
      </c>
      <c r="E76" s="77" t="s">
        <v>355</v>
      </c>
      <c r="F76" s="17" t="s">
        <v>213</v>
      </c>
      <c r="G76" s="159">
        <f>(0.028+20.5+39.9+37.9+1.12)/100</f>
        <v>0.99448000000000003</v>
      </c>
      <c r="H76" s="159">
        <v>0</v>
      </c>
      <c r="I76" s="159">
        <v>0</v>
      </c>
      <c r="J76" s="159">
        <v>0</v>
      </c>
      <c r="K76" s="159">
        <v>2.5999999999999999E-3</v>
      </c>
      <c r="L76" s="158">
        <v>4.4000000000000002E-4</v>
      </c>
      <c r="M76" s="11">
        <f t="shared" si="5"/>
        <v>0.99752000000000007</v>
      </c>
    </row>
    <row r="77" spans="4:13" x14ac:dyDescent="0.35">
      <c r="F77" s="17" t="s">
        <v>305</v>
      </c>
      <c r="G77" s="300">
        <f>G76*$M77</f>
        <v>44.353808000000001</v>
      </c>
      <c r="H77" s="300">
        <f t="shared" ref="H77:L77" si="17">H76*$M77</f>
        <v>0</v>
      </c>
      <c r="I77" s="300">
        <f t="shared" si="17"/>
        <v>0</v>
      </c>
      <c r="J77" s="300">
        <f t="shared" si="17"/>
        <v>0</v>
      </c>
      <c r="K77" s="300">
        <f t="shared" si="17"/>
        <v>0.11595999999999999</v>
      </c>
      <c r="L77" s="301">
        <f t="shared" si="17"/>
        <v>1.9624000000000003E-2</v>
      </c>
      <c r="M77" s="156">
        <v>44.6</v>
      </c>
    </row>
    <row r="78" spans="4:13" x14ac:dyDescent="0.35">
      <c r="D78" s="77" t="s">
        <v>316</v>
      </c>
      <c r="E78" s="77" t="s">
        <v>355</v>
      </c>
      <c r="F78" s="17" t="s">
        <v>213</v>
      </c>
      <c r="G78" s="159">
        <f>(0.069+0.068+0.011+0.4+0.13+0.13+0.035+0.097)/100</f>
        <v>9.4000000000000004E-3</v>
      </c>
      <c r="H78" s="159">
        <v>0.60199999999999998</v>
      </c>
      <c r="I78" s="159">
        <v>2.2499999999999999E-2</v>
      </c>
      <c r="J78" s="159">
        <v>4.7999999999999996E-3</v>
      </c>
      <c r="K78" s="159">
        <v>0.28999999999999998</v>
      </c>
      <c r="L78" s="158">
        <f>(0.49+5.95+0.012+0.62)/100</f>
        <v>7.0720000000000005E-2</v>
      </c>
      <c r="M78" s="11">
        <f t="shared" si="5"/>
        <v>0.99941999999999986</v>
      </c>
    </row>
    <row r="79" spans="4:13" x14ac:dyDescent="0.35">
      <c r="F79" s="17" t="s">
        <v>305</v>
      </c>
      <c r="G79" s="300">
        <f>G78*$M79</f>
        <v>0.15886</v>
      </c>
      <c r="H79" s="300">
        <f t="shared" ref="H79:L79" si="18">H78*$M79</f>
        <v>10.173799999999998</v>
      </c>
      <c r="I79" s="300">
        <f t="shared" si="18"/>
        <v>0.38024999999999998</v>
      </c>
      <c r="J79" s="300">
        <f t="shared" si="18"/>
        <v>8.1119999999999984E-2</v>
      </c>
      <c r="K79" s="300">
        <f t="shared" si="18"/>
        <v>4.9009999999999989</v>
      </c>
      <c r="L79" s="301">
        <f t="shared" si="18"/>
        <v>1.195168</v>
      </c>
      <c r="M79" s="156">
        <v>16.899999999999999</v>
      </c>
    </row>
    <row r="80" spans="4:13" x14ac:dyDescent="0.35">
      <c r="D80" s="77" t="s">
        <v>300</v>
      </c>
      <c r="E80" s="77" t="s">
        <v>355</v>
      </c>
      <c r="F80" s="17" t="s">
        <v>213</v>
      </c>
      <c r="G80" s="159">
        <f>(6.96+0.018+42+17.6+2.61+0.017+0.023+5.07+0.83+2.27)/100</f>
        <v>0.77398</v>
      </c>
      <c r="H80" s="159">
        <v>0.153</v>
      </c>
      <c r="I80" s="159">
        <v>8.8000000000000005E-3</v>
      </c>
      <c r="J80" s="159">
        <v>5.3E-3</v>
      </c>
      <c r="K80" s="159">
        <v>5.0000000000000001E-3</v>
      </c>
      <c r="L80" s="158">
        <f>(2.6+0.45+2.25)/100</f>
        <v>5.3000000000000005E-2</v>
      </c>
      <c r="M80" s="11">
        <f t="shared" si="5"/>
        <v>0.99908000000000008</v>
      </c>
    </row>
    <row r="81" spans="4:13" x14ac:dyDescent="0.35">
      <c r="F81" s="17" t="s">
        <v>305</v>
      </c>
      <c r="G81" s="300">
        <f>G80*$M81</f>
        <v>11.222709999999999</v>
      </c>
      <c r="H81" s="300">
        <f t="shared" ref="H81:L81" si="19">H80*$M81</f>
        <v>2.2185000000000001</v>
      </c>
      <c r="I81" s="300">
        <f t="shared" si="19"/>
        <v>0.12760000000000002</v>
      </c>
      <c r="J81" s="300">
        <f t="shared" si="19"/>
        <v>7.6850000000000002E-2</v>
      </c>
      <c r="K81" s="300">
        <f t="shared" si="19"/>
        <v>7.2499999999999995E-2</v>
      </c>
      <c r="L81" s="301">
        <f t="shared" si="19"/>
        <v>0.76850000000000007</v>
      </c>
      <c r="M81" s="156">
        <v>14.5</v>
      </c>
    </row>
    <row r="82" spans="4:13" x14ac:dyDescent="0.35">
      <c r="D82" s="77" t="s">
        <v>315</v>
      </c>
      <c r="E82" s="77" t="s">
        <v>355</v>
      </c>
      <c r="F82" s="17" t="s">
        <v>213</v>
      </c>
      <c r="G82" s="159">
        <f>(0.65+24.8+26.4+0.1+0.46+9.98+8.32)/100</f>
        <v>0.70710000000000006</v>
      </c>
      <c r="H82" s="159">
        <v>0.186</v>
      </c>
      <c r="I82" s="159">
        <v>0</v>
      </c>
      <c r="J82" s="159">
        <v>1.29E-2</v>
      </c>
      <c r="K82" s="159">
        <v>8.2100000000000006E-2</v>
      </c>
      <c r="L82" s="158">
        <f>(1.12+0.027+0.016+0.046)/100</f>
        <v>1.209E-2</v>
      </c>
      <c r="M82" s="11">
        <f t="shared" si="5"/>
        <v>1.0001899999999999</v>
      </c>
    </row>
    <row r="83" spans="4:13" x14ac:dyDescent="0.35">
      <c r="F83" s="17" t="s">
        <v>305</v>
      </c>
      <c r="G83" s="300">
        <f>G82*$M83</f>
        <v>7.4245500000000009</v>
      </c>
      <c r="H83" s="300">
        <f t="shared" ref="H83:L83" si="20">H82*$M83</f>
        <v>1.9530000000000001</v>
      </c>
      <c r="I83" s="300">
        <f t="shared" si="20"/>
        <v>0</v>
      </c>
      <c r="J83" s="300">
        <f t="shared" si="20"/>
        <v>0.13544999999999999</v>
      </c>
      <c r="K83" s="300">
        <f t="shared" si="20"/>
        <v>0.86205000000000009</v>
      </c>
      <c r="L83" s="301">
        <f t="shared" si="20"/>
        <v>0.126945</v>
      </c>
      <c r="M83" s="156">
        <v>10.5</v>
      </c>
    </row>
    <row r="84" spans="4:13" x14ac:dyDescent="0.35">
      <c r="D84" s="77" t="s">
        <v>319</v>
      </c>
      <c r="E84" s="77" t="s">
        <v>355</v>
      </c>
      <c r="F84" s="17" t="s">
        <v>213</v>
      </c>
      <c r="G84" s="159">
        <f>(0.11+3.81+0.02+51.8+1.94+1.87+0.036+7.55+0.052+1.06+10.5)/100</f>
        <v>0.78748000000000007</v>
      </c>
      <c r="H84" s="159">
        <v>9.1499999999999998E-2</v>
      </c>
      <c r="I84" s="159">
        <v>0</v>
      </c>
      <c r="J84" s="159">
        <v>0.106</v>
      </c>
      <c r="K84" s="159">
        <v>1.17E-2</v>
      </c>
      <c r="L84" s="158">
        <f>(0.029+0.33)/100</f>
        <v>3.5900000000000003E-3</v>
      </c>
      <c r="M84" s="11">
        <f t="shared" si="5"/>
        <v>1.0002700000000002</v>
      </c>
    </row>
    <row r="85" spans="4:13" x14ac:dyDescent="0.35">
      <c r="F85" s="17" t="s">
        <v>305</v>
      </c>
      <c r="G85" s="300">
        <f>G84*$M85</f>
        <v>8.1110440000000015</v>
      </c>
      <c r="H85" s="300">
        <f t="shared" ref="H85:L85" si="21">H84*$M85</f>
        <v>0.94245000000000001</v>
      </c>
      <c r="I85" s="300">
        <f t="shared" si="21"/>
        <v>0</v>
      </c>
      <c r="J85" s="300">
        <f t="shared" si="21"/>
        <v>1.0918000000000001</v>
      </c>
      <c r="K85" s="300">
        <f t="shared" si="21"/>
        <v>0.12051000000000001</v>
      </c>
      <c r="L85" s="301">
        <f t="shared" si="21"/>
        <v>3.6977000000000003E-2</v>
      </c>
      <c r="M85" s="156">
        <v>10.3</v>
      </c>
    </row>
    <row r="86" spans="4:13" x14ac:dyDescent="0.35">
      <c r="D86" s="77" t="s">
        <v>292</v>
      </c>
      <c r="E86" s="77" t="s">
        <v>355</v>
      </c>
      <c r="F86" s="17" t="s">
        <v>213</v>
      </c>
      <c r="G86" s="159">
        <f>(0.054+0.038+0.029+0.064+35.8+17.7+8.39+0.051+0.43)/100</f>
        <v>0.62556</v>
      </c>
      <c r="H86" s="159">
        <v>0.16500000000000001</v>
      </c>
      <c r="I86" s="159">
        <v>0</v>
      </c>
      <c r="J86" s="159">
        <v>0</v>
      </c>
      <c r="K86" s="159">
        <v>0</v>
      </c>
      <c r="L86" s="158">
        <f>(11.5+9.48)/100</f>
        <v>0.20980000000000001</v>
      </c>
      <c r="M86" s="11">
        <f t="shared" si="5"/>
        <v>1.0003600000000001</v>
      </c>
    </row>
    <row r="87" spans="4:13" x14ac:dyDescent="0.35">
      <c r="F87" s="17" t="s">
        <v>305</v>
      </c>
      <c r="G87" s="300">
        <f>G86*$M87</f>
        <v>5.9928648000000004</v>
      </c>
      <c r="H87" s="300">
        <f t="shared" ref="H87:L87" si="22">H86*$M87</f>
        <v>1.5807</v>
      </c>
      <c r="I87" s="300">
        <f t="shared" si="22"/>
        <v>0</v>
      </c>
      <c r="J87" s="300">
        <f t="shared" si="22"/>
        <v>0</v>
      </c>
      <c r="K87" s="300">
        <f t="shared" si="22"/>
        <v>0</v>
      </c>
      <c r="L87" s="301">
        <f t="shared" si="22"/>
        <v>2.009884</v>
      </c>
      <c r="M87" s="156">
        <v>9.58</v>
      </c>
    </row>
    <row r="88" spans="4:13" x14ac:dyDescent="0.35">
      <c r="D88" s="77" t="s">
        <v>311</v>
      </c>
      <c r="E88" s="77" t="s">
        <v>355</v>
      </c>
      <c r="F88" s="17" t="s">
        <v>213</v>
      </c>
      <c r="G88" s="159">
        <f>(15.2+10.9+0.055+0.11+0.0081+0.035+1.92+0.12+21)/100</f>
        <v>0.493481</v>
      </c>
      <c r="H88" s="159">
        <v>0.32</v>
      </c>
      <c r="I88" s="159">
        <v>0</v>
      </c>
      <c r="J88" s="159">
        <v>0</v>
      </c>
      <c r="K88" s="159">
        <v>7.85E-2</v>
      </c>
      <c r="L88" s="158">
        <f>(0.061+10.6)/100</f>
        <v>0.10661</v>
      </c>
      <c r="M88" s="11">
        <f t="shared" si="5"/>
        <v>0.99859100000000001</v>
      </c>
    </row>
    <row r="89" spans="4:13" x14ac:dyDescent="0.35">
      <c r="F89" s="17" t="s">
        <v>305</v>
      </c>
      <c r="G89" s="300">
        <f>G88*$M89</f>
        <v>2.3687087999999998</v>
      </c>
      <c r="H89" s="300">
        <f t="shared" ref="H89:L89" si="23">H88*$M89</f>
        <v>1.536</v>
      </c>
      <c r="I89" s="300">
        <f t="shared" si="23"/>
        <v>0</v>
      </c>
      <c r="J89" s="300">
        <f t="shared" si="23"/>
        <v>0</v>
      </c>
      <c r="K89" s="300">
        <f t="shared" si="23"/>
        <v>0.37679999999999997</v>
      </c>
      <c r="L89" s="301">
        <f t="shared" si="23"/>
        <v>0.51172799999999996</v>
      </c>
      <c r="M89" s="156">
        <v>4.8</v>
      </c>
    </row>
    <row r="90" spans="4:13" x14ac:dyDescent="0.35">
      <c r="D90" s="77" t="s">
        <v>312</v>
      </c>
      <c r="E90" s="77" t="s">
        <v>355</v>
      </c>
      <c r="F90" s="17" t="s">
        <v>213</v>
      </c>
      <c r="G90" s="159">
        <f>(0.069+1.91+0.2+10.7+0.06)/100</f>
        <v>0.12939000000000001</v>
      </c>
      <c r="H90" s="159">
        <v>0.51200000000000001</v>
      </c>
      <c r="I90" s="159">
        <v>0</v>
      </c>
      <c r="J90" s="159">
        <v>0</v>
      </c>
      <c r="K90" s="159">
        <v>0.35899999999999999</v>
      </c>
      <c r="L90" s="158">
        <v>3.1E-4</v>
      </c>
      <c r="M90" s="11">
        <f t="shared" si="5"/>
        <v>1.0006999999999999</v>
      </c>
    </row>
    <row r="91" spans="4:13" x14ac:dyDescent="0.35">
      <c r="F91" s="17" t="s">
        <v>305</v>
      </c>
      <c r="G91" s="300">
        <f>G90*$M91</f>
        <v>0.36746760000000001</v>
      </c>
      <c r="H91" s="300">
        <f t="shared" ref="H91:L91" si="24">H90*$M91</f>
        <v>1.45408</v>
      </c>
      <c r="I91" s="300">
        <f t="shared" si="24"/>
        <v>0</v>
      </c>
      <c r="J91" s="300">
        <f t="shared" si="24"/>
        <v>0</v>
      </c>
      <c r="K91" s="300">
        <f t="shared" si="24"/>
        <v>1.0195599999999998</v>
      </c>
      <c r="L91" s="301">
        <f t="shared" si="24"/>
        <v>8.8039999999999993E-4</v>
      </c>
      <c r="M91" s="156">
        <v>2.84</v>
      </c>
    </row>
    <row r="92" spans="4:13" x14ac:dyDescent="0.35">
      <c r="D92" s="77" t="s">
        <v>324</v>
      </c>
      <c r="E92" s="77" t="s">
        <v>355</v>
      </c>
      <c r="F92" s="17" t="s">
        <v>213</v>
      </c>
      <c r="G92" s="167">
        <f>(1-J92)*(1-62.8/100)</f>
        <v>7.4400000000000063E-4</v>
      </c>
      <c r="H92" s="159">
        <v>0</v>
      </c>
      <c r="I92" s="167">
        <f>(1-J92)*62.8/100</f>
        <v>1.256000000000001E-3</v>
      </c>
      <c r="J92" s="159">
        <v>0.998</v>
      </c>
      <c r="K92" s="159">
        <v>0</v>
      </c>
      <c r="L92" s="158">
        <v>0</v>
      </c>
      <c r="M92" s="11">
        <f t="shared" si="5"/>
        <v>1</v>
      </c>
    </row>
    <row r="93" spans="4:13" x14ac:dyDescent="0.35">
      <c r="F93" s="17" t="s">
        <v>305</v>
      </c>
      <c r="G93" s="300">
        <f>G92*$M93</f>
        <v>1.2722400000000011E-3</v>
      </c>
      <c r="H93" s="300">
        <f t="shared" ref="H93:L93" si="25">H92*$M93</f>
        <v>0</v>
      </c>
      <c r="I93" s="300">
        <f t="shared" si="25"/>
        <v>2.1477600000000016E-3</v>
      </c>
      <c r="J93" s="300">
        <f t="shared" si="25"/>
        <v>1.70658</v>
      </c>
      <c r="K93" s="300">
        <f t="shared" si="25"/>
        <v>0</v>
      </c>
      <c r="L93" s="301">
        <f t="shared" si="25"/>
        <v>0</v>
      </c>
      <c r="M93" s="156">
        <v>1.71</v>
      </c>
    </row>
    <row r="95" spans="4:13" x14ac:dyDescent="0.35">
      <c r="D95" s="18" t="s">
        <v>356</v>
      </c>
      <c r="E95" s="18" t="s">
        <v>355</v>
      </c>
      <c r="F95" s="16" t="s">
        <v>213</v>
      </c>
      <c r="G95" s="254">
        <f>G96/$M$96</f>
        <v>0.6468220353759514</v>
      </c>
      <c r="H95" s="254">
        <f t="shared" ref="H95:L95" si="26">H96/$M$96</f>
        <v>0.16852945407583597</v>
      </c>
      <c r="I95" s="254">
        <f t="shared" si="26"/>
        <v>7.0158143579935094E-3</v>
      </c>
      <c r="J95" s="254">
        <f t="shared" si="26"/>
        <v>2.257631413321563E-2</v>
      </c>
      <c r="K95" s="254">
        <f t="shared" si="26"/>
        <v>3.0989635696361869E-2</v>
      </c>
      <c r="L95" s="302">
        <f t="shared" si="26"/>
        <v>0.12350803143620799</v>
      </c>
      <c r="M95" s="19"/>
    </row>
    <row r="96" spans="4:13" x14ac:dyDescent="0.35">
      <c r="F96" s="17" t="s">
        <v>305</v>
      </c>
      <c r="G96" s="156">
        <f>G49+G51+G53+G55+G57+G59+G61+G61+G63+G65+G67+G69+G71+G73+G75+G77+G79+G81+G83+G85+G87+G89+G91+G93</f>
        <v>791.34148274000029</v>
      </c>
      <c r="H96" s="156">
        <f t="shared" ref="H96:K96" si="27">H49+H51+H53+H55+H57+H59+H61+H61+H63+H65+H67+H69+H71+H73+H75+H77+H79+H81+H83+H85+H87+H89+H91+H93</f>
        <v>206.18399000000002</v>
      </c>
      <c r="I96" s="156">
        <f t="shared" si="27"/>
        <v>8.5833577600000002</v>
      </c>
      <c r="J96" s="156">
        <f t="shared" si="27"/>
        <v>27.620539999999998</v>
      </c>
      <c r="K96" s="156">
        <f t="shared" si="27"/>
        <v>37.913650000000004</v>
      </c>
      <c r="L96" s="157">
        <f>L49+L51+L53+L55+L57+L59+L61+L61+L63+L65+L67+L69+L71+L73+L75+L77+L79+L81+L83+L85+L87+L89+L91+L93</f>
        <v>151.10343089999995</v>
      </c>
      <c r="M96" s="156">
        <f>M49+M51+M53+M55+M57+M59+M61+M61+M63+M65+M67+M69+M71+M73+M75+M77+M79+M81+M83+M85+M87+M89+M91+M93</f>
        <v>1223.43</v>
      </c>
    </row>
    <row r="97" spans="2:14" x14ac:dyDescent="0.35">
      <c r="G97" s="156"/>
      <c r="H97" s="156"/>
      <c r="I97" s="156"/>
      <c r="J97" s="156"/>
      <c r="K97" s="156"/>
      <c r="L97" s="157"/>
      <c r="M97" s="156"/>
    </row>
    <row r="98" spans="2:14" x14ac:dyDescent="0.35">
      <c r="M98" s="156"/>
    </row>
    <row r="99" spans="2:14" x14ac:dyDescent="0.35">
      <c r="B99" s="154" t="s">
        <v>238</v>
      </c>
      <c r="C99" s="364" t="s">
        <v>357</v>
      </c>
    </row>
    <row r="101" spans="2:14" x14ac:dyDescent="0.35">
      <c r="D101" s="77" t="s">
        <v>354</v>
      </c>
      <c r="E101" s="77" t="s">
        <v>355</v>
      </c>
      <c r="F101" s="17" t="s">
        <v>213</v>
      </c>
      <c r="G101" s="303">
        <f>(3.11+2.13+14.2+0.17+13.5+0.25+0.36+0.038+0.035+0.024+0.039+0.34+23.8+2.08+0.034)/100</f>
        <v>0.60109999999999997</v>
      </c>
      <c r="H101" s="303">
        <v>2.5000000000000001E-3</v>
      </c>
      <c r="I101" s="303">
        <v>3.1699999999999999E-2</v>
      </c>
      <c r="J101" s="303">
        <v>0</v>
      </c>
      <c r="K101" s="303">
        <v>0</v>
      </c>
      <c r="L101" s="304">
        <f>(3.66+32.7+0.056)/100</f>
        <v>0.36415999999999998</v>
      </c>
      <c r="M101" s="11">
        <f>SUM(G101:L101)</f>
        <v>0.99945999999999979</v>
      </c>
    </row>
    <row r="102" spans="2:14" x14ac:dyDescent="0.35">
      <c r="F102" s="17" t="s">
        <v>305</v>
      </c>
      <c r="G102" s="305">
        <f>G101*$M102</f>
        <v>2.1880039999999998</v>
      </c>
      <c r="H102" s="305">
        <f t="shared" ref="H102:L102" si="28">H101*$M102</f>
        <v>9.1000000000000004E-3</v>
      </c>
      <c r="I102" s="305">
        <f t="shared" si="28"/>
        <v>0.115388</v>
      </c>
      <c r="J102" s="305">
        <f t="shared" si="28"/>
        <v>0</v>
      </c>
      <c r="K102" s="305">
        <f t="shared" si="28"/>
        <v>0</v>
      </c>
      <c r="L102" s="306">
        <f t="shared" si="28"/>
        <v>1.3255424</v>
      </c>
      <c r="M102" s="156">
        <v>3.64</v>
      </c>
      <c r="N102" s="256"/>
    </row>
    <row r="103" spans="2:14" x14ac:dyDescent="0.35">
      <c r="D103" s="77" t="s">
        <v>308</v>
      </c>
      <c r="E103" s="77" t="s">
        <v>355</v>
      </c>
      <c r="F103" s="17" t="s">
        <v>213</v>
      </c>
      <c r="G103" s="303">
        <f>(0.35+12.2+23.1+11.3+4.38+0.0095+8.25+1.93+20.8+0.4+9.4+0.53+0.1+0.078+0.18+0.76+0.1+0.16+0.2+0.12+0.08)/100</f>
        <v>0.9442750000000002</v>
      </c>
      <c r="H103" s="303">
        <v>7.6999999999999996E-4</v>
      </c>
      <c r="I103" s="303">
        <v>2.2000000000000001E-3</v>
      </c>
      <c r="J103" s="303">
        <v>5.0000000000000002E-5</v>
      </c>
      <c r="K103" s="303">
        <v>0</v>
      </c>
      <c r="L103" s="307">
        <f>(0.025+0.19+0.49+0.005+4.53)/100</f>
        <v>5.2400000000000002E-2</v>
      </c>
      <c r="M103" s="11">
        <f>SUM(G103:L103)</f>
        <v>0.99969500000000022</v>
      </c>
    </row>
    <row r="104" spans="2:14" x14ac:dyDescent="0.35">
      <c r="F104" s="17" t="s">
        <v>305</v>
      </c>
      <c r="G104" s="305">
        <f>G103*$M104</f>
        <v>82.624062500000022</v>
      </c>
      <c r="H104" s="305">
        <f t="shared" ref="H104:L104" si="29">H103*$M104</f>
        <v>6.737499999999999E-2</v>
      </c>
      <c r="I104" s="305">
        <f t="shared" si="29"/>
        <v>0.1925</v>
      </c>
      <c r="J104" s="305">
        <f t="shared" si="29"/>
        <v>4.3750000000000004E-3</v>
      </c>
      <c r="K104" s="305">
        <f t="shared" si="29"/>
        <v>0</v>
      </c>
      <c r="L104" s="306">
        <f t="shared" si="29"/>
        <v>4.585</v>
      </c>
      <c r="M104" s="156">
        <v>87.5</v>
      </c>
    </row>
    <row r="105" spans="2:14" x14ac:dyDescent="0.35">
      <c r="D105" s="77" t="s">
        <v>297</v>
      </c>
      <c r="E105" s="77" t="s">
        <v>355</v>
      </c>
      <c r="F105" s="17" t="s">
        <v>213</v>
      </c>
      <c r="G105" s="303">
        <f>(22.1+11.3+6.87+4.56+0.13+14+6.02+7.37+0.013+0.017+1.12+5.17+0.23+2.26+3.49+0.47+0.42+1.96+0.053+0.019)/100</f>
        <v>0.87572000000000016</v>
      </c>
      <c r="H105" s="303">
        <v>1.7500000000000002E-2</v>
      </c>
      <c r="I105" s="303">
        <v>1.8499999999999999E-2</v>
      </c>
      <c r="J105" s="303">
        <v>7.9000000000000001E-4</v>
      </c>
      <c r="K105" s="303">
        <v>1.8000000000000001E-4</v>
      </c>
      <c r="L105" s="304">
        <f>(0.82+4.96+1.04+0.97+0.071+0.8+0.044+0.043+0.028)/100</f>
        <v>8.7760000000000005E-2</v>
      </c>
      <c r="M105" s="11">
        <f>SUM(G105:L105)</f>
        <v>1.0004500000000001</v>
      </c>
    </row>
    <row r="106" spans="2:14" x14ac:dyDescent="0.35">
      <c r="F106" s="17" t="s">
        <v>305</v>
      </c>
      <c r="G106" s="305">
        <f>G105*$M106</f>
        <v>114.71932000000002</v>
      </c>
      <c r="H106" s="305">
        <f t="shared" ref="H106:K106" si="30">H105*$M106</f>
        <v>2.2925000000000004</v>
      </c>
      <c r="I106" s="305">
        <f t="shared" si="30"/>
        <v>2.4234999999999998</v>
      </c>
      <c r="J106" s="305">
        <f t="shared" si="30"/>
        <v>0.10349</v>
      </c>
      <c r="K106" s="305">
        <f t="shared" si="30"/>
        <v>2.358E-2</v>
      </c>
      <c r="L106" s="306">
        <f>L105*$M106</f>
        <v>11.496560000000001</v>
      </c>
      <c r="M106" s="156">
        <v>131</v>
      </c>
    </row>
    <row r="107" spans="2:14" x14ac:dyDescent="0.35">
      <c r="D107" s="77" t="s">
        <v>294</v>
      </c>
      <c r="E107" s="77" t="s">
        <v>355</v>
      </c>
      <c r="F107" s="17" t="s">
        <v>213</v>
      </c>
      <c r="G107" s="303">
        <f>(0.84+23.4+14.9+2.2+2.28+2.21+16.9+0.1+1.84+2.78+0.029+0.013+0.22+4.67+0.043+0.084+1.95+0.086+0.92+0.072+0.019)/100</f>
        <v>0.75556000000000023</v>
      </c>
      <c r="H107" s="303">
        <v>2.3599999999999999E-2</v>
      </c>
      <c r="I107" s="303">
        <v>1.3899999999999999E-2</v>
      </c>
      <c r="J107" s="303">
        <v>9.9000000000000008E-3</v>
      </c>
      <c r="K107" s="303">
        <v>0</v>
      </c>
      <c r="L107" s="304">
        <f>(16.1+0.086+0.067+0.011+0.0054+0.14+3.21+0.015)/100</f>
        <v>0.19634400000000002</v>
      </c>
      <c r="M107" s="11">
        <f t="shared" ref="M107" si="31">SUM(G107:L107)</f>
        <v>0.99930400000000019</v>
      </c>
    </row>
    <row r="108" spans="2:14" x14ac:dyDescent="0.35">
      <c r="F108" s="17" t="s">
        <v>305</v>
      </c>
      <c r="G108" s="305">
        <f>G107*$M108</f>
        <v>18.133440000000007</v>
      </c>
      <c r="H108" s="305">
        <f t="shared" ref="H108:L108" si="32">H107*$M108</f>
        <v>0.56640000000000001</v>
      </c>
      <c r="I108" s="305">
        <f t="shared" si="32"/>
        <v>0.33360000000000001</v>
      </c>
      <c r="J108" s="305">
        <f t="shared" si="32"/>
        <v>0.23760000000000003</v>
      </c>
      <c r="K108" s="305">
        <f t="shared" si="32"/>
        <v>0</v>
      </c>
      <c r="L108" s="306">
        <f t="shared" si="32"/>
        <v>4.712256</v>
      </c>
      <c r="M108" s="156">
        <v>24</v>
      </c>
    </row>
    <row r="109" spans="2:14" x14ac:dyDescent="0.35">
      <c r="D109" s="77" t="s">
        <v>296</v>
      </c>
      <c r="E109" s="77" t="s">
        <v>355</v>
      </c>
      <c r="F109" s="17" t="s">
        <v>213</v>
      </c>
      <c r="G109" s="303">
        <f>(4.57+21.8+2.58+0.53+20.3+1.79+2.76+0.49+14.3+0.067+9.06+7.31+0.18+0.47+0.52+0.78+0.15)/100</f>
        <v>0.87657000000000007</v>
      </c>
      <c r="H109" s="303">
        <v>8.3999999999999995E-3</v>
      </c>
      <c r="I109" s="303">
        <v>5.7000000000000002E-3</v>
      </c>
      <c r="J109" s="303">
        <v>3.2000000000000003E-4</v>
      </c>
      <c r="K109" s="303">
        <v>1.3999999999999999E-4</v>
      </c>
      <c r="L109" s="304">
        <f>(0.017+0.021+8.08+0.77+1.75+0.25+0.013)/100</f>
        <v>0.10901</v>
      </c>
      <c r="M109" s="11">
        <f t="shared" ref="M109" si="33">SUM(G109:L109)</f>
        <v>1.00014</v>
      </c>
    </row>
    <row r="110" spans="2:14" x14ac:dyDescent="0.35">
      <c r="F110" s="17" t="s">
        <v>305</v>
      </c>
      <c r="G110" s="305">
        <f>G109*$M110</f>
        <v>72.579996000000008</v>
      </c>
      <c r="H110" s="305">
        <f t="shared" ref="H110:L110" si="34">H109*$M110</f>
        <v>0.69551999999999992</v>
      </c>
      <c r="I110" s="305">
        <f t="shared" si="34"/>
        <v>0.47195999999999999</v>
      </c>
      <c r="J110" s="305">
        <f t="shared" si="34"/>
        <v>2.6496000000000002E-2</v>
      </c>
      <c r="K110" s="305">
        <f t="shared" si="34"/>
        <v>1.1591999999999998E-2</v>
      </c>
      <c r="L110" s="306">
        <f t="shared" si="34"/>
        <v>9.0260280000000002</v>
      </c>
      <c r="M110" s="156">
        <v>82.8</v>
      </c>
    </row>
    <row r="111" spans="2:14" x14ac:dyDescent="0.35">
      <c r="D111" s="77" t="s">
        <v>326</v>
      </c>
      <c r="E111" s="77" t="s">
        <v>355</v>
      </c>
      <c r="F111" s="17" t="s">
        <v>213</v>
      </c>
      <c r="G111" s="303">
        <f>(8.92+30.8+24.1+0.53+0.27+0.93+17.3+13.5+0.047+1.79+0.17)/100</f>
        <v>0.98356999999999994</v>
      </c>
      <c r="H111" s="303">
        <v>0</v>
      </c>
      <c r="I111" s="303">
        <f>(1-G111-L111)*81.4/100</f>
        <v>2.6524971440000434E-3</v>
      </c>
      <c r="J111" s="303">
        <f>(1-G111-L111)*10.4/100</f>
        <v>3.388939840000055E-4</v>
      </c>
      <c r="K111" s="303">
        <v>0</v>
      </c>
      <c r="L111" s="304">
        <f>(0.46+0.012+0.67+0.16)/100+(1-G111-(0.46+0.012+0.67+0.16)/100)*4.44/100</f>
        <v>1.3171404000000003E-2</v>
      </c>
      <c r="M111" s="180">
        <f t="shared" ref="M111" si="35">SUM(G111:L111)</f>
        <v>0.99973279512800006</v>
      </c>
    </row>
    <row r="112" spans="2:14" x14ac:dyDescent="0.35">
      <c r="F112" s="17" t="s">
        <v>305</v>
      </c>
      <c r="G112" s="305">
        <f>G111*$M112</f>
        <v>6.0981339999999999</v>
      </c>
      <c r="H112" s="305">
        <f t="shared" ref="H112:L112" si="36">H111*$M112</f>
        <v>0</v>
      </c>
      <c r="I112" s="305">
        <f t="shared" si="36"/>
        <v>1.6445482292800271E-2</v>
      </c>
      <c r="J112" s="305">
        <f t="shared" si="36"/>
        <v>2.1011427008000342E-3</v>
      </c>
      <c r="K112" s="305">
        <f t="shared" si="36"/>
        <v>0</v>
      </c>
      <c r="L112" s="306">
        <f t="shared" si="36"/>
        <v>8.1662704800000013E-2</v>
      </c>
      <c r="M112" s="156">
        <v>6.2</v>
      </c>
    </row>
    <row r="113" spans="4:13" x14ac:dyDescent="0.35">
      <c r="D113" s="77" t="s">
        <v>299</v>
      </c>
      <c r="E113" s="77" t="s">
        <v>355</v>
      </c>
      <c r="F113" s="17" t="s">
        <v>213</v>
      </c>
      <c r="G113" s="303">
        <f>(22.5+7.84+4.88+0.019+0.6+0.038+1.04+0.86+2.28+0.016+0.018+2.23+0.17+0.018+0.82+0.086+0.53+0.63+0.053+0.013+0.016+0.023)/100</f>
        <v>0.44679999999999992</v>
      </c>
      <c r="H113" s="303">
        <v>2.1499999999999998E-2</v>
      </c>
      <c r="I113" s="303">
        <v>5.96E-2</v>
      </c>
      <c r="J113" s="303">
        <v>0</v>
      </c>
      <c r="K113" s="303">
        <v>0</v>
      </c>
      <c r="L113" s="304">
        <f>(6.76+2.05+18+0.13+4.8+0.098+0.37+14.9)/100</f>
        <v>0.47107999999999994</v>
      </c>
      <c r="M113" s="11">
        <f>SUM(G113:L113)</f>
        <v>0.99897999999999987</v>
      </c>
    </row>
    <row r="114" spans="4:13" x14ac:dyDescent="0.35">
      <c r="F114" s="17" t="s">
        <v>305</v>
      </c>
      <c r="G114" s="305">
        <f>G113*$M114</f>
        <v>20.061319999999995</v>
      </c>
      <c r="H114" s="305">
        <f t="shared" ref="H114:L114" si="37">H113*$M114</f>
        <v>0.96534999999999993</v>
      </c>
      <c r="I114" s="305">
        <f t="shared" si="37"/>
        <v>2.67604</v>
      </c>
      <c r="J114" s="305">
        <f t="shared" si="37"/>
        <v>0</v>
      </c>
      <c r="K114" s="305">
        <f t="shared" si="37"/>
        <v>0</v>
      </c>
      <c r="L114" s="306">
        <f t="shared" si="37"/>
        <v>21.151491999999998</v>
      </c>
      <c r="M114" s="156">
        <v>44.9</v>
      </c>
    </row>
    <row r="115" spans="4:13" x14ac:dyDescent="0.35">
      <c r="D115" s="77" t="s">
        <v>295</v>
      </c>
      <c r="E115" s="77" t="s">
        <v>355</v>
      </c>
      <c r="F115" s="17" t="s">
        <v>213</v>
      </c>
      <c r="G115" s="303">
        <f>(0.47+3.26+12.6+3.2+18.7+0.43+4.55+9.55+3.32+0.33+0.22+0.013+0.13+5.14+0.13+0.21+6.37+0.068)/100</f>
        <v>0.68690999999999991</v>
      </c>
      <c r="H115" s="303">
        <v>7.3000000000000001E-3</v>
      </c>
      <c r="I115" s="303">
        <v>2.5999999999999999E-3</v>
      </c>
      <c r="J115" s="303">
        <v>0</v>
      </c>
      <c r="K115" s="303">
        <v>0</v>
      </c>
      <c r="L115" s="308">
        <f>(14.5+14.5+0.043+0.2+0.91+0.059+0.099)/100</f>
        <v>0.30310999999999999</v>
      </c>
      <c r="M115" s="11">
        <f t="shared" ref="M115" si="38">SUM(G115:L115)</f>
        <v>0.99991999999999992</v>
      </c>
    </row>
    <row r="116" spans="4:13" x14ac:dyDescent="0.35">
      <c r="F116" s="17" t="s">
        <v>305</v>
      </c>
      <c r="G116" s="305">
        <f>G115*$M116</f>
        <v>20.195153999999995</v>
      </c>
      <c r="H116" s="305">
        <f t="shared" ref="H116:L116" si="39">H115*$M116</f>
        <v>0.21462000000000001</v>
      </c>
      <c r="I116" s="305">
        <f t="shared" si="39"/>
        <v>7.6439999999999994E-2</v>
      </c>
      <c r="J116" s="305">
        <f t="shared" si="39"/>
        <v>0</v>
      </c>
      <c r="K116" s="305">
        <f t="shared" si="39"/>
        <v>0</v>
      </c>
      <c r="L116" s="306">
        <f t="shared" si="39"/>
        <v>8.9114339999999999</v>
      </c>
      <c r="M116" s="156">
        <v>29.4</v>
      </c>
    </row>
    <row r="117" spans="4:13" x14ac:dyDescent="0.35">
      <c r="D117" s="77" t="s">
        <v>309</v>
      </c>
      <c r="E117" s="77" t="s">
        <v>355</v>
      </c>
      <c r="F117" s="17" t="s">
        <v>213</v>
      </c>
      <c r="G117" s="303">
        <f>(5.6+30.5+9.28+4.53+1.81+9.33+0.086+3.17+5.8+4.05+3.54+0.53+1.63+0.3+0.21+0.9+0.52+0.019)/100</f>
        <v>0.81804999999999994</v>
      </c>
      <c r="H117" s="303">
        <v>8.8000000000000005E-3</v>
      </c>
      <c r="I117" s="303">
        <v>2.0999999999999999E-3</v>
      </c>
      <c r="J117" s="303">
        <v>0</v>
      </c>
      <c r="K117" s="303">
        <v>0</v>
      </c>
      <c r="L117" s="304">
        <f>(15.6+0.18+0.027+0.12+0.076+1.1+0.0223)/100</f>
        <v>0.17125299999999999</v>
      </c>
      <c r="M117" s="11">
        <f t="shared" ref="M117" si="40">SUM(G117:L117)</f>
        <v>1.000203</v>
      </c>
    </row>
    <row r="118" spans="4:13" x14ac:dyDescent="0.35">
      <c r="F118" s="17" t="s">
        <v>305</v>
      </c>
      <c r="G118" s="305">
        <f>G117*$M118</f>
        <v>34.112684999999999</v>
      </c>
      <c r="H118" s="305">
        <f t="shared" ref="H118:L118" si="41">H117*$M118</f>
        <v>0.36696000000000006</v>
      </c>
      <c r="I118" s="305">
        <f t="shared" si="41"/>
        <v>8.7569999999999995E-2</v>
      </c>
      <c r="J118" s="305">
        <f t="shared" si="41"/>
        <v>0</v>
      </c>
      <c r="K118" s="305">
        <f t="shared" si="41"/>
        <v>0</v>
      </c>
      <c r="L118" s="306">
        <f t="shared" si="41"/>
        <v>7.1412500999999997</v>
      </c>
      <c r="M118" s="156">
        <v>41.7</v>
      </c>
    </row>
    <row r="119" spans="4:13" x14ac:dyDescent="0.35">
      <c r="D119" s="77" t="s">
        <v>298</v>
      </c>
      <c r="E119" s="77" t="s">
        <v>355</v>
      </c>
      <c r="F119" s="17" t="s">
        <v>213</v>
      </c>
      <c r="G119" s="303">
        <f>(3.94+14.7+2.74+1.82+0.65+1.91+10.1+1.66+0.33+0.017+8.12+0.44+1.58+0.83+1.79)/100</f>
        <v>0.50626999999999989</v>
      </c>
      <c r="H119" s="303">
        <v>1.8100000000000002E-2</v>
      </c>
      <c r="I119" s="303">
        <v>6.4999999999999997E-3</v>
      </c>
      <c r="J119" s="303">
        <v>4.5699999999999998E-2</v>
      </c>
      <c r="K119" s="303">
        <v>0</v>
      </c>
      <c r="L119" s="304">
        <f>(0.035+13.3+22.5+5.65+0.42)/100+(1-SUM(G119:K119)-(0.035+13.3+22.5+5.65+0.42)/100)*(66.9+33.1)/100</f>
        <v>0.4234300000000002</v>
      </c>
      <c r="M119" s="11">
        <f t="shared" ref="M119" si="42">SUM(G119:L119)</f>
        <v>1</v>
      </c>
    </row>
    <row r="120" spans="4:13" x14ac:dyDescent="0.35">
      <c r="F120" s="17" t="s">
        <v>305</v>
      </c>
      <c r="G120" s="305">
        <f>G119*$M120</f>
        <v>5.6702239999999984</v>
      </c>
      <c r="H120" s="305">
        <f t="shared" ref="H120:L120" si="43">H119*$M120</f>
        <v>0.20272000000000001</v>
      </c>
      <c r="I120" s="305">
        <f t="shared" si="43"/>
        <v>7.279999999999999E-2</v>
      </c>
      <c r="J120" s="305">
        <f t="shared" si="43"/>
        <v>0.51183999999999996</v>
      </c>
      <c r="K120" s="305">
        <f t="shared" si="43"/>
        <v>0</v>
      </c>
      <c r="L120" s="306">
        <f t="shared" si="43"/>
        <v>4.7424160000000022</v>
      </c>
      <c r="M120" s="156">
        <v>11.2</v>
      </c>
    </row>
    <row r="121" spans="4:13" x14ac:dyDescent="0.35">
      <c r="D121" s="77" t="s">
        <v>293</v>
      </c>
      <c r="E121" s="77" t="s">
        <v>355</v>
      </c>
      <c r="F121" s="17" t="s">
        <v>213</v>
      </c>
      <c r="G121" s="303">
        <f>(2.42+18.1+0.79+0.13+0.23+4.97+23.1+0.47+26.5+0.0077+3.29+9.22+5.44+0.068+1.44+0.032)/100</f>
        <v>0.96207700000000007</v>
      </c>
      <c r="H121" s="303">
        <v>0</v>
      </c>
      <c r="I121" s="303">
        <v>0</v>
      </c>
      <c r="J121" s="303">
        <f>(1-G121-(0.073+0.039+1.21+0.076+1.78+0.1)/100)*17.9/100</f>
        <v>9.2059699999998666E-4</v>
      </c>
      <c r="K121" s="303">
        <v>1.8000000000000001E-4</v>
      </c>
      <c r="L121" s="304">
        <f>(0.073+0.039+1.21+0.076+1.78+0.1)/100+(1-G121-(0.073+0.039+1.21+0.076+1.78+0.1)/100)*79.1/100+(1-G121-(0.073+0.039+1.21+0.076+1.78+0.1)/100)*3.03/100</f>
        <v>3.7003945899999946E-2</v>
      </c>
      <c r="M121" s="11">
        <f t="shared" ref="M121" si="44">SUM(G121:L121)</f>
        <v>1.0001815429000001</v>
      </c>
    </row>
    <row r="122" spans="4:13" x14ac:dyDescent="0.35">
      <c r="F122" s="17" t="s">
        <v>305</v>
      </c>
      <c r="G122" s="305">
        <f>G121*$M122</f>
        <v>7.4464759800000007</v>
      </c>
      <c r="H122" s="305">
        <f t="shared" ref="H122:L122" si="45">H121*$M122</f>
        <v>0</v>
      </c>
      <c r="I122" s="305">
        <f t="shared" si="45"/>
        <v>0</v>
      </c>
      <c r="J122" s="305">
        <f t="shared" si="45"/>
        <v>7.1254207799998966E-3</v>
      </c>
      <c r="K122" s="305">
        <f t="shared" si="45"/>
        <v>1.3932E-3</v>
      </c>
      <c r="L122" s="306">
        <f t="shared" si="45"/>
        <v>0.28641054126599957</v>
      </c>
      <c r="M122" s="156">
        <v>7.74</v>
      </c>
    </row>
    <row r="123" spans="4:13" x14ac:dyDescent="0.35">
      <c r="D123" s="77" t="s">
        <v>322</v>
      </c>
      <c r="E123" s="77" t="s">
        <v>355</v>
      </c>
      <c r="F123" s="17" t="s">
        <v>213</v>
      </c>
      <c r="G123" s="303">
        <f>(0.48+1.03+28.1+1.46+9.32+2.49+4.99+1.82+0.35+0.32+0.17+4.5+2.31+0.047+2.79+0.032+24+0.61+0.055+0.56)/100</f>
        <v>0.8543400000000001</v>
      </c>
      <c r="H123" s="303">
        <v>2.9999999999999997E-4</v>
      </c>
      <c r="I123" s="303">
        <v>0</v>
      </c>
      <c r="J123" s="303">
        <v>0</v>
      </c>
      <c r="K123" s="303">
        <v>1.9000000000000001E-4</v>
      </c>
      <c r="L123" s="304">
        <f>(0.031+6.03+5.06+0.32+3.04+0.041)/100</f>
        <v>0.14521999999999999</v>
      </c>
      <c r="M123" s="11">
        <f t="shared" ref="M123" si="46">SUM(G123:L123)</f>
        <v>1.0000500000000001</v>
      </c>
    </row>
    <row r="124" spans="4:13" x14ac:dyDescent="0.35">
      <c r="F124" s="17" t="s">
        <v>305</v>
      </c>
      <c r="G124" s="305">
        <f>G123*$M124</f>
        <v>13.584006000000002</v>
      </c>
      <c r="H124" s="305">
        <f t="shared" ref="H124:L124" si="47">H123*$M124</f>
        <v>4.7699999999999999E-3</v>
      </c>
      <c r="I124" s="305">
        <f t="shared" si="47"/>
        <v>0</v>
      </c>
      <c r="J124" s="305">
        <f t="shared" si="47"/>
        <v>0</v>
      </c>
      <c r="K124" s="305">
        <f t="shared" si="47"/>
        <v>3.0210000000000002E-3</v>
      </c>
      <c r="L124" s="306">
        <f t="shared" si="47"/>
        <v>2.3089979999999999</v>
      </c>
      <c r="M124" s="156">
        <v>15.9</v>
      </c>
    </row>
    <row r="125" spans="4:13" x14ac:dyDescent="0.35">
      <c r="D125" s="77" t="s">
        <v>328</v>
      </c>
      <c r="E125" s="77" t="s">
        <v>355</v>
      </c>
      <c r="F125" s="17" t="s">
        <v>213</v>
      </c>
      <c r="G125" s="303">
        <f>(0.24+3.86+4.61+0.34+78.2+0.011+4.28+0.34+0.017+1.66+0.069+0.004+0.029+0.36+2.51+0.02)/100</f>
        <v>0.96550000000000002</v>
      </c>
      <c r="H125" s="303">
        <f>(1-G125-(0.012+2.8)/100)*84.7/100</f>
        <v>5.40385999999998E-3</v>
      </c>
      <c r="I125" s="303">
        <f>(1-G125-(0.012+2.8)/100)*13.7/100</f>
        <v>8.740599999999966E-4</v>
      </c>
      <c r="J125" s="303">
        <v>0</v>
      </c>
      <c r="K125" s="303">
        <v>0</v>
      </c>
      <c r="L125" s="308">
        <f>(0.012+2.8)/100+(1-G125-((0.012+2.8)/100))*0.59/100+(1-G125-((0.012+2.8)/100))*0.17/100+(1-G125-((0.012+2.8)/100))*0.49/100</f>
        <v>2.8199749999999999E-2</v>
      </c>
      <c r="M125" s="11">
        <f t="shared" ref="M125" si="48">SUM(G125:L125)</f>
        <v>0.99997766999999993</v>
      </c>
    </row>
    <row r="126" spans="4:13" x14ac:dyDescent="0.35">
      <c r="F126" s="17" t="s">
        <v>305</v>
      </c>
      <c r="G126" s="305">
        <f>G125*$M126</f>
        <v>20.468599999999999</v>
      </c>
      <c r="H126" s="305">
        <f t="shared" ref="H126:L126" si="49">H125*$M126</f>
        <v>0.11456183199999957</v>
      </c>
      <c r="I126" s="305">
        <f t="shared" si="49"/>
        <v>1.8530071999999929E-2</v>
      </c>
      <c r="J126" s="305">
        <f t="shared" si="49"/>
        <v>0</v>
      </c>
      <c r="K126" s="305">
        <f t="shared" si="49"/>
        <v>0</v>
      </c>
      <c r="L126" s="306">
        <f t="shared" si="49"/>
        <v>0.59783469999999994</v>
      </c>
      <c r="M126" s="156">
        <v>21.2</v>
      </c>
    </row>
    <row r="127" spans="4:13" x14ac:dyDescent="0.35">
      <c r="D127" s="77" t="s">
        <v>314</v>
      </c>
      <c r="E127" s="77" t="s">
        <v>355</v>
      </c>
      <c r="F127" s="17" t="s">
        <v>213</v>
      </c>
      <c r="G127" s="303">
        <f>(10.8+27.1+24.6+5.26+0.11+2.32+1.21+2.8+0.0061+0.89+1.16+0.8+1.54+0.59+3.38+0.073+0.061+0.013)/100</f>
        <v>0.82713099999999995</v>
      </c>
      <c r="H127" s="303">
        <v>4.4000000000000002E-4</v>
      </c>
      <c r="I127" s="303">
        <v>0.11899999999999999</v>
      </c>
      <c r="J127" s="303">
        <v>0</v>
      </c>
      <c r="K127" s="303">
        <v>0</v>
      </c>
      <c r="L127" s="307">
        <f>(0.027+0.042+0.064+4.35+0.017+0.019+0.77+0.011+0.013+0.015)/100</f>
        <v>5.3279999999999994E-2</v>
      </c>
      <c r="M127" s="11">
        <f t="shared" ref="M127" si="50">SUM(G127:L127)</f>
        <v>0.99985099999999993</v>
      </c>
    </row>
    <row r="128" spans="4:13" x14ac:dyDescent="0.35">
      <c r="F128" s="17" t="s">
        <v>305</v>
      </c>
      <c r="G128" s="305">
        <f>G127*$M128</f>
        <v>43.1762382</v>
      </c>
      <c r="H128" s="305">
        <f t="shared" ref="H128:L128" si="51">H127*$M128</f>
        <v>2.2968000000000002E-2</v>
      </c>
      <c r="I128" s="305">
        <f t="shared" si="51"/>
        <v>6.2118000000000002</v>
      </c>
      <c r="J128" s="305">
        <f t="shared" si="51"/>
        <v>0</v>
      </c>
      <c r="K128" s="305">
        <f t="shared" si="51"/>
        <v>0</v>
      </c>
      <c r="L128" s="306">
        <f t="shared" si="51"/>
        <v>2.7812159999999997</v>
      </c>
      <c r="M128" s="156">
        <v>52.2</v>
      </c>
    </row>
    <row r="129" spans="4:13" x14ac:dyDescent="0.35">
      <c r="D129" s="77" t="s">
        <v>323</v>
      </c>
      <c r="E129" s="77" t="s">
        <v>355</v>
      </c>
      <c r="F129" s="17" t="s">
        <v>213</v>
      </c>
      <c r="G129" s="303">
        <f>(24.8+0.42+21.3+3.84+25.7+8+0.023+0.27+0.32+0.071+2.28+0.4+3.14+0.63+0.19+0.27+5.12)/100</f>
        <v>0.96773999999999982</v>
      </c>
      <c r="H129" s="303">
        <f>(1-G129-(0.12+2.78+0.015)/100)*79.1/100</f>
        <v>2.4600100000001408E-3</v>
      </c>
      <c r="I129" s="303">
        <v>0</v>
      </c>
      <c r="J129" s="303">
        <f>(1-G129-(0.12+2.78+0.015)/100)*8.11/100</f>
        <v>2.5222100000001448E-4</v>
      </c>
      <c r="K129" s="303">
        <v>6.8000000000000005E-4</v>
      </c>
      <c r="L129" s="304">
        <f>(0.12+2.78+0.015)/100+(1-G129-(0.12+2.78+0.015)/100)*(9.66+3.11)/100</f>
        <v>2.954714700000002E-2</v>
      </c>
      <c r="M129" s="11">
        <f t="shared" ref="M129" si="52">SUM(G129:L129)</f>
        <v>1.0006793780000001</v>
      </c>
    </row>
    <row r="130" spans="4:13" x14ac:dyDescent="0.35">
      <c r="F130" s="17" t="s">
        <v>305</v>
      </c>
      <c r="G130" s="305">
        <f>G129*$M130</f>
        <v>2.3612855999999995</v>
      </c>
      <c r="H130" s="305">
        <f t="shared" ref="H130:L130" si="53">H129*$M130</f>
        <v>6.0024244000003437E-3</v>
      </c>
      <c r="I130" s="305">
        <f t="shared" si="53"/>
        <v>0</v>
      </c>
      <c r="J130" s="305">
        <f t="shared" si="53"/>
        <v>6.1541924000003533E-4</v>
      </c>
      <c r="K130" s="305">
        <f t="shared" si="53"/>
        <v>1.6592E-3</v>
      </c>
      <c r="L130" s="306">
        <f t="shared" si="53"/>
        <v>7.2095038680000043E-2</v>
      </c>
      <c r="M130" s="156">
        <v>2.44</v>
      </c>
    </row>
    <row r="131" spans="4:13" x14ac:dyDescent="0.35">
      <c r="D131" s="77" t="s">
        <v>316</v>
      </c>
      <c r="E131" s="77" t="s">
        <v>355</v>
      </c>
      <c r="F131" s="17" t="s">
        <v>213</v>
      </c>
      <c r="G131" s="303">
        <f>(6.3+16.9+2.17+9.02+0.28+0.68+2.29+0.03+0.19+35.4+0.89+0.33+9.78+6.64+0.21+1.13+0.54)/100</f>
        <v>0.92779999999999985</v>
      </c>
      <c r="H131" s="303">
        <v>2.8E-3</v>
      </c>
      <c r="I131" s="303">
        <v>1.8599999999999998E-2</v>
      </c>
      <c r="J131" s="303">
        <v>2.3E-3</v>
      </c>
      <c r="K131" s="303">
        <v>0</v>
      </c>
      <c r="L131" s="304">
        <f>(4.59+0.027+0.21+0.0078)/100+(1-SUM(G131:K131)-(4.59+0.027+0.21+0.0078)/100)*(92.2+7.81)/100</f>
        <v>4.8500015200000211E-2</v>
      </c>
      <c r="M131" s="11">
        <f t="shared" ref="M131" si="54">SUM(G131:L131)</f>
        <v>1.0000000151999999</v>
      </c>
    </row>
    <row r="132" spans="4:13" x14ac:dyDescent="0.35">
      <c r="F132" s="17" t="s">
        <v>305</v>
      </c>
      <c r="G132" s="305">
        <f>G131*$M132</f>
        <v>31.916319999999992</v>
      </c>
      <c r="H132" s="305">
        <f t="shared" ref="H132:L132" si="55">H131*$M132</f>
        <v>9.6319999999999989E-2</v>
      </c>
      <c r="I132" s="305">
        <f t="shared" si="55"/>
        <v>0.63983999999999996</v>
      </c>
      <c r="J132" s="305">
        <f t="shared" si="55"/>
        <v>7.9119999999999996E-2</v>
      </c>
      <c r="K132" s="305">
        <f t="shared" si="55"/>
        <v>0</v>
      </c>
      <c r="L132" s="306">
        <f t="shared" si="55"/>
        <v>1.6684005228800072</v>
      </c>
      <c r="M132" s="156">
        <v>34.4</v>
      </c>
    </row>
    <row r="133" spans="4:13" x14ac:dyDescent="0.35">
      <c r="D133" s="77" t="s">
        <v>300</v>
      </c>
      <c r="E133" s="77" t="s">
        <v>355</v>
      </c>
      <c r="F133" s="17" t="s">
        <v>213</v>
      </c>
      <c r="G133" s="303">
        <f>(7.45+15.3+11.9+3.87+3.49+1.53+10.1+2.71+0.28+3.04+6.02+9.21+11.4+0.062+1.88+0.96)/100</f>
        <v>0.89202000000000004</v>
      </c>
      <c r="H133" s="303">
        <v>6.1000000000000004E-3</v>
      </c>
      <c r="I133" s="303">
        <v>0</v>
      </c>
      <c r="J133" s="303">
        <v>1.2200000000000001E-2</v>
      </c>
      <c r="K133" s="303">
        <v>0</v>
      </c>
      <c r="L133" s="304">
        <f>(2.89+0.72+0.042+0.011+5.03+0.16)/100</f>
        <v>8.8530000000000011E-2</v>
      </c>
      <c r="M133" s="11">
        <f t="shared" ref="M133" si="56">SUM(G133:L133)</f>
        <v>0.99885000000000002</v>
      </c>
    </row>
    <row r="134" spans="4:13" x14ac:dyDescent="0.35">
      <c r="F134" s="17" t="s">
        <v>305</v>
      </c>
      <c r="G134" s="305">
        <f>G133*$M134</f>
        <v>19.356833999999999</v>
      </c>
      <c r="H134" s="305">
        <f t="shared" ref="H134:L134" si="57">H133*$M134</f>
        <v>0.13237000000000002</v>
      </c>
      <c r="I134" s="305">
        <f t="shared" si="57"/>
        <v>0</v>
      </c>
      <c r="J134" s="305">
        <f t="shared" si="57"/>
        <v>0.26474000000000003</v>
      </c>
      <c r="K134" s="305">
        <f t="shared" si="57"/>
        <v>0</v>
      </c>
      <c r="L134" s="306">
        <f t="shared" si="57"/>
        <v>1.9211010000000002</v>
      </c>
      <c r="M134" s="156">
        <v>21.7</v>
      </c>
    </row>
    <row r="135" spans="4:13" x14ac:dyDescent="0.35">
      <c r="D135" s="77" t="s">
        <v>315</v>
      </c>
      <c r="E135" s="77" t="s">
        <v>355</v>
      </c>
      <c r="F135" s="17" t="s">
        <v>213</v>
      </c>
      <c r="G135" s="303">
        <f>(2.64+75.7+5.24+2.22+0.84+0.048+0.012+4.19+0.17+0.094+3.04+0.55+1.02+0.82+0.035+0.46)/100</f>
        <v>0.97078999999999982</v>
      </c>
      <c r="H135" s="303">
        <v>0</v>
      </c>
      <c r="I135" s="303">
        <v>0</v>
      </c>
      <c r="J135" s="303">
        <v>5.2999999999999998E-4</v>
      </c>
      <c r="K135" s="303">
        <v>9.2999999999999997E-5</v>
      </c>
      <c r="L135" s="304">
        <f>(0.027+1.52+0.07+0.82+0.24+0.087+0.076)/100</f>
        <v>2.8399999999999998E-2</v>
      </c>
      <c r="M135" s="11">
        <f t="shared" ref="M135" si="58">SUM(G135:L135)</f>
        <v>0.99981299999999984</v>
      </c>
    </row>
    <row r="136" spans="4:13" x14ac:dyDescent="0.35">
      <c r="F136" s="17" t="s">
        <v>305</v>
      </c>
      <c r="G136" s="305">
        <f>G135*$M136</f>
        <v>53.005133999999991</v>
      </c>
      <c r="H136" s="305">
        <f t="shared" ref="H136:L136" si="59">H135*$M136</f>
        <v>0</v>
      </c>
      <c r="I136" s="305">
        <f t="shared" si="59"/>
        <v>0</v>
      </c>
      <c r="J136" s="305">
        <f t="shared" si="59"/>
        <v>2.8937999999999998E-2</v>
      </c>
      <c r="K136" s="305">
        <f t="shared" si="59"/>
        <v>5.0778000000000004E-3</v>
      </c>
      <c r="L136" s="306">
        <f t="shared" si="59"/>
        <v>1.55064</v>
      </c>
      <c r="M136" s="156">
        <v>54.6</v>
      </c>
    </row>
    <row r="137" spans="4:13" x14ac:dyDescent="0.35">
      <c r="D137" s="77" t="s">
        <v>319</v>
      </c>
      <c r="E137" s="77" t="s">
        <v>355</v>
      </c>
      <c r="F137" s="17" t="s">
        <v>213</v>
      </c>
      <c r="G137" s="303">
        <f>(0.18+9.11+7.53+4.41+0.45+0.77+2.09+37.7+5.93+0.15+0.2+0.0053+1.92+0.74+7.51+0.66+0.75+0.53)/100</f>
        <v>0.8063530000000001</v>
      </c>
      <c r="H137" s="303">
        <v>5.16E-2</v>
      </c>
      <c r="I137" s="303">
        <v>1.8499999999999999E-2</v>
      </c>
      <c r="J137" s="303">
        <v>2.3099999999999999E-2</v>
      </c>
      <c r="K137" s="303">
        <v>5.5000000000000003E-4</v>
      </c>
      <c r="L137" s="304">
        <f>(0.21+0.18+5.82+0.2+0.28+0.011+3.27)/100</f>
        <v>9.9710000000000007E-2</v>
      </c>
      <c r="M137" s="11">
        <f t="shared" ref="M137" si="60">SUM(G137:L137)</f>
        <v>0.99981300000000006</v>
      </c>
    </row>
    <row r="138" spans="4:13" x14ac:dyDescent="0.35">
      <c r="F138" s="17" t="s">
        <v>305</v>
      </c>
      <c r="G138" s="305">
        <f>G137*$M138</f>
        <v>7.0394616900000013</v>
      </c>
      <c r="H138" s="305">
        <f t="shared" ref="H138:L138" si="61">H137*$M138</f>
        <v>0.45046800000000004</v>
      </c>
      <c r="I138" s="305">
        <f t="shared" si="61"/>
        <v>0.16150500000000001</v>
      </c>
      <c r="J138" s="305">
        <f t="shared" si="61"/>
        <v>0.20166300000000001</v>
      </c>
      <c r="K138" s="305">
        <f t="shared" si="61"/>
        <v>4.8015000000000002E-3</v>
      </c>
      <c r="L138" s="306">
        <f t="shared" si="61"/>
        <v>0.87046830000000008</v>
      </c>
      <c r="M138" s="156">
        <v>8.73</v>
      </c>
    </row>
    <row r="139" spans="4:13" x14ac:dyDescent="0.35">
      <c r="D139" s="77" t="s">
        <v>292</v>
      </c>
      <c r="E139" s="77" t="s">
        <v>355</v>
      </c>
      <c r="F139" s="17" t="s">
        <v>213</v>
      </c>
      <c r="G139" s="303">
        <f>(0.5+14.2+1.19+4.91+1.72+0.032+8.35+21.2+0.034+4.03+37.8+0.39+3.51+0.53+0.031)/100</f>
        <v>0.98426999999999998</v>
      </c>
      <c r="H139" s="303">
        <f>(1-G139-(0.0083+1.45+0.018)/100)*59/100</f>
        <v>5.7053000000001277E-4</v>
      </c>
      <c r="I139" s="303">
        <v>0</v>
      </c>
      <c r="J139" s="303">
        <v>0</v>
      </c>
      <c r="K139" s="303">
        <v>3.2000000000000003E-4</v>
      </c>
      <c r="L139" s="304">
        <f>(0.0083+1.45+0.018)/100+(1-G139-(0.0083+1.45+0.018)/100)*(26.1+14.9)/100</f>
        <v>1.5159470000000008E-2</v>
      </c>
      <c r="M139" s="11">
        <f t="shared" ref="M139" si="62">SUM(G139:L139)</f>
        <v>1.0003199999999999</v>
      </c>
    </row>
    <row r="140" spans="4:13" x14ac:dyDescent="0.35">
      <c r="F140" s="17" t="s">
        <v>305</v>
      </c>
      <c r="G140" s="305">
        <f>G139*$M140</f>
        <v>18.012141</v>
      </c>
      <c r="H140" s="305">
        <f t="shared" ref="H140:L140" si="63">H139*$M140</f>
        <v>1.0440699000000234E-2</v>
      </c>
      <c r="I140" s="305">
        <f t="shared" si="63"/>
        <v>0</v>
      </c>
      <c r="J140" s="305">
        <f t="shared" si="63"/>
        <v>0</v>
      </c>
      <c r="K140" s="305">
        <f t="shared" si="63"/>
        <v>5.856000000000001E-3</v>
      </c>
      <c r="L140" s="306">
        <f t="shared" si="63"/>
        <v>0.27741830100000014</v>
      </c>
      <c r="M140" s="156">
        <v>18.3</v>
      </c>
    </row>
    <row r="141" spans="4:13" x14ac:dyDescent="0.35">
      <c r="D141" s="77" t="s">
        <v>311</v>
      </c>
      <c r="E141" s="77" t="s">
        <v>355</v>
      </c>
      <c r="F141" s="17" t="s">
        <v>213</v>
      </c>
      <c r="G141" s="303">
        <f>(0.059+1.13+42+2.89+1.96+2.27+14.3+0.74+0.11+3.75+9.22+6.4+3.64+1.08+6.4+0.094+0.072)/100</f>
        <v>0.96115000000000006</v>
      </c>
      <c r="H141" s="303">
        <f>(1-G141-I141-(0.029+0.024)/100)*94.9/100</f>
        <v>1.4253979999999944E-2</v>
      </c>
      <c r="I141" s="303">
        <v>2.3300000000000001E-2</v>
      </c>
      <c r="J141" s="303">
        <v>0</v>
      </c>
      <c r="K141" s="303">
        <v>0</v>
      </c>
      <c r="L141" s="304">
        <f>(0.029+0.024)/100+(1-G141-I141-(0.029+0.024)/100)*(2.85+2.27)/100</f>
        <v>1.2990239999999971E-3</v>
      </c>
      <c r="M141" s="11">
        <f t="shared" ref="M141" si="64">SUM(G141:L141)</f>
        <v>1.0000030040000001</v>
      </c>
    </row>
    <row r="142" spans="4:13" x14ac:dyDescent="0.35">
      <c r="F142" s="17" t="s">
        <v>305</v>
      </c>
      <c r="G142" s="305">
        <f>G141*$M142</f>
        <v>12.398835000000002</v>
      </c>
      <c r="H142" s="305">
        <f t="shared" ref="H142:L142" si="65">H141*$M142</f>
        <v>0.18387634199999928</v>
      </c>
      <c r="I142" s="305">
        <f t="shared" si="65"/>
        <v>0.30057</v>
      </c>
      <c r="J142" s="305">
        <f t="shared" si="65"/>
        <v>0</v>
      </c>
      <c r="K142" s="305">
        <f t="shared" si="65"/>
        <v>0</v>
      </c>
      <c r="L142" s="306">
        <f t="shared" si="65"/>
        <v>1.6757409599999964E-2</v>
      </c>
      <c r="M142" s="156">
        <v>12.9</v>
      </c>
    </row>
    <row r="143" spans="4:13" x14ac:dyDescent="0.35">
      <c r="D143" s="77" t="s">
        <v>312</v>
      </c>
      <c r="E143" s="77" t="s">
        <v>355</v>
      </c>
      <c r="F143" s="17" t="s">
        <v>213</v>
      </c>
      <c r="G143" s="303">
        <f>(0.6+9.99+1.16+1.01+3.5+1.76+21.6+18.5+0.7+0.34+4.63+17.3+0.026+0.24+3.79+3.45)/100</f>
        <v>0.88596000000000019</v>
      </c>
      <c r="H143" s="303">
        <v>8.3000000000000001E-3</v>
      </c>
      <c r="I143" s="303">
        <v>4.5999999999999999E-3</v>
      </c>
      <c r="J143" s="303">
        <v>0</v>
      </c>
      <c r="K143" s="303">
        <v>0</v>
      </c>
      <c r="L143" s="304">
        <f>(0.45+1.81+7.26+0.19+0.36)/100</f>
        <v>0.10069999999999998</v>
      </c>
      <c r="M143" s="11">
        <f t="shared" ref="M143" si="66">SUM(G143:L143)</f>
        <v>0.99956000000000023</v>
      </c>
    </row>
    <row r="144" spans="4:13" x14ac:dyDescent="0.35">
      <c r="F144" s="17" t="s">
        <v>305</v>
      </c>
      <c r="G144" s="305">
        <f>G143*$M144</f>
        <v>3.3134904000000009</v>
      </c>
      <c r="H144" s="305">
        <f t="shared" ref="H144:L144" si="67">H143*$M144</f>
        <v>3.1042000000000004E-2</v>
      </c>
      <c r="I144" s="305">
        <f t="shared" si="67"/>
        <v>1.7204000000000001E-2</v>
      </c>
      <c r="J144" s="305">
        <f t="shared" si="67"/>
        <v>0</v>
      </c>
      <c r="K144" s="305">
        <f t="shared" si="67"/>
        <v>0</v>
      </c>
      <c r="L144" s="306">
        <f t="shared" si="67"/>
        <v>0.37661799999999995</v>
      </c>
      <c r="M144" s="156">
        <v>3.74</v>
      </c>
    </row>
    <row r="145" spans="4:13" x14ac:dyDescent="0.35">
      <c r="D145" s="77" t="s">
        <v>324</v>
      </c>
      <c r="E145" s="77" t="s">
        <v>355</v>
      </c>
      <c r="F145" s="17" t="s">
        <v>213</v>
      </c>
      <c r="G145" s="309">
        <f>(12.2+7.26+15.4+4.83+5.97+0.049+0.22+8.04+0.5+3.25+3.27+0.16+16.6+0.94+0.24)/100</f>
        <v>0.78928999999999983</v>
      </c>
      <c r="H145" s="303">
        <v>0</v>
      </c>
      <c r="I145" s="309">
        <v>0</v>
      </c>
      <c r="J145" s="303">
        <v>0</v>
      </c>
      <c r="K145" s="303">
        <v>4.2799999999999998E-2</v>
      </c>
      <c r="L145" s="304">
        <f>(15.2+1.55)/100+(1-G145-(15.2+1.55)/100)*(3.26+0.98)/100</f>
        <v>0.16933210400000001</v>
      </c>
      <c r="M145" s="11">
        <f t="shared" ref="M145" si="68">SUM(G145:L145)</f>
        <v>1.0014221039999998</v>
      </c>
    </row>
    <row r="146" spans="4:13" x14ac:dyDescent="0.35">
      <c r="F146" s="17" t="s">
        <v>305</v>
      </c>
      <c r="G146" s="305">
        <f>G145*$M146</f>
        <v>1.2233994999999998</v>
      </c>
      <c r="H146" s="305">
        <f t="shared" ref="H146:L146" si="69">H145*$M146</f>
        <v>0</v>
      </c>
      <c r="I146" s="305">
        <f t="shared" si="69"/>
        <v>0</v>
      </c>
      <c r="J146" s="305">
        <f t="shared" si="69"/>
        <v>0</v>
      </c>
      <c r="K146" s="305">
        <f t="shared" si="69"/>
        <v>6.6339999999999996E-2</v>
      </c>
      <c r="L146" s="306">
        <f t="shared" si="69"/>
        <v>0.26246476120000001</v>
      </c>
      <c r="M146" s="156">
        <v>1.55</v>
      </c>
    </row>
    <row r="147" spans="4:13" x14ac:dyDescent="0.35">
      <c r="D147" s="77" t="s">
        <v>318</v>
      </c>
      <c r="E147" s="77" t="s">
        <v>355</v>
      </c>
      <c r="F147" s="17" t="s">
        <v>213</v>
      </c>
      <c r="G147" s="309">
        <f>(0.41+32.6+22.6+0.021+1.97+5.53+4.28+0.38+0.17+0.34+0.25+0.013+11.8+0.078)/100</f>
        <v>0.80442000000000002</v>
      </c>
      <c r="H147" s="303">
        <v>1.6000000000000001E-3</v>
      </c>
      <c r="I147" s="309">
        <v>4.2700000000000002E-2</v>
      </c>
      <c r="J147" s="303">
        <v>0</v>
      </c>
      <c r="K147" s="303">
        <v>0</v>
      </c>
      <c r="L147" s="304">
        <f>(0.67+14.4)/100</f>
        <v>0.1507</v>
      </c>
      <c r="M147" s="11">
        <f t="shared" ref="M147" si="70">SUM(G147:L147)</f>
        <v>0.99941999999999998</v>
      </c>
    </row>
    <row r="148" spans="4:13" x14ac:dyDescent="0.35">
      <c r="F148" s="17" t="s">
        <v>305</v>
      </c>
      <c r="G148" s="305">
        <f>G147*$M148</f>
        <v>5.1482880000000009</v>
      </c>
      <c r="H148" s="305">
        <f t="shared" ref="H148:L148" si="71">H147*$M148</f>
        <v>1.0240000000000001E-2</v>
      </c>
      <c r="I148" s="305">
        <f t="shared" si="71"/>
        <v>0.27328000000000002</v>
      </c>
      <c r="J148" s="305">
        <f t="shared" si="71"/>
        <v>0</v>
      </c>
      <c r="K148" s="305">
        <f t="shared" si="71"/>
        <v>0</v>
      </c>
      <c r="L148" s="306">
        <f t="shared" si="71"/>
        <v>0.96448</v>
      </c>
      <c r="M148" s="156">
        <v>6.4</v>
      </c>
    </row>
    <row r="149" spans="4:13" x14ac:dyDescent="0.35">
      <c r="D149" s="77" t="s">
        <v>320</v>
      </c>
      <c r="E149" s="77" t="s">
        <v>355</v>
      </c>
      <c r="F149" s="17" t="s">
        <v>213</v>
      </c>
      <c r="G149" s="309">
        <f>(0.17+10.9+4.41+6.08+0.26+0.1+0.8+1.36+0.1+2.03+1.15+0.059)/100</f>
        <v>0.2741900000000001</v>
      </c>
      <c r="H149" s="303">
        <v>1.6500000000000001E-2</v>
      </c>
      <c r="I149" s="309">
        <v>2.4799999999999999E-2</v>
      </c>
      <c r="J149" s="303">
        <v>0</v>
      </c>
      <c r="K149" s="303">
        <v>0</v>
      </c>
      <c r="L149" s="304">
        <f>(68.3+0.032)/100+(1-SUM(G149:K149)-(68.3+0.032)/100)*1</f>
        <v>0.68450999999999995</v>
      </c>
      <c r="M149" s="11">
        <f t="shared" ref="M149" si="72">SUM(G149:L149)</f>
        <v>1</v>
      </c>
    </row>
    <row r="150" spans="4:13" x14ac:dyDescent="0.35">
      <c r="F150" s="17" t="s">
        <v>305</v>
      </c>
      <c r="G150" s="305">
        <f>G149*$M150</f>
        <v>1.7191713000000004</v>
      </c>
      <c r="H150" s="305">
        <f t="shared" ref="H150:L150" si="73">H149*$M150</f>
        <v>0.10345499999999999</v>
      </c>
      <c r="I150" s="305">
        <f t="shared" si="73"/>
        <v>0.155496</v>
      </c>
      <c r="J150" s="305">
        <f t="shared" si="73"/>
        <v>0</v>
      </c>
      <c r="K150" s="305">
        <f t="shared" si="73"/>
        <v>0</v>
      </c>
      <c r="L150" s="306">
        <f t="shared" si="73"/>
        <v>4.2918776999999997</v>
      </c>
      <c r="M150" s="156">
        <v>6.27</v>
      </c>
    </row>
    <row r="151" spans="4:13" x14ac:dyDescent="0.35">
      <c r="D151" s="77" t="s">
        <v>325</v>
      </c>
      <c r="E151" s="77" t="s">
        <v>355</v>
      </c>
      <c r="F151" s="17" t="s">
        <v>213</v>
      </c>
      <c r="G151" s="309">
        <f>(0.52+15.3+0.015+3.76+22.4+0.4+1.48+1.74+1.31+3.89+1.52+0.059+1.66+0.0077+32.3+12)/100</f>
        <v>0.98361699999999985</v>
      </c>
      <c r="H151" s="303">
        <v>0</v>
      </c>
      <c r="I151" s="309">
        <f>(1-G151-(1.02+0.017)/100)*26/100</f>
        <v>1.5633800000000387E-3</v>
      </c>
      <c r="J151" s="303">
        <v>0</v>
      </c>
      <c r="K151" s="303">
        <v>1.9E-3</v>
      </c>
      <c r="L151" s="304">
        <f>(1.02+0.017)/100+(1-G151-K151-(1.02+0.017)/100)*74/100</f>
        <v>1.3413620000000109E-2</v>
      </c>
      <c r="M151" s="11">
        <f t="shared" ref="M151" si="74">SUM(G151:L151)</f>
        <v>1.000494</v>
      </c>
    </row>
    <row r="152" spans="4:13" x14ac:dyDescent="0.35">
      <c r="F152" s="17" t="s">
        <v>305</v>
      </c>
      <c r="G152" s="305">
        <f>G151*$M152</f>
        <v>3.4918403499999995</v>
      </c>
      <c r="H152" s="305">
        <f t="shared" ref="H152:L152" si="75">H151*$M152</f>
        <v>0</v>
      </c>
      <c r="I152" s="305">
        <f t="shared" si="75"/>
        <v>5.5499990000001369E-3</v>
      </c>
      <c r="J152" s="305">
        <f t="shared" si="75"/>
        <v>0</v>
      </c>
      <c r="K152" s="305">
        <f t="shared" si="75"/>
        <v>6.7449999999999993E-3</v>
      </c>
      <c r="L152" s="306">
        <f t="shared" si="75"/>
        <v>4.7618351000000385E-2</v>
      </c>
      <c r="M152" s="156">
        <v>3.55</v>
      </c>
    </row>
    <row r="153" spans="4:13" x14ac:dyDescent="0.35">
      <c r="D153" s="77" t="s">
        <v>331</v>
      </c>
      <c r="E153" s="77" t="s">
        <v>355</v>
      </c>
      <c r="F153" s="17" t="s">
        <v>213</v>
      </c>
      <c r="G153" s="309">
        <f>(0.088+2.44+0.0061+4.83+1.5+81.9+0.62)/100</f>
        <v>0.91384100000000013</v>
      </c>
      <c r="H153" s="303">
        <v>4.0999999999999999E-4</v>
      </c>
      <c r="I153" s="309">
        <v>0</v>
      </c>
      <c r="J153" s="303">
        <v>0</v>
      </c>
      <c r="K153" s="303">
        <v>0</v>
      </c>
      <c r="L153" s="304">
        <f>(3.4+4.79+0.34)/100</f>
        <v>8.5299999999999987E-2</v>
      </c>
      <c r="M153" s="180">
        <f t="shared" ref="M153" si="76">SUM(G153:L153)</f>
        <v>0.99955100000000008</v>
      </c>
    </row>
    <row r="154" spans="4:13" x14ac:dyDescent="0.35">
      <c r="F154" s="17" t="s">
        <v>305</v>
      </c>
      <c r="G154" s="305">
        <f>G153*$M154</f>
        <v>0.70639909300000014</v>
      </c>
      <c r="H154" s="305">
        <f t="shared" ref="H154:L154" si="77">H153*$M154</f>
        <v>3.1692999999999999E-4</v>
      </c>
      <c r="I154" s="305">
        <f t="shared" si="77"/>
        <v>0</v>
      </c>
      <c r="J154" s="305">
        <f t="shared" si="77"/>
        <v>0</v>
      </c>
      <c r="K154" s="305">
        <f t="shared" si="77"/>
        <v>0</v>
      </c>
      <c r="L154" s="306">
        <f t="shared" si="77"/>
        <v>6.5936899999999993E-2</v>
      </c>
      <c r="M154" s="156">
        <v>0.77300000000000002</v>
      </c>
    </row>
    <row r="156" spans="4:13" x14ac:dyDescent="0.35">
      <c r="D156" s="18" t="s">
        <v>356</v>
      </c>
      <c r="E156" s="18" t="s">
        <v>355</v>
      </c>
      <c r="F156" s="16" t="s">
        <v>213</v>
      </c>
      <c r="G156" s="254">
        <f>G157/$M$157</f>
        <v>0.82194004052291281</v>
      </c>
      <c r="H156" s="254">
        <f t="shared" ref="H156:L156" si="78">H157/$M$157</f>
        <v>9.6362342633008104E-3</v>
      </c>
      <c r="I156" s="254">
        <f>I157/$M$157</f>
        <v>2.1710290038124094E-2</v>
      </c>
      <c r="J156" s="254">
        <f t="shared" si="78"/>
        <v>1.8830706020920099E-3</v>
      </c>
      <c r="K156" s="254">
        <f t="shared" si="78"/>
        <v>1.6682939280405009E-4</v>
      </c>
      <c r="L156" s="302">
        <f t="shared" si="78"/>
        <v>0.14453655595700282</v>
      </c>
    </row>
    <row r="157" spans="4:13" x14ac:dyDescent="0.35">
      <c r="F157" s="17" t="s">
        <v>305</v>
      </c>
      <c r="G157" s="156">
        <f>G102+G104+G106+G108+G110+G112+G114+G114+G116+G118+G120+G122+G124+G126+G128+G130+G132+G134+G136+G138+G140+G142+G144+G146+G148+G150+G152+G154</f>
        <v>640.81157961300005</v>
      </c>
      <c r="H157" s="156">
        <f t="shared" ref="H157:K157" si="79">H102+H104+H106+H108+H110+H112+H114+H114+H116+H118+H120+H122+H124+H126+H128+H130+H132+H134+H136+H138+H140+H142+H144+H146+H148+H150+H152+H154</f>
        <v>7.5127262274</v>
      </c>
      <c r="I157" s="156">
        <f t="shared" si="79"/>
        <v>16.926058553292801</v>
      </c>
      <c r="J157" s="156">
        <f t="shared" si="79"/>
        <v>1.4681039827207998</v>
      </c>
      <c r="K157" s="156">
        <f t="shared" si="79"/>
        <v>0.13006569999999998</v>
      </c>
      <c r="L157" s="157">
        <f>L102+L104+L106+L108+L110+L112+L114+L114+L116+L118+L120+L122+L124+L126+L128+L130+L132+L134+L136+L138+L140+L142+L144+L146+L148+L150+L152+L154</f>
        <v>112.68546873042597</v>
      </c>
      <c r="M157" s="156">
        <f>M102+M104+M106+M108+M110+M112+M114+M114+M116+M118+M120+M122+M124+M126+M128+M130+M132+M134+M136+M138+M140+M142+M144+M146+M148+M150+M152+M154</f>
        <v>779.63299999999992</v>
      </c>
    </row>
    <row r="158" spans="4:13" x14ac:dyDescent="0.35">
      <c r="M158" s="156"/>
    </row>
  </sheetData>
  <hyperlinks>
    <hyperlink ref="C30" r:id="rId1" display="https://ourworldindata.org/grapher/electricity-production-by-source?country=~OWID_EU27" xr:uid="{D7C8C9F3-ABFB-41D4-9BAA-D862E38034B7}"/>
  </hyperlinks>
  <pageMargins left="0.7" right="0.7" top="0.75" bottom="0.75" header="0.3" footer="0.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8046-8678-4A1A-A5E2-35FA467B8ECE}">
  <dimension ref="A1:BX255"/>
  <sheetViews>
    <sheetView zoomScale="67" zoomScaleNormal="67" workbookViewId="0">
      <pane xSplit="4" ySplit="3" topLeftCell="X4" activePane="bottomRight" state="frozen"/>
      <selection pane="topRight" activeCell="D1" sqref="D1"/>
      <selection pane="bottomLeft" activeCell="A3" sqref="A3"/>
      <selection pane="bottomRight" activeCell="AA189" sqref="AA189"/>
    </sheetView>
  </sheetViews>
  <sheetFormatPr defaultRowHeight="14.5" x14ac:dyDescent="0.35"/>
  <cols>
    <col min="1" max="1" width="37" customWidth="1"/>
    <col min="2" max="2" width="9.81640625" customWidth="1"/>
    <col min="3" max="4" width="8.7265625" style="4"/>
    <col min="5" max="5" width="10.453125" customWidth="1"/>
    <col min="7" max="7" width="9.54296875" customWidth="1"/>
    <col min="9" max="9" width="9" bestFit="1" customWidth="1"/>
    <col min="10" max="10" width="8.81640625" bestFit="1" customWidth="1"/>
    <col min="11" max="12" width="8.54296875" customWidth="1"/>
    <col min="13" max="13" width="12.453125" bestFit="1" customWidth="1"/>
    <col min="14" max="15" width="8.7265625" style="4"/>
    <col min="17" max="17" width="13.81640625" customWidth="1"/>
    <col min="18" max="18" width="12.1796875" bestFit="1" customWidth="1"/>
    <col min="19" max="19" width="9.54296875" style="4" customWidth="1"/>
    <col min="21" max="21" width="10.81640625" style="4" customWidth="1"/>
    <col min="22" max="22" width="12.1796875" bestFit="1" customWidth="1"/>
    <col min="28" max="28" width="8.7265625" style="20"/>
    <col min="29" max="29" width="9.1796875" bestFit="1" customWidth="1"/>
    <col min="31" max="31" width="13.453125" style="4" bestFit="1" customWidth="1"/>
    <col min="52" max="52" width="8.7265625" style="20"/>
    <col min="53" max="53" width="12.453125" customWidth="1"/>
    <col min="54" max="58" width="12.453125" bestFit="1" customWidth="1"/>
  </cols>
  <sheetData>
    <row r="1" spans="1:62" x14ac:dyDescent="0.35">
      <c r="A1" s="15" t="s">
        <v>358</v>
      </c>
      <c r="D1" s="19" t="s">
        <v>135</v>
      </c>
      <c r="E1" s="4" t="str" cm="1">
        <f t="array" ref="E1:AZ1">TRANSPOSE(D4:D51)</f>
        <v>SR</v>
      </c>
      <c r="F1" s="4" t="str">
        <v>ELE</v>
      </c>
      <c r="G1" s="4" t="str">
        <v>SR_H2</v>
      </c>
      <c r="H1" s="4" t="str">
        <v>ELE_H2</v>
      </c>
      <c r="I1" s="4" t="str">
        <v>SR</v>
      </c>
      <c r="J1" s="4" t="str">
        <v>ELE</v>
      </c>
      <c r="K1" s="4" t="str">
        <v>SR_H2</v>
      </c>
      <c r="L1" s="4" t="str">
        <v>ELE_H2</v>
      </c>
      <c r="M1" s="4" t="str">
        <v>SR</v>
      </c>
      <c r="N1" s="4" t="str">
        <v>ELE</v>
      </c>
      <c r="O1" s="4" t="str">
        <v>SR_H2</v>
      </c>
      <c r="P1" s="4" t="str">
        <v>ELE_H2</v>
      </c>
      <c r="Q1" s="4" t="str">
        <v>SR</v>
      </c>
      <c r="R1" s="4" t="str">
        <v>ELE</v>
      </c>
      <c r="S1" s="4" t="str">
        <v>SR_H2</v>
      </c>
      <c r="T1" s="4" t="str">
        <v>ELE_H2</v>
      </c>
      <c r="U1" s="4" t="str">
        <v>SR</v>
      </c>
      <c r="V1" s="4" t="str">
        <v>ELE</v>
      </c>
      <c r="W1" s="4" t="str">
        <v>SR_H2</v>
      </c>
      <c r="X1" s="4" t="str">
        <v>ELE_H2</v>
      </c>
      <c r="Y1" s="4" t="str">
        <v>SR</v>
      </c>
      <c r="Z1" s="4" t="str">
        <v>ELE</v>
      </c>
      <c r="AA1" s="4" t="str">
        <v>SR_H2</v>
      </c>
      <c r="AB1" s="17" t="str">
        <v>ELE_H2</v>
      </c>
      <c r="AC1" s="4" t="str">
        <v>M_SR</v>
      </c>
      <c r="AD1" s="4" t="str">
        <v>M_ELE</v>
      </c>
      <c r="AE1" s="4" t="str">
        <v>SR_H2_P</v>
      </c>
      <c r="AF1" s="4" t="str">
        <v>ELE_H2_P</v>
      </c>
      <c r="AG1" s="4" t="str">
        <v>M_SR</v>
      </c>
      <c r="AH1" s="4" t="str">
        <v>M_ELE</v>
      </c>
      <c r="AI1" s="4" t="str">
        <v>SR_H2_P</v>
      </c>
      <c r="AJ1" s="4" t="str">
        <v>ELE_H2_P</v>
      </c>
      <c r="AK1" s="4" t="str">
        <v>M_SR</v>
      </c>
      <c r="AL1" s="4" t="str">
        <v>M_ELE</v>
      </c>
      <c r="AM1" s="4" t="str">
        <v>SR_H2_P</v>
      </c>
      <c r="AN1" s="4" t="str">
        <v>ELE_H2_P</v>
      </c>
      <c r="AO1" s="4" t="str">
        <v>M_SR</v>
      </c>
      <c r="AP1" s="4" t="str">
        <v>M_ELE</v>
      </c>
      <c r="AQ1" s="4" t="str">
        <v>SR_H2_P</v>
      </c>
      <c r="AR1" s="4" t="str">
        <v>ELE_H2_P</v>
      </c>
      <c r="AS1" s="4" t="str">
        <v>M_SR</v>
      </c>
      <c r="AT1" s="4" t="str">
        <v>M_ELE</v>
      </c>
      <c r="AU1" s="4" t="str">
        <v>SR_H2_P</v>
      </c>
      <c r="AV1" s="4" t="str">
        <v>ELE_H2_P</v>
      </c>
      <c r="AW1" s="4" t="str">
        <v>M_SR</v>
      </c>
      <c r="AX1" s="4" t="str">
        <v>M_ELE</v>
      </c>
      <c r="AY1" s="4" t="str">
        <v>SR_H2_P</v>
      </c>
      <c r="AZ1" s="17" t="str">
        <v>ELE_H2_P</v>
      </c>
      <c r="BA1" s="4" t="s">
        <v>359</v>
      </c>
      <c r="BB1" s="4" t="s">
        <v>359</v>
      </c>
      <c r="BC1" s="4" t="s">
        <v>359</v>
      </c>
      <c r="BD1" s="4" t="s">
        <v>359</v>
      </c>
      <c r="BE1" s="4" t="s">
        <v>359</v>
      </c>
      <c r="BF1" s="4" t="s">
        <v>359</v>
      </c>
    </row>
    <row r="2" spans="1:62" s="4" customFormat="1" x14ac:dyDescent="0.35">
      <c r="D2" s="19" t="s">
        <v>136</v>
      </c>
      <c r="E2" s="4" t="str" cm="1">
        <f t="array" ref="E2:AZ2">TRANSPOSE(B4:B51)</f>
        <v>EU27</v>
      </c>
      <c r="F2" s="4" t="str">
        <v>EU27</v>
      </c>
      <c r="G2" s="4" t="str">
        <v>EU27</v>
      </c>
      <c r="H2" s="4" t="str">
        <v>EU27</v>
      </c>
      <c r="I2" s="4" t="str">
        <v>China</v>
      </c>
      <c r="J2" s="4" t="str">
        <v>China</v>
      </c>
      <c r="K2" s="4" t="str">
        <v>China</v>
      </c>
      <c r="L2" s="4" t="str">
        <v>China</v>
      </c>
      <c r="M2" s="4" t="str">
        <v>USA</v>
      </c>
      <c r="N2" s="4" t="str">
        <v>USA</v>
      </c>
      <c r="O2" s="4" t="str">
        <v>USA</v>
      </c>
      <c r="P2" s="4" t="str">
        <v>USA</v>
      </c>
      <c r="Q2" s="4" t="str">
        <v>India</v>
      </c>
      <c r="R2" s="4" t="str">
        <v>India</v>
      </c>
      <c r="S2" s="4" t="str">
        <v>India</v>
      </c>
      <c r="T2" s="4" t="str">
        <v>India</v>
      </c>
      <c r="U2" s="4" t="str">
        <v>Russia</v>
      </c>
      <c r="V2" s="4" t="str">
        <v>Russia</v>
      </c>
      <c r="W2" s="4" t="str">
        <v>Russia</v>
      </c>
      <c r="X2" s="4" t="str">
        <v>Russia</v>
      </c>
      <c r="Y2" s="4" t="str">
        <v>RoW</v>
      </c>
      <c r="Z2" s="4" t="str">
        <v>RoW</v>
      </c>
      <c r="AA2" s="4" t="str">
        <v>RoW</v>
      </c>
      <c r="AB2" s="17" t="str">
        <v>RoW</v>
      </c>
      <c r="AC2" s="4" t="str">
        <v>EU27</v>
      </c>
      <c r="AD2" s="4" t="str">
        <v>EU27</v>
      </c>
      <c r="AE2" s="4" t="str">
        <v>EU27</v>
      </c>
      <c r="AF2" s="4" t="str">
        <v>EU27</v>
      </c>
      <c r="AG2" s="4" t="str">
        <v>China</v>
      </c>
      <c r="AH2" s="4" t="str">
        <v>China</v>
      </c>
      <c r="AI2" s="4" t="str">
        <v>China</v>
      </c>
      <c r="AJ2" s="4" t="str">
        <v>China</v>
      </c>
      <c r="AK2" s="4" t="str">
        <v>USA</v>
      </c>
      <c r="AL2" s="4" t="str">
        <v>USA</v>
      </c>
      <c r="AM2" s="4" t="str">
        <v>USA</v>
      </c>
      <c r="AN2" s="4" t="str">
        <v>USA</v>
      </c>
      <c r="AO2" s="4" t="str">
        <v>India</v>
      </c>
      <c r="AP2" s="4" t="str">
        <v>India</v>
      </c>
      <c r="AQ2" s="4" t="str">
        <v>India</v>
      </c>
      <c r="AR2" s="4" t="str">
        <v>India</v>
      </c>
      <c r="AS2" s="4" t="str">
        <v>Russia</v>
      </c>
      <c r="AT2" s="4" t="str">
        <v>Russia</v>
      </c>
      <c r="AU2" s="4" t="str">
        <v>Russia</v>
      </c>
      <c r="AV2" s="4" t="str">
        <v>Russia</v>
      </c>
      <c r="AW2" s="4" t="str">
        <v>RoW</v>
      </c>
      <c r="AX2" s="4" t="str">
        <v>RoW</v>
      </c>
      <c r="AY2" s="4" t="str">
        <v>RoW</v>
      </c>
      <c r="AZ2" s="17" t="str">
        <v>RoW</v>
      </c>
      <c r="BA2" s="4" t="s">
        <v>73</v>
      </c>
      <c r="BB2" s="4" t="s">
        <v>88</v>
      </c>
      <c r="BC2" s="4" t="s">
        <v>90</v>
      </c>
      <c r="BD2" s="4" t="s">
        <v>91</v>
      </c>
      <c r="BE2" s="4" t="s">
        <v>92</v>
      </c>
      <c r="BF2" s="4" t="s">
        <v>93</v>
      </c>
      <c r="BJ2" s="4" t="s">
        <v>360</v>
      </c>
    </row>
    <row r="3" spans="1:62" ht="15" thickBot="1" x14ac:dyDescent="0.4">
      <c r="A3" s="18" t="s">
        <v>137</v>
      </c>
      <c r="B3" s="18" t="s">
        <v>136</v>
      </c>
      <c r="C3" s="19" t="s">
        <v>138</v>
      </c>
      <c r="M3" s="4"/>
      <c r="N3"/>
      <c r="Q3" s="4"/>
    </row>
    <row r="4" spans="1:62" x14ac:dyDescent="0.35">
      <c r="A4" t="s">
        <v>139</v>
      </c>
      <c r="B4" t="s">
        <v>73</v>
      </c>
      <c r="C4" s="4" t="s">
        <v>140</v>
      </c>
      <c r="D4" s="4" t="s">
        <v>141</v>
      </c>
      <c r="M4" s="4"/>
      <c r="N4"/>
      <c r="Q4" s="4"/>
      <c r="AC4" s="21">
        <v>0</v>
      </c>
      <c r="AD4" s="21">
        <v>0</v>
      </c>
      <c r="AE4" s="21">
        <v>1</v>
      </c>
      <c r="AF4" s="181">
        <v>0</v>
      </c>
      <c r="AG4" s="21">
        <v>0</v>
      </c>
      <c r="AH4" s="21">
        <v>0</v>
      </c>
      <c r="AI4" s="21">
        <v>0</v>
      </c>
      <c r="AJ4" s="181">
        <v>0</v>
      </c>
      <c r="AK4" s="21">
        <v>0</v>
      </c>
      <c r="AL4" s="21">
        <v>0</v>
      </c>
      <c r="AM4" s="21">
        <v>0</v>
      </c>
      <c r="AN4" s="181">
        <v>0</v>
      </c>
      <c r="AO4" s="21">
        <v>0</v>
      </c>
      <c r="AP4" s="21">
        <v>0</v>
      </c>
      <c r="AQ4" s="21">
        <v>0</v>
      </c>
      <c r="AR4" s="181">
        <v>0</v>
      </c>
      <c r="AS4" s="21">
        <v>0</v>
      </c>
      <c r="AT4" s="21">
        <v>0</v>
      </c>
      <c r="AU4" s="21">
        <v>0</v>
      </c>
      <c r="AV4" s="181">
        <v>0</v>
      </c>
      <c r="AW4" s="21">
        <v>0</v>
      </c>
      <c r="AX4" s="21">
        <v>0</v>
      </c>
      <c r="AY4" s="21">
        <v>0</v>
      </c>
      <c r="AZ4" s="22">
        <v>0</v>
      </c>
      <c r="BA4" s="182">
        <v>0</v>
      </c>
      <c r="BB4" s="183">
        <v>0</v>
      </c>
      <c r="BC4" s="183">
        <v>0</v>
      </c>
      <c r="BD4" s="183">
        <v>0</v>
      </c>
      <c r="BE4" s="183">
        <v>0</v>
      </c>
      <c r="BF4" s="23">
        <v>0</v>
      </c>
      <c r="BH4" s="24">
        <f>SUM(AC4:BF4)</f>
        <v>1</v>
      </c>
      <c r="BJ4" s="4" t="str" cm="1">
        <f t="array" ref="BJ4:BJ27">IF(BH4:BH27=TRANSPOSE(E128:AB128),"ok","error")</f>
        <v>ok</v>
      </c>
    </row>
    <row r="5" spans="1:62" x14ac:dyDescent="0.35">
      <c r="A5" t="s">
        <v>142</v>
      </c>
      <c r="B5" t="s">
        <v>73</v>
      </c>
      <c r="C5" s="4" t="s">
        <v>140</v>
      </c>
      <c r="D5" s="4" t="s">
        <v>143</v>
      </c>
      <c r="M5" s="4"/>
      <c r="N5"/>
      <c r="Q5" s="4"/>
      <c r="AC5" s="21">
        <v>0</v>
      </c>
      <c r="AD5" s="21">
        <v>0</v>
      </c>
      <c r="AE5" s="21">
        <v>0</v>
      </c>
      <c r="AF5" s="181">
        <v>1</v>
      </c>
      <c r="AG5" s="21">
        <v>0</v>
      </c>
      <c r="AH5" s="21">
        <v>0</v>
      </c>
      <c r="AI5" s="21">
        <v>0</v>
      </c>
      <c r="AJ5" s="181">
        <v>0</v>
      </c>
      <c r="AK5" s="21">
        <v>0</v>
      </c>
      <c r="AL5" s="21">
        <v>0</v>
      </c>
      <c r="AM5" s="21">
        <v>0</v>
      </c>
      <c r="AN5" s="181">
        <v>0</v>
      </c>
      <c r="AO5" s="21">
        <v>0</v>
      </c>
      <c r="AP5" s="21">
        <v>0</v>
      </c>
      <c r="AQ5" s="21">
        <v>0</v>
      </c>
      <c r="AR5" s="181">
        <v>0</v>
      </c>
      <c r="AS5" s="21">
        <v>0</v>
      </c>
      <c r="AT5" s="21">
        <v>0</v>
      </c>
      <c r="AU5" s="21">
        <v>0</v>
      </c>
      <c r="AV5" s="181">
        <v>0</v>
      </c>
      <c r="AW5" s="21">
        <v>0</v>
      </c>
      <c r="AX5" s="21">
        <v>0</v>
      </c>
      <c r="AY5" s="21">
        <v>0</v>
      </c>
      <c r="AZ5" s="22">
        <v>0</v>
      </c>
      <c r="BA5" s="182">
        <v>0</v>
      </c>
      <c r="BB5" s="183">
        <v>0</v>
      </c>
      <c r="BC5" s="183">
        <v>0</v>
      </c>
      <c r="BD5" s="183">
        <v>0</v>
      </c>
      <c r="BE5" s="183">
        <v>0</v>
      </c>
      <c r="BF5" s="23">
        <v>0</v>
      </c>
      <c r="BH5" s="25">
        <f t="shared" ref="BH5:BH27" si="0">SUM(AC5:BF5)</f>
        <v>1</v>
      </c>
      <c r="BJ5" s="4" t="str">
        <v>ok</v>
      </c>
    </row>
    <row r="6" spans="1:62" x14ac:dyDescent="0.35">
      <c r="A6" t="s">
        <v>147</v>
      </c>
      <c r="B6" t="s">
        <v>73</v>
      </c>
      <c r="C6" s="4" t="s">
        <v>148</v>
      </c>
      <c r="D6" s="4" t="s">
        <v>149</v>
      </c>
      <c r="M6" s="4"/>
      <c r="N6"/>
      <c r="Q6" s="4"/>
      <c r="AC6" s="21">
        <v>0</v>
      </c>
      <c r="AD6" s="21">
        <v>0</v>
      </c>
      <c r="AE6" s="21">
        <v>0</v>
      </c>
      <c r="AF6" s="181">
        <v>0</v>
      </c>
      <c r="AG6" s="21">
        <v>0</v>
      </c>
      <c r="AH6" s="21">
        <v>0</v>
      </c>
      <c r="AI6" s="21">
        <v>0</v>
      </c>
      <c r="AJ6" s="181">
        <v>0</v>
      </c>
      <c r="AK6" s="21">
        <v>0</v>
      </c>
      <c r="AL6" s="21">
        <v>0</v>
      </c>
      <c r="AM6" s="21">
        <v>0</v>
      </c>
      <c r="AN6" s="181">
        <v>0</v>
      </c>
      <c r="AO6" s="21">
        <v>0</v>
      </c>
      <c r="AP6" s="21">
        <v>0</v>
      </c>
      <c r="AQ6" s="21">
        <v>0</v>
      </c>
      <c r="AR6" s="181">
        <v>0</v>
      </c>
      <c r="AS6" s="21">
        <v>0</v>
      </c>
      <c r="AT6" s="21">
        <v>0</v>
      </c>
      <c r="AU6" s="21">
        <v>0</v>
      </c>
      <c r="AV6" s="181">
        <v>0</v>
      </c>
      <c r="AW6" s="21">
        <v>0</v>
      </c>
      <c r="AX6" s="21">
        <v>0</v>
      </c>
      <c r="AY6" s="21">
        <v>0</v>
      </c>
      <c r="AZ6" s="22">
        <v>0</v>
      </c>
      <c r="BA6" s="184">
        <f>[2]H2_NGSR!H52</f>
        <v>17505.475963799996</v>
      </c>
      <c r="BB6" s="183">
        <v>0</v>
      </c>
      <c r="BC6" s="183">
        <v>0</v>
      </c>
      <c r="BD6" s="183">
        <v>0</v>
      </c>
      <c r="BE6" s="183">
        <v>0</v>
      </c>
      <c r="BF6" s="23">
        <v>0</v>
      </c>
      <c r="BH6" s="26">
        <f t="shared" si="0"/>
        <v>17505.475963799996</v>
      </c>
      <c r="BJ6" s="4" t="str">
        <v>error</v>
      </c>
    </row>
    <row r="7" spans="1:62" ht="15" thickBot="1" x14ac:dyDescent="0.4">
      <c r="A7" t="s">
        <v>150</v>
      </c>
      <c r="B7" t="s">
        <v>73</v>
      </c>
      <c r="C7" s="4" t="s">
        <v>148</v>
      </c>
      <c r="D7" s="4" t="s">
        <v>151</v>
      </c>
      <c r="M7" s="4"/>
      <c r="N7"/>
      <c r="Q7" s="4"/>
      <c r="AC7" s="185">
        <v>0</v>
      </c>
      <c r="AD7" s="185">
        <v>0</v>
      </c>
      <c r="AE7" s="185">
        <v>0</v>
      </c>
      <c r="AF7" s="186">
        <v>0</v>
      </c>
      <c r="AG7" s="187">
        <v>0</v>
      </c>
      <c r="AH7" s="185">
        <v>0</v>
      </c>
      <c r="AI7" s="185">
        <v>0</v>
      </c>
      <c r="AJ7" s="186">
        <v>0</v>
      </c>
      <c r="AK7" s="187">
        <v>0</v>
      </c>
      <c r="AL7" s="185">
        <v>0</v>
      </c>
      <c r="AM7" s="185">
        <v>0</v>
      </c>
      <c r="AN7" s="186">
        <v>0</v>
      </c>
      <c r="AO7" s="187">
        <v>0</v>
      </c>
      <c r="AP7" s="185">
        <v>0</v>
      </c>
      <c r="AQ7" s="185">
        <v>0</v>
      </c>
      <c r="AR7" s="186">
        <v>0</v>
      </c>
      <c r="AS7" s="187">
        <v>0</v>
      </c>
      <c r="AT7" s="185">
        <v>0</v>
      </c>
      <c r="AU7" s="185">
        <v>0</v>
      </c>
      <c r="AV7" s="186">
        <v>0</v>
      </c>
      <c r="AW7" s="187">
        <v>0</v>
      </c>
      <c r="AX7" s="185">
        <v>0</v>
      </c>
      <c r="AY7" s="185">
        <v>0</v>
      </c>
      <c r="AZ7" s="188">
        <v>0</v>
      </c>
      <c r="BA7" s="189">
        <f>[2]H2_ELE!H52</f>
        <v>5200</v>
      </c>
      <c r="BB7" s="190">
        <v>0</v>
      </c>
      <c r="BC7" s="190">
        <v>0</v>
      </c>
      <c r="BD7" s="190">
        <v>0</v>
      </c>
      <c r="BE7" s="190">
        <v>0</v>
      </c>
      <c r="BF7" s="191">
        <v>0</v>
      </c>
      <c r="BH7" s="25">
        <f t="shared" si="0"/>
        <v>5200</v>
      </c>
      <c r="BJ7" s="4" t="str">
        <v>ok</v>
      </c>
    </row>
    <row r="8" spans="1:62" x14ac:dyDescent="0.35">
      <c r="A8" t="s">
        <v>139</v>
      </c>
      <c r="B8" t="s">
        <v>88</v>
      </c>
      <c r="C8" s="4" t="s">
        <v>140</v>
      </c>
      <c r="D8" s="4" t="s">
        <v>141</v>
      </c>
      <c r="M8" s="4"/>
      <c r="N8"/>
      <c r="Q8" s="4"/>
      <c r="AC8" s="21">
        <v>0</v>
      </c>
      <c r="AD8" s="21">
        <v>0</v>
      </c>
      <c r="AE8" s="21">
        <v>0</v>
      </c>
      <c r="AF8" s="181">
        <v>0</v>
      </c>
      <c r="AG8" s="21">
        <v>0</v>
      </c>
      <c r="AH8" s="21">
        <v>0</v>
      </c>
      <c r="AI8" s="21">
        <v>0</v>
      </c>
      <c r="AJ8" s="181">
        <v>0</v>
      </c>
      <c r="AK8" s="21">
        <v>0</v>
      </c>
      <c r="AL8" s="21">
        <v>0</v>
      </c>
      <c r="AM8" s="21">
        <v>0</v>
      </c>
      <c r="AN8" s="181">
        <v>0</v>
      </c>
      <c r="AO8" s="21">
        <v>0</v>
      </c>
      <c r="AP8" s="21">
        <v>0</v>
      </c>
      <c r="AQ8" s="21">
        <v>0</v>
      </c>
      <c r="AR8" s="181">
        <v>0</v>
      </c>
      <c r="AS8" s="21">
        <v>0</v>
      </c>
      <c r="AT8" s="21">
        <v>0</v>
      </c>
      <c r="AU8" s="21">
        <v>0</v>
      </c>
      <c r="AV8" s="181">
        <v>0</v>
      </c>
      <c r="AW8" s="21">
        <v>0</v>
      </c>
      <c r="AX8" s="21">
        <v>0</v>
      </c>
      <c r="AY8" s="21">
        <v>0</v>
      </c>
      <c r="AZ8" s="22">
        <v>0</v>
      </c>
      <c r="BA8" s="182">
        <v>0</v>
      </c>
      <c r="BB8" s="183">
        <v>0</v>
      </c>
      <c r="BC8" s="183">
        <v>0</v>
      </c>
      <c r="BD8" s="183">
        <v>0</v>
      </c>
      <c r="BE8" s="183">
        <v>0</v>
      </c>
      <c r="BF8" s="23">
        <v>0</v>
      </c>
      <c r="BH8" s="25">
        <f t="shared" si="0"/>
        <v>0</v>
      </c>
      <c r="BJ8" s="4" t="str">
        <v>ok</v>
      </c>
    </row>
    <row r="9" spans="1:62" x14ac:dyDescent="0.35">
      <c r="A9" t="s">
        <v>142</v>
      </c>
      <c r="B9" t="s">
        <v>88</v>
      </c>
      <c r="C9" s="4" t="s">
        <v>140</v>
      </c>
      <c r="D9" s="4" t="s">
        <v>143</v>
      </c>
      <c r="M9" s="4"/>
      <c r="N9"/>
      <c r="Q9" s="4"/>
      <c r="AC9" s="21">
        <v>0</v>
      </c>
      <c r="AD9" s="21">
        <v>0</v>
      </c>
      <c r="AE9" s="21">
        <v>0</v>
      </c>
      <c r="AF9" s="181">
        <v>0</v>
      </c>
      <c r="AG9" s="21">
        <v>0</v>
      </c>
      <c r="AH9" s="21">
        <v>0</v>
      </c>
      <c r="AI9" s="21">
        <v>0</v>
      </c>
      <c r="AJ9" s="181">
        <v>0</v>
      </c>
      <c r="AK9" s="21">
        <v>0</v>
      </c>
      <c r="AL9" s="21">
        <v>0</v>
      </c>
      <c r="AM9" s="21">
        <v>0</v>
      </c>
      <c r="AN9" s="181">
        <v>0</v>
      </c>
      <c r="AO9" s="21">
        <v>0</v>
      </c>
      <c r="AP9" s="21">
        <v>0</v>
      </c>
      <c r="AQ9" s="21">
        <v>0</v>
      </c>
      <c r="AR9" s="181">
        <v>0</v>
      </c>
      <c r="AS9" s="21">
        <v>0</v>
      </c>
      <c r="AT9" s="21">
        <v>0</v>
      </c>
      <c r="AU9" s="21">
        <v>0</v>
      </c>
      <c r="AV9" s="181">
        <v>0</v>
      </c>
      <c r="AW9" s="21">
        <v>0</v>
      </c>
      <c r="AX9" s="21">
        <v>0</v>
      </c>
      <c r="AY9" s="21">
        <v>0</v>
      </c>
      <c r="AZ9" s="22">
        <v>0</v>
      </c>
      <c r="BA9" s="182">
        <v>0</v>
      </c>
      <c r="BB9" s="183">
        <v>0</v>
      </c>
      <c r="BC9" s="183">
        <v>0</v>
      </c>
      <c r="BD9" s="183">
        <v>0</v>
      </c>
      <c r="BE9" s="183">
        <v>0</v>
      </c>
      <c r="BF9" s="23">
        <v>0</v>
      </c>
      <c r="BH9" s="25">
        <f t="shared" si="0"/>
        <v>0</v>
      </c>
      <c r="BJ9" s="4" t="str">
        <v>ok</v>
      </c>
    </row>
    <row r="10" spans="1:62" x14ac:dyDescent="0.35">
      <c r="A10" t="s">
        <v>147</v>
      </c>
      <c r="B10" t="s">
        <v>88</v>
      </c>
      <c r="C10" s="4" t="s">
        <v>148</v>
      </c>
      <c r="D10" s="4" t="s">
        <v>149</v>
      </c>
      <c r="M10" s="4"/>
      <c r="N10"/>
      <c r="Q10" s="4"/>
      <c r="AC10" s="21">
        <v>0</v>
      </c>
      <c r="AD10" s="21">
        <v>0</v>
      </c>
      <c r="AE10" s="21">
        <v>0</v>
      </c>
      <c r="AF10" s="181">
        <v>0</v>
      </c>
      <c r="AG10" s="21">
        <v>0</v>
      </c>
      <c r="AH10" s="21">
        <v>0</v>
      </c>
      <c r="AI10" s="21">
        <v>0</v>
      </c>
      <c r="AJ10" s="181">
        <v>0</v>
      </c>
      <c r="AK10" s="21">
        <v>0</v>
      </c>
      <c r="AL10" s="21">
        <v>0</v>
      </c>
      <c r="AM10" s="21">
        <v>0</v>
      </c>
      <c r="AN10" s="181">
        <v>0</v>
      </c>
      <c r="AO10" s="21">
        <v>0</v>
      </c>
      <c r="AP10" s="21">
        <v>0</v>
      </c>
      <c r="AQ10" s="21">
        <v>0</v>
      </c>
      <c r="AR10" s="181">
        <v>0</v>
      </c>
      <c r="AS10" s="21">
        <v>0</v>
      </c>
      <c r="AT10" s="21">
        <v>0</v>
      </c>
      <c r="AU10" s="21">
        <v>0</v>
      </c>
      <c r="AV10" s="181">
        <v>0</v>
      </c>
      <c r="AW10" s="21">
        <v>0</v>
      </c>
      <c r="AX10" s="21">
        <v>0</v>
      </c>
      <c r="AY10" s="21">
        <v>0</v>
      </c>
      <c r="AZ10" s="22">
        <v>0</v>
      </c>
      <c r="BA10" s="182">
        <v>0</v>
      </c>
      <c r="BB10" s="183">
        <v>0</v>
      </c>
      <c r="BC10" s="183">
        <v>0</v>
      </c>
      <c r="BD10" s="183">
        <v>0</v>
      </c>
      <c r="BE10" s="183">
        <v>0</v>
      </c>
      <c r="BF10" s="23">
        <v>0</v>
      </c>
      <c r="BH10" s="25">
        <f t="shared" si="0"/>
        <v>0</v>
      </c>
      <c r="BJ10" s="4" t="str">
        <v>ok</v>
      </c>
    </row>
    <row r="11" spans="1:62" ht="15" thickBot="1" x14ac:dyDescent="0.4">
      <c r="A11" t="s">
        <v>150</v>
      </c>
      <c r="B11" t="s">
        <v>88</v>
      </c>
      <c r="C11" s="4" t="s">
        <v>148</v>
      </c>
      <c r="D11" s="4" t="s">
        <v>151</v>
      </c>
      <c r="M11" s="4"/>
      <c r="N11"/>
      <c r="Q11" s="4"/>
      <c r="AC11" s="185">
        <v>0</v>
      </c>
      <c r="AD11" s="185">
        <v>0</v>
      </c>
      <c r="AE11" s="185">
        <v>0</v>
      </c>
      <c r="AF11" s="186">
        <v>0</v>
      </c>
      <c r="AG11" s="187">
        <v>0</v>
      </c>
      <c r="AH11" s="185">
        <v>0</v>
      </c>
      <c r="AI11" s="185">
        <v>0</v>
      </c>
      <c r="AJ11" s="186">
        <v>0</v>
      </c>
      <c r="AK11" s="187">
        <v>0</v>
      </c>
      <c r="AL11" s="185">
        <v>0</v>
      </c>
      <c r="AM11" s="185">
        <v>0</v>
      </c>
      <c r="AN11" s="186">
        <v>0</v>
      </c>
      <c r="AO11" s="187">
        <v>0</v>
      </c>
      <c r="AP11" s="185">
        <v>0</v>
      </c>
      <c r="AQ11" s="185">
        <v>0</v>
      </c>
      <c r="AR11" s="186">
        <v>0</v>
      </c>
      <c r="AS11" s="187">
        <v>0</v>
      </c>
      <c r="AT11" s="185">
        <v>0</v>
      </c>
      <c r="AU11" s="185">
        <v>0</v>
      </c>
      <c r="AV11" s="186">
        <v>0</v>
      </c>
      <c r="AW11" s="187">
        <v>0</v>
      </c>
      <c r="AX11" s="185">
        <v>0</v>
      </c>
      <c r="AY11" s="185">
        <v>0</v>
      </c>
      <c r="AZ11" s="188">
        <v>0</v>
      </c>
      <c r="BA11" s="189">
        <v>0</v>
      </c>
      <c r="BB11" s="190">
        <v>0</v>
      </c>
      <c r="BC11" s="190">
        <v>0</v>
      </c>
      <c r="BD11" s="190">
        <v>0</v>
      </c>
      <c r="BE11" s="190">
        <v>0</v>
      </c>
      <c r="BF11" s="191">
        <v>0</v>
      </c>
      <c r="BH11" s="25">
        <f t="shared" si="0"/>
        <v>0</v>
      </c>
      <c r="BJ11" s="4" t="str">
        <v>ok</v>
      </c>
    </row>
    <row r="12" spans="1:62" x14ac:dyDescent="0.35">
      <c r="A12" t="s">
        <v>139</v>
      </c>
      <c r="B12" t="s">
        <v>90</v>
      </c>
      <c r="C12" s="4" t="s">
        <v>140</v>
      </c>
      <c r="D12" s="4" t="s">
        <v>141</v>
      </c>
      <c r="M12" s="4"/>
      <c r="N12"/>
      <c r="Q12" s="4"/>
      <c r="AC12" s="21">
        <v>0</v>
      </c>
      <c r="AD12" s="21">
        <v>0</v>
      </c>
      <c r="AE12" s="21">
        <v>0</v>
      </c>
      <c r="AF12" s="181">
        <v>0</v>
      </c>
      <c r="AG12" s="21">
        <v>0</v>
      </c>
      <c r="AH12" s="21">
        <v>0</v>
      </c>
      <c r="AI12" s="21">
        <v>0</v>
      </c>
      <c r="AJ12" s="181">
        <v>0</v>
      </c>
      <c r="AK12" s="21">
        <v>0</v>
      </c>
      <c r="AL12" s="21">
        <v>0</v>
      </c>
      <c r="AM12" s="21">
        <v>0</v>
      </c>
      <c r="AN12" s="181">
        <v>0</v>
      </c>
      <c r="AO12" s="21">
        <v>0</v>
      </c>
      <c r="AP12" s="21">
        <v>0</v>
      </c>
      <c r="AQ12" s="21">
        <v>0</v>
      </c>
      <c r="AR12" s="181">
        <v>0</v>
      </c>
      <c r="AS12" s="21">
        <v>0</v>
      </c>
      <c r="AT12" s="21">
        <v>0</v>
      </c>
      <c r="AU12" s="21">
        <v>0</v>
      </c>
      <c r="AV12" s="181">
        <v>0</v>
      </c>
      <c r="AW12" s="21">
        <v>0</v>
      </c>
      <c r="AX12" s="21">
        <v>0</v>
      </c>
      <c r="AY12" s="21">
        <v>0</v>
      </c>
      <c r="AZ12" s="22">
        <v>0</v>
      </c>
      <c r="BA12" s="182">
        <v>0</v>
      </c>
      <c r="BB12" s="183">
        <v>0</v>
      </c>
      <c r="BC12" s="183">
        <v>0</v>
      </c>
      <c r="BD12" s="183">
        <v>0</v>
      </c>
      <c r="BE12" s="183">
        <v>0</v>
      </c>
      <c r="BF12" s="23">
        <v>0</v>
      </c>
      <c r="BH12" s="25">
        <f t="shared" si="0"/>
        <v>0</v>
      </c>
      <c r="BJ12" s="4" t="str">
        <v>ok</v>
      </c>
    </row>
    <row r="13" spans="1:62" x14ac:dyDescent="0.35">
      <c r="A13" t="s">
        <v>142</v>
      </c>
      <c r="B13" t="s">
        <v>90</v>
      </c>
      <c r="C13" s="4" t="s">
        <v>140</v>
      </c>
      <c r="D13" s="4" t="s">
        <v>143</v>
      </c>
      <c r="M13" s="4"/>
      <c r="N13"/>
      <c r="Q13" s="4"/>
      <c r="AC13" s="21">
        <v>0</v>
      </c>
      <c r="AD13" s="21">
        <v>0</v>
      </c>
      <c r="AE13" s="21">
        <v>0</v>
      </c>
      <c r="AF13" s="181">
        <v>0</v>
      </c>
      <c r="AG13" s="21">
        <v>0</v>
      </c>
      <c r="AH13" s="21">
        <v>0</v>
      </c>
      <c r="AI13" s="21">
        <v>0</v>
      </c>
      <c r="AJ13" s="181">
        <v>0</v>
      </c>
      <c r="AK13" s="21">
        <v>0</v>
      </c>
      <c r="AL13" s="21">
        <v>0</v>
      </c>
      <c r="AM13" s="21">
        <v>0</v>
      </c>
      <c r="AN13" s="181">
        <v>0</v>
      </c>
      <c r="AO13" s="21">
        <v>0</v>
      </c>
      <c r="AP13" s="21">
        <v>0</v>
      </c>
      <c r="AQ13" s="21">
        <v>0</v>
      </c>
      <c r="AR13" s="181">
        <v>0</v>
      </c>
      <c r="AS13" s="21">
        <v>0</v>
      </c>
      <c r="AT13" s="21">
        <v>0</v>
      </c>
      <c r="AU13" s="21">
        <v>0</v>
      </c>
      <c r="AV13" s="181">
        <v>0</v>
      </c>
      <c r="AW13" s="21">
        <v>0</v>
      </c>
      <c r="AX13" s="21">
        <v>0</v>
      </c>
      <c r="AY13" s="21">
        <v>0</v>
      </c>
      <c r="AZ13" s="22">
        <v>0</v>
      </c>
      <c r="BA13" s="182">
        <v>0</v>
      </c>
      <c r="BB13" s="183">
        <v>0</v>
      </c>
      <c r="BC13" s="183">
        <v>0</v>
      </c>
      <c r="BD13" s="183">
        <v>0</v>
      </c>
      <c r="BE13" s="183">
        <v>0</v>
      </c>
      <c r="BF13" s="23">
        <v>0</v>
      </c>
      <c r="BH13" s="25">
        <f t="shared" si="0"/>
        <v>0</v>
      </c>
      <c r="BJ13" s="4" t="str">
        <v>ok</v>
      </c>
    </row>
    <row r="14" spans="1:62" x14ac:dyDescent="0.35">
      <c r="A14" t="s">
        <v>147</v>
      </c>
      <c r="B14" t="s">
        <v>90</v>
      </c>
      <c r="C14" s="4" t="s">
        <v>148</v>
      </c>
      <c r="D14" s="4" t="s">
        <v>149</v>
      </c>
      <c r="M14" s="4"/>
      <c r="N14"/>
      <c r="Q14" s="4"/>
      <c r="AC14" s="21">
        <v>0</v>
      </c>
      <c r="AD14" s="21">
        <v>0</v>
      </c>
      <c r="AE14" s="21">
        <v>0</v>
      </c>
      <c r="AF14" s="181">
        <v>0</v>
      </c>
      <c r="AG14" s="21">
        <v>0</v>
      </c>
      <c r="AH14" s="21">
        <v>0</v>
      </c>
      <c r="AI14" s="21">
        <v>0</v>
      </c>
      <c r="AJ14" s="181">
        <v>0</v>
      </c>
      <c r="AK14" s="21">
        <v>0</v>
      </c>
      <c r="AL14" s="21">
        <v>0</v>
      </c>
      <c r="AM14" s="21">
        <v>0</v>
      </c>
      <c r="AN14" s="181">
        <v>0</v>
      </c>
      <c r="AO14" s="21">
        <v>0</v>
      </c>
      <c r="AP14" s="21">
        <v>0</v>
      </c>
      <c r="AQ14" s="21">
        <v>0</v>
      </c>
      <c r="AR14" s="181">
        <v>0</v>
      </c>
      <c r="AS14" s="21">
        <v>0</v>
      </c>
      <c r="AT14" s="21">
        <v>0</v>
      </c>
      <c r="AU14" s="21">
        <v>0</v>
      </c>
      <c r="AV14" s="181">
        <v>0</v>
      </c>
      <c r="AW14" s="21">
        <v>0</v>
      </c>
      <c r="AX14" s="21">
        <v>0</v>
      </c>
      <c r="AY14" s="21">
        <v>0</v>
      </c>
      <c r="AZ14" s="22">
        <v>0</v>
      </c>
      <c r="BA14" s="182">
        <v>0</v>
      </c>
      <c r="BB14" s="183">
        <v>0</v>
      </c>
      <c r="BC14" s="183">
        <v>0</v>
      </c>
      <c r="BD14" s="183">
        <v>0</v>
      </c>
      <c r="BE14" s="183">
        <v>0</v>
      </c>
      <c r="BF14" s="23">
        <v>0</v>
      </c>
      <c r="BH14" s="25">
        <f t="shared" si="0"/>
        <v>0</v>
      </c>
      <c r="BJ14" s="4" t="str">
        <v>ok</v>
      </c>
    </row>
    <row r="15" spans="1:62" ht="15" thickBot="1" x14ac:dyDescent="0.4">
      <c r="A15" t="s">
        <v>150</v>
      </c>
      <c r="B15" t="s">
        <v>90</v>
      </c>
      <c r="C15" s="4" t="s">
        <v>148</v>
      </c>
      <c r="D15" s="4" t="s">
        <v>151</v>
      </c>
      <c r="M15" s="4"/>
      <c r="N15"/>
      <c r="Q15" s="4"/>
      <c r="AC15" s="185">
        <v>0</v>
      </c>
      <c r="AD15" s="185">
        <v>0</v>
      </c>
      <c r="AE15" s="185">
        <v>0</v>
      </c>
      <c r="AF15" s="186">
        <v>0</v>
      </c>
      <c r="AG15" s="187">
        <v>0</v>
      </c>
      <c r="AH15" s="185">
        <v>0</v>
      </c>
      <c r="AI15" s="185">
        <v>0</v>
      </c>
      <c r="AJ15" s="186">
        <v>0</v>
      </c>
      <c r="AK15" s="187">
        <v>0</v>
      </c>
      <c r="AL15" s="185">
        <v>0</v>
      </c>
      <c r="AM15" s="185">
        <v>0</v>
      </c>
      <c r="AN15" s="186">
        <v>0</v>
      </c>
      <c r="AO15" s="187">
        <v>0</v>
      </c>
      <c r="AP15" s="185">
        <v>0</v>
      </c>
      <c r="AQ15" s="185">
        <v>0</v>
      </c>
      <c r="AR15" s="186">
        <v>0</v>
      </c>
      <c r="AS15" s="187">
        <v>0</v>
      </c>
      <c r="AT15" s="185">
        <v>0</v>
      </c>
      <c r="AU15" s="185">
        <v>0</v>
      </c>
      <c r="AV15" s="186">
        <v>0</v>
      </c>
      <c r="AW15" s="187">
        <v>0</v>
      </c>
      <c r="AX15" s="185">
        <v>0</v>
      </c>
      <c r="AY15" s="185">
        <v>0</v>
      </c>
      <c r="AZ15" s="188">
        <v>0</v>
      </c>
      <c r="BA15" s="189">
        <v>0</v>
      </c>
      <c r="BB15" s="190">
        <v>0</v>
      </c>
      <c r="BC15" s="190">
        <v>0</v>
      </c>
      <c r="BD15" s="190">
        <v>0</v>
      </c>
      <c r="BE15" s="190">
        <v>0</v>
      </c>
      <c r="BF15" s="191">
        <v>0</v>
      </c>
      <c r="BH15" s="25">
        <f t="shared" si="0"/>
        <v>0</v>
      </c>
      <c r="BJ15" s="4" t="str">
        <v>ok</v>
      </c>
    </row>
    <row r="16" spans="1:62" x14ac:dyDescent="0.35">
      <c r="A16" t="s">
        <v>139</v>
      </c>
      <c r="B16" t="s">
        <v>91</v>
      </c>
      <c r="C16" s="4" t="s">
        <v>140</v>
      </c>
      <c r="D16" s="4" t="s">
        <v>141</v>
      </c>
      <c r="M16" s="4"/>
      <c r="N16"/>
      <c r="Q16" s="4"/>
      <c r="AC16" s="21">
        <v>0</v>
      </c>
      <c r="AD16" s="21">
        <v>0</v>
      </c>
      <c r="AE16" s="21">
        <v>0</v>
      </c>
      <c r="AF16" s="181">
        <v>0</v>
      </c>
      <c r="AG16" s="21">
        <v>0</v>
      </c>
      <c r="AH16" s="21">
        <v>0</v>
      </c>
      <c r="AI16" s="21">
        <v>0</v>
      </c>
      <c r="AJ16" s="181">
        <v>0</v>
      </c>
      <c r="AK16" s="21">
        <v>0</v>
      </c>
      <c r="AL16" s="21">
        <v>0</v>
      </c>
      <c r="AM16" s="21">
        <v>0</v>
      </c>
      <c r="AN16" s="181">
        <v>0</v>
      </c>
      <c r="AO16" s="21">
        <v>0</v>
      </c>
      <c r="AP16" s="21">
        <v>0</v>
      </c>
      <c r="AQ16" s="21">
        <v>0</v>
      </c>
      <c r="AR16" s="181">
        <v>0</v>
      </c>
      <c r="AS16" s="21">
        <v>0</v>
      </c>
      <c r="AT16" s="21">
        <v>0</v>
      </c>
      <c r="AU16" s="21">
        <v>0</v>
      </c>
      <c r="AV16" s="181">
        <v>0</v>
      </c>
      <c r="AW16" s="21">
        <v>0</v>
      </c>
      <c r="AX16" s="21">
        <v>0</v>
      </c>
      <c r="AY16" s="21">
        <v>0</v>
      </c>
      <c r="AZ16" s="22">
        <v>0</v>
      </c>
      <c r="BA16" s="182">
        <v>0</v>
      </c>
      <c r="BB16" s="183">
        <v>0</v>
      </c>
      <c r="BC16" s="183">
        <v>0</v>
      </c>
      <c r="BD16" s="183">
        <v>0</v>
      </c>
      <c r="BE16" s="183">
        <v>0</v>
      </c>
      <c r="BF16" s="23">
        <v>0</v>
      </c>
      <c r="BH16" s="25">
        <f t="shared" si="0"/>
        <v>0</v>
      </c>
      <c r="BJ16" s="4" t="str">
        <v>ok</v>
      </c>
    </row>
    <row r="17" spans="1:62" x14ac:dyDescent="0.35">
      <c r="A17" t="s">
        <v>142</v>
      </c>
      <c r="B17" t="s">
        <v>91</v>
      </c>
      <c r="C17" s="4" t="s">
        <v>140</v>
      </c>
      <c r="D17" s="4" t="s">
        <v>143</v>
      </c>
      <c r="M17" s="4"/>
      <c r="N17"/>
      <c r="Q17" s="4"/>
      <c r="AC17" s="21">
        <v>0</v>
      </c>
      <c r="AD17" s="21">
        <v>0</v>
      </c>
      <c r="AE17" s="21">
        <v>0</v>
      </c>
      <c r="AF17" s="181">
        <v>0</v>
      </c>
      <c r="AG17" s="21">
        <v>0</v>
      </c>
      <c r="AH17" s="21">
        <v>0</v>
      </c>
      <c r="AI17" s="21">
        <v>0</v>
      </c>
      <c r="AJ17" s="181">
        <v>0</v>
      </c>
      <c r="AK17" s="21">
        <v>0</v>
      </c>
      <c r="AL17" s="21">
        <v>0</v>
      </c>
      <c r="AM17" s="21">
        <v>0</v>
      </c>
      <c r="AN17" s="181">
        <v>0</v>
      </c>
      <c r="AO17" s="21">
        <v>0</v>
      </c>
      <c r="AP17" s="21">
        <v>0</v>
      </c>
      <c r="AQ17" s="21">
        <v>0</v>
      </c>
      <c r="AR17" s="181">
        <v>0</v>
      </c>
      <c r="AS17" s="21">
        <v>0</v>
      </c>
      <c r="AT17" s="21">
        <v>0</v>
      </c>
      <c r="AU17" s="21">
        <v>0</v>
      </c>
      <c r="AV17" s="181">
        <v>0</v>
      </c>
      <c r="AW17" s="21">
        <v>0</v>
      </c>
      <c r="AX17" s="21">
        <v>0</v>
      </c>
      <c r="AY17" s="21">
        <v>0</v>
      </c>
      <c r="AZ17" s="22">
        <v>0</v>
      </c>
      <c r="BA17" s="182">
        <v>0</v>
      </c>
      <c r="BB17" s="183">
        <v>0</v>
      </c>
      <c r="BC17" s="183">
        <v>0</v>
      </c>
      <c r="BD17" s="183">
        <v>0</v>
      </c>
      <c r="BE17" s="183">
        <v>0</v>
      </c>
      <c r="BF17" s="23">
        <v>0</v>
      </c>
      <c r="BH17" s="25">
        <f t="shared" si="0"/>
        <v>0</v>
      </c>
      <c r="BJ17" s="4" t="str">
        <v>ok</v>
      </c>
    </row>
    <row r="18" spans="1:62" x14ac:dyDescent="0.35">
      <c r="A18" t="s">
        <v>147</v>
      </c>
      <c r="B18" t="s">
        <v>91</v>
      </c>
      <c r="C18" s="4" t="s">
        <v>148</v>
      </c>
      <c r="D18" s="4" t="s">
        <v>149</v>
      </c>
      <c r="M18" s="4"/>
      <c r="N18"/>
      <c r="Q18" s="4"/>
      <c r="AC18" s="21">
        <v>0</v>
      </c>
      <c r="AD18" s="21">
        <v>0</v>
      </c>
      <c r="AE18" s="21">
        <v>0</v>
      </c>
      <c r="AF18" s="181">
        <v>0</v>
      </c>
      <c r="AG18" s="21">
        <v>0</v>
      </c>
      <c r="AH18" s="21">
        <v>0</v>
      </c>
      <c r="AI18" s="21">
        <v>0</v>
      </c>
      <c r="AJ18" s="181">
        <v>0</v>
      </c>
      <c r="AK18" s="21">
        <v>0</v>
      </c>
      <c r="AL18" s="21">
        <v>0</v>
      </c>
      <c r="AM18" s="21">
        <v>0</v>
      </c>
      <c r="AN18" s="181">
        <v>0</v>
      </c>
      <c r="AO18" s="21">
        <v>0</v>
      </c>
      <c r="AP18" s="21">
        <v>0</v>
      </c>
      <c r="AQ18" s="21">
        <v>0</v>
      </c>
      <c r="AR18" s="181">
        <v>0</v>
      </c>
      <c r="AS18" s="21">
        <v>0</v>
      </c>
      <c r="AT18" s="21">
        <v>0</v>
      </c>
      <c r="AU18" s="21">
        <v>0</v>
      </c>
      <c r="AV18" s="181">
        <v>0</v>
      </c>
      <c r="AW18" s="21">
        <v>0</v>
      </c>
      <c r="AX18" s="21">
        <v>0</v>
      </c>
      <c r="AY18" s="21">
        <v>0</v>
      </c>
      <c r="AZ18" s="22">
        <v>0</v>
      </c>
      <c r="BA18" s="182">
        <v>0</v>
      </c>
      <c r="BB18" s="183">
        <v>0</v>
      </c>
      <c r="BC18" s="183">
        <v>0</v>
      </c>
      <c r="BD18" s="183">
        <v>0</v>
      </c>
      <c r="BE18" s="183">
        <v>0</v>
      </c>
      <c r="BF18" s="23">
        <v>0</v>
      </c>
      <c r="BH18" s="25">
        <f t="shared" si="0"/>
        <v>0</v>
      </c>
      <c r="BJ18" s="4" t="str">
        <v>ok</v>
      </c>
    </row>
    <row r="19" spans="1:62" ht="15" thickBot="1" x14ac:dyDescent="0.4">
      <c r="A19" t="s">
        <v>150</v>
      </c>
      <c r="B19" t="s">
        <v>91</v>
      </c>
      <c r="C19" s="4" t="s">
        <v>148</v>
      </c>
      <c r="D19" s="4" t="s">
        <v>151</v>
      </c>
      <c r="M19" s="4"/>
      <c r="N19"/>
      <c r="Q19" s="4"/>
      <c r="AC19" s="185">
        <v>0</v>
      </c>
      <c r="AD19" s="185">
        <v>0</v>
      </c>
      <c r="AE19" s="185">
        <v>0</v>
      </c>
      <c r="AF19" s="186">
        <v>0</v>
      </c>
      <c r="AG19" s="187">
        <v>0</v>
      </c>
      <c r="AH19" s="185">
        <v>0</v>
      </c>
      <c r="AI19" s="185">
        <v>0</v>
      </c>
      <c r="AJ19" s="186">
        <v>0</v>
      </c>
      <c r="AK19" s="187">
        <v>0</v>
      </c>
      <c r="AL19" s="185">
        <v>0</v>
      </c>
      <c r="AM19" s="185">
        <v>0</v>
      </c>
      <c r="AN19" s="186">
        <v>0</v>
      </c>
      <c r="AO19" s="187">
        <v>0</v>
      </c>
      <c r="AP19" s="185">
        <v>0</v>
      </c>
      <c r="AQ19" s="185">
        <v>0</v>
      </c>
      <c r="AR19" s="186">
        <v>0</v>
      </c>
      <c r="AS19" s="187">
        <v>0</v>
      </c>
      <c r="AT19" s="185">
        <v>0</v>
      </c>
      <c r="AU19" s="185">
        <v>0</v>
      </c>
      <c r="AV19" s="186">
        <v>0</v>
      </c>
      <c r="AW19" s="187">
        <v>0</v>
      </c>
      <c r="AX19" s="185">
        <v>0</v>
      </c>
      <c r="AY19" s="185">
        <v>0</v>
      </c>
      <c r="AZ19" s="188">
        <v>0</v>
      </c>
      <c r="BA19" s="189">
        <v>0</v>
      </c>
      <c r="BB19" s="190">
        <v>0</v>
      </c>
      <c r="BC19" s="190">
        <v>0</v>
      </c>
      <c r="BD19" s="190">
        <v>0</v>
      </c>
      <c r="BE19" s="190">
        <v>0</v>
      </c>
      <c r="BF19" s="191">
        <v>0</v>
      </c>
      <c r="BH19" s="25">
        <f t="shared" si="0"/>
        <v>0</v>
      </c>
      <c r="BJ19" s="4" t="str">
        <v>ok</v>
      </c>
    </row>
    <row r="20" spans="1:62" x14ac:dyDescent="0.35">
      <c r="A20" t="s">
        <v>139</v>
      </c>
      <c r="B20" t="s">
        <v>92</v>
      </c>
      <c r="C20" s="4" t="s">
        <v>140</v>
      </c>
      <c r="D20" s="4" t="s">
        <v>141</v>
      </c>
      <c r="M20" s="4"/>
      <c r="N20"/>
      <c r="Q20" s="4"/>
      <c r="AC20" s="21">
        <v>0</v>
      </c>
      <c r="AD20" s="21">
        <v>0</v>
      </c>
      <c r="AE20" s="21">
        <v>0</v>
      </c>
      <c r="AF20" s="181">
        <v>0</v>
      </c>
      <c r="AG20" s="21">
        <v>0</v>
      </c>
      <c r="AH20" s="21">
        <v>0</v>
      </c>
      <c r="AI20" s="21">
        <v>0</v>
      </c>
      <c r="AJ20" s="181">
        <v>0</v>
      </c>
      <c r="AK20" s="21">
        <v>0</v>
      </c>
      <c r="AL20" s="21">
        <v>0</v>
      </c>
      <c r="AM20" s="21">
        <v>0</v>
      </c>
      <c r="AN20" s="181">
        <v>0</v>
      </c>
      <c r="AO20" s="21">
        <v>0</v>
      </c>
      <c r="AP20" s="21">
        <v>0</v>
      </c>
      <c r="AQ20" s="21">
        <v>0</v>
      </c>
      <c r="AR20" s="181">
        <v>0</v>
      </c>
      <c r="AS20" s="21">
        <v>0</v>
      </c>
      <c r="AT20" s="21">
        <v>0</v>
      </c>
      <c r="AU20" s="21">
        <v>0</v>
      </c>
      <c r="AV20" s="181">
        <v>0</v>
      </c>
      <c r="AW20" s="21">
        <v>0</v>
      </c>
      <c r="AX20" s="21">
        <v>0</v>
      </c>
      <c r="AY20" s="21">
        <v>0</v>
      </c>
      <c r="AZ20" s="22">
        <v>0</v>
      </c>
      <c r="BA20" s="182">
        <v>0</v>
      </c>
      <c r="BB20" s="183">
        <v>0</v>
      </c>
      <c r="BC20" s="183">
        <v>0</v>
      </c>
      <c r="BD20" s="183">
        <v>0</v>
      </c>
      <c r="BE20" s="183">
        <v>0</v>
      </c>
      <c r="BF20" s="23">
        <v>0</v>
      </c>
      <c r="BH20" s="25">
        <f t="shared" si="0"/>
        <v>0</v>
      </c>
      <c r="BJ20" s="4" t="str">
        <v>ok</v>
      </c>
    </row>
    <row r="21" spans="1:62" x14ac:dyDescent="0.35">
      <c r="A21" t="s">
        <v>142</v>
      </c>
      <c r="B21" t="s">
        <v>92</v>
      </c>
      <c r="C21" s="4" t="s">
        <v>140</v>
      </c>
      <c r="D21" s="4" t="s">
        <v>143</v>
      </c>
      <c r="M21" s="4"/>
      <c r="N21"/>
      <c r="Q21" s="4"/>
      <c r="AC21" s="21">
        <v>0</v>
      </c>
      <c r="AD21" s="21">
        <v>0</v>
      </c>
      <c r="AE21" s="21">
        <v>0</v>
      </c>
      <c r="AF21" s="181">
        <v>0</v>
      </c>
      <c r="AG21" s="21">
        <v>0</v>
      </c>
      <c r="AH21" s="21">
        <v>0</v>
      </c>
      <c r="AI21" s="21">
        <v>0</v>
      </c>
      <c r="AJ21" s="181">
        <v>0</v>
      </c>
      <c r="AK21" s="21">
        <v>0</v>
      </c>
      <c r="AL21" s="21">
        <v>0</v>
      </c>
      <c r="AM21" s="21">
        <v>0</v>
      </c>
      <c r="AN21" s="181">
        <v>0</v>
      </c>
      <c r="AO21" s="21">
        <v>0</v>
      </c>
      <c r="AP21" s="21">
        <v>0</v>
      </c>
      <c r="AQ21" s="21">
        <v>0</v>
      </c>
      <c r="AR21" s="181">
        <v>0</v>
      </c>
      <c r="AS21" s="21">
        <v>0</v>
      </c>
      <c r="AT21" s="21">
        <v>0</v>
      </c>
      <c r="AU21" s="21">
        <v>0</v>
      </c>
      <c r="AV21" s="181">
        <v>0</v>
      </c>
      <c r="AW21" s="21">
        <v>0</v>
      </c>
      <c r="AX21" s="21">
        <v>0</v>
      </c>
      <c r="AY21" s="21">
        <v>0</v>
      </c>
      <c r="AZ21" s="22">
        <v>0</v>
      </c>
      <c r="BA21" s="182">
        <v>0</v>
      </c>
      <c r="BB21" s="183">
        <v>0</v>
      </c>
      <c r="BC21" s="183">
        <v>0</v>
      </c>
      <c r="BD21" s="183">
        <v>0</v>
      </c>
      <c r="BE21" s="183">
        <v>0</v>
      </c>
      <c r="BF21" s="23">
        <v>0</v>
      </c>
      <c r="BH21" s="25">
        <f t="shared" si="0"/>
        <v>0</v>
      </c>
      <c r="BJ21" s="4" t="str">
        <v>ok</v>
      </c>
    </row>
    <row r="22" spans="1:62" x14ac:dyDescent="0.35">
      <c r="A22" t="s">
        <v>147</v>
      </c>
      <c r="B22" t="s">
        <v>92</v>
      </c>
      <c r="C22" s="4" t="s">
        <v>148</v>
      </c>
      <c r="D22" s="4" t="s">
        <v>149</v>
      </c>
      <c r="M22" s="4"/>
      <c r="N22"/>
      <c r="Q22" s="4"/>
      <c r="AC22" s="21">
        <v>0</v>
      </c>
      <c r="AD22" s="21">
        <v>0</v>
      </c>
      <c r="AE22" s="21">
        <v>0</v>
      </c>
      <c r="AF22" s="181">
        <v>0</v>
      </c>
      <c r="AG22" s="21">
        <v>0</v>
      </c>
      <c r="AH22" s="21">
        <v>0</v>
      </c>
      <c r="AI22" s="21">
        <v>0</v>
      </c>
      <c r="AJ22" s="181">
        <v>0</v>
      </c>
      <c r="AK22" s="21">
        <v>0</v>
      </c>
      <c r="AL22" s="21">
        <v>0</v>
      </c>
      <c r="AM22" s="21">
        <v>0</v>
      </c>
      <c r="AN22" s="181">
        <v>0</v>
      </c>
      <c r="AO22" s="21">
        <v>0</v>
      </c>
      <c r="AP22" s="21">
        <v>0</v>
      </c>
      <c r="AQ22" s="21">
        <v>0</v>
      </c>
      <c r="AR22" s="181">
        <v>0</v>
      </c>
      <c r="AS22" s="21">
        <v>0</v>
      </c>
      <c r="AT22" s="21">
        <v>0</v>
      </c>
      <c r="AU22" s="21">
        <v>0</v>
      </c>
      <c r="AV22" s="181">
        <v>0</v>
      </c>
      <c r="AW22" s="21">
        <v>0</v>
      </c>
      <c r="AX22" s="21">
        <v>0</v>
      </c>
      <c r="AY22" s="21">
        <v>0</v>
      </c>
      <c r="AZ22" s="22">
        <v>0</v>
      </c>
      <c r="BA22" s="182">
        <v>0</v>
      </c>
      <c r="BB22" s="183">
        <v>0</v>
      </c>
      <c r="BC22" s="183">
        <v>0</v>
      </c>
      <c r="BD22" s="183">
        <v>0</v>
      </c>
      <c r="BE22" s="183">
        <v>0</v>
      </c>
      <c r="BF22" s="23">
        <v>0</v>
      </c>
      <c r="BH22" s="25">
        <f t="shared" si="0"/>
        <v>0</v>
      </c>
      <c r="BJ22" s="4" t="str">
        <v>ok</v>
      </c>
    </row>
    <row r="23" spans="1:62" ht="15" thickBot="1" x14ac:dyDescent="0.4">
      <c r="A23" t="s">
        <v>150</v>
      </c>
      <c r="B23" t="s">
        <v>92</v>
      </c>
      <c r="C23" s="4" t="s">
        <v>148</v>
      </c>
      <c r="D23" s="4" t="s">
        <v>151</v>
      </c>
      <c r="M23" s="4"/>
      <c r="N23"/>
      <c r="Q23" s="4"/>
      <c r="AC23" s="185">
        <v>0</v>
      </c>
      <c r="AD23" s="185">
        <v>0</v>
      </c>
      <c r="AE23" s="185">
        <v>0</v>
      </c>
      <c r="AF23" s="186">
        <v>0</v>
      </c>
      <c r="AG23" s="187">
        <v>0</v>
      </c>
      <c r="AH23" s="185">
        <v>0</v>
      </c>
      <c r="AI23" s="185">
        <v>0</v>
      </c>
      <c r="AJ23" s="186">
        <v>0</v>
      </c>
      <c r="AK23" s="187">
        <v>0</v>
      </c>
      <c r="AL23" s="185">
        <v>0</v>
      </c>
      <c r="AM23" s="185">
        <v>0</v>
      </c>
      <c r="AN23" s="186">
        <v>0</v>
      </c>
      <c r="AO23" s="187">
        <v>0</v>
      </c>
      <c r="AP23" s="185">
        <v>0</v>
      </c>
      <c r="AQ23" s="185">
        <v>0</v>
      </c>
      <c r="AR23" s="186">
        <v>0</v>
      </c>
      <c r="AS23" s="187">
        <v>0</v>
      </c>
      <c r="AT23" s="185">
        <v>0</v>
      </c>
      <c r="AU23" s="185">
        <v>0</v>
      </c>
      <c r="AV23" s="186">
        <v>0</v>
      </c>
      <c r="AW23" s="187">
        <v>0</v>
      </c>
      <c r="AX23" s="185">
        <v>0</v>
      </c>
      <c r="AY23" s="185">
        <v>0</v>
      </c>
      <c r="AZ23" s="188">
        <v>0</v>
      </c>
      <c r="BA23" s="189">
        <v>0</v>
      </c>
      <c r="BB23" s="190">
        <v>0</v>
      </c>
      <c r="BC23" s="190">
        <v>0</v>
      </c>
      <c r="BD23" s="190">
        <v>0</v>
      </c>
      <c r="BE23" s="190">
        <v>0</v>
      </c>
      <c r="BF23" s="191">
        <v>0</v>
      </c>
      <c r="BH23" s="25">
        <f t="shared" si="0"/>
        <v>0</v>
      </c>
      <c r="BJ23" s="4" t="str">
        <v>ok</v>
      </c>
    </row>
    <row r="24" spans="1:62" x14ac:dyDescent="0.35">
      <c r="A24" t="s">
        <v>139</v>
      </c>
      <c r="B24" t="s">
        <v>93</v>
      </c>
      <c r="C24" s="4" t="s">
        <v>140</v>
      </c>
      <c r="D24" s="4" t="s">
        <v>141</v>
      </c>
      <c r="E24" s="50"/>
      <c r="F24" s="50"/>
      <c r="G24" s="50"/>
      <c r="H24" s="50"/>
      <c r="I24" s="38"/>
      <c r="J24" s="38"/>
      <c r="K24" s="38"/>
      <c r="L24" s="38"/>
      <c r="M24" s="38"/>
      <c r="N24" s="38"/>
      <c r="O24" s="156"/>
      <c r="P24" s="192"/>
      <c r="Q24" s="38"/>
      <c r="V24" s="38"/>
      <c r="AC24" s="21">
        <v>0</v>
      </c>
      <c r="AD24" s="21">
        <v>0</v>
      </c>
      <c r="AE24" s="21">
        <v>0</v>
      </c>
      <c r="AF24" s="181">
        <v>0</v>
      </c>
      <c r="AG24" s="21">
        <v>0</v>
      </c>
      <c r="AH24" s="21">
        <v>0</v>
      </c>
      <c r="AI24" s="21">
        <v>0</v>
      </c>
      <c r="AJ24" s="181">
        <v>0</v>
      </c>
      <c r="AK24" s="21">
        <v>0</v>
      </c>
      <c r="AL24" s="21">
        <v>0</v>
      </c>
      <c r="AM24" s="21">
        <v>0</v>
      </c>
      <c r="AN24" s="181">
        <v>0</v>
      </c>
      <c r="AO24" s="21">
        <v>0</v>
      </c>
      <c r="AP24" s="21">
        <v>0</v>
      </c>
      <c r="AQ24" s="21">
        <v>0</v>
      </c>
      <c r="AR24" s="181">
        <v>0</v>
      </c>
      <c r="AS24" s="21">
        <v>0</v>
      </c>
      <c r="AT24" s="21">
        <v>0</v>
      </c>
      <c r="AU24" s="21">
        <v>0</v>
      </c>
      <c r="AV24" s="181">
        <v>0</v>
      </c>
      <c r="AW24" s="21">
        <v>0</v>
      </c>
      <c r="AX24" s="21">
        <v>0</v>
      </c>
      <c r="AY24" s="21">
        <v>0</v>
      </c>
      <c r="AZ24" s="22">
        <v>0</v>
      </c>
      <c r="BA24" s="182">
        <v>0</v>
      </c>
      <c r="BB24" s="183">
        <v>0</v>
      </c>
      <c r="BC24" s="183">
        <v>0</v>
      </c>
      <c r="BD24" s="183">
        <v>0</v>
      </c>
      <c r="BE24" s="183">
        <v>0</v>
      </c>
      <c r="BF24" s="23">
        <v>0</v>
      </c>
      <c r="BH24" s="25">
        <f t="shared" si="0"/>
        <v>0</v>
      </c>
      <c r="BJ24" s="4" t="str">
        <v>ok</v>
      </c>
    </row>
    <row r="25" spans="1:62" x14ac:dyDescent="0.35">
      <c r="A25" t="s">
        <v>142</v>
      </c>
      <c r="B25" t="s">
        <v>93</v>
      </c>
      <c r="C25" s="4" t="s">
        <v>140</v>
      </c>
      <c r="D25" s="4" t="s">
        <v>143</v>
      </c>
      <c r="E25" s="50"/>
      <c r="F25" s="50"/>
      <c r="G25" s="50"/>
      <c r="H25" s="50"/>
      <c r="I25" s="38"/>
      <c r="J25" s="38"/>
      <c r="K25" s="38"/>
      <c r="L25" s="38"/>
      <c r="M25" s="38"/>
      <c r="N25" s="38"/>
      <c r="O25" s="38"/>
      <c r="P25" s="38"/>
      <c r="Q25" s="38"/>
      <c r="V25" s="38"/>
      <c r="AC25" s="21">
        <v>0</v>
      </c>
      <c r="AD25" s="21">
        <v>0</v>
      </c>
      <c r="AE25" s="21">
        <v>0</v>
      </c>
      <c r="AF25" s="181">
        <v>0</v>
      </c>
      <c r="AG25" s="21">
        <v>0</v>
      </c>
      <c r="AH25" s="21">
        <v>0</v>
      </c>
      <c r="AI25" s="21">
        <v>0</v>
      </c>
      <c r="AJ25" s="181">
        <v>0</v>
      </c>
      <c r="AK25" s="21">
        <v>0</v>
      </c>
      <c r="AL25" s="21">
        <v>0</v>
      </c>
      <c r="AM25" s="21">
        <v>0</v>
      </c>
      <c r="AN25" s="181">
        <v>0</v>
      </c>
      <c r="AO25" s="21">
        <v>0</v>
      </c>
      <c r="AP25" s="21">
        <v>0</v>
      </c>
      <c r="AQ25" s="21">
        <v>0</v>
      </c>
      <c r="AR25" s="181">
        <v>0</v>
      </c>
      <c r="AS25" s="21">
        <v>0</v>
      </c>
      <c r="AT25" s="21">
        <v>0</v>
      </c>
      <c r="AU25" s="21">
        <v>0</v>
      </c>
      <c r="AV25" s="181">
        <v>0</v>
      </c>
      <c r="AW25" s="21">
        <v>0</v>
      </c>
      <c r="AX25" s="21">
        <v>0</v>
      </c>
      <c r="AY25" s="21">
        <v>0</v>
      </c>
      <c r="AZ25" s="22">
        <v>0</v>
      </c>
      <c r="BA25" s="182">
        <v>0</v>
      </c>
      <c r="BB25" s="183">
        <v>0</v>
      </c>
      <c r="BC25" s="183">
        <v>0</v>
      </c>
      <c r="BD25" s="183">
        <v>0</v>
      </c>
      <c r="BE25" s="183">
        <v>0</v>
      </c>
      <c r="BF25" s="23">
        <v>0</v>
      </c>
      <c r="BH25" s="25">
        <f t="shared" si="0"/>
        <v>0</v>
      </c>
      <c r="BJ25" s="4" t="str">
        <v>ok</v>
      </c>
    </row>
    <row r="26" spans="1:62" x14ac:dyDescent="0.35">
      <c r="A26" t="s">
        <v>147</v>
      </c>
      <c r="B26" t="s">
        <v>93</v>
      </c>
      <c r="C26" s="4" t="s">
        <v>148</v>
      </c>
      <c r="D26" s="4" t="s">
        <v>149</v>
      </c>
      <c r="E26" s="50"/>
      <c r="F26" s="50"/>
      <c r="G26" s="50"/>
      <c r="H26" s="50"/>
      <c r="I26" s="38"/>
      <c r="J26" s="38"/>
      <c r="K26" s="38"/>
      <c r="L26" s="38"/>
      <c r="M26" s="193"/>
      <c r="N26" s="38"/>
      <c r="O26" s="76"/>
      <c r="P26" s="38"/>
      <c r="Q26" s="38"/>
      <c r="V26" s="38"/>
      <c r="AC26" s="21">
        <v>0</v>
      </c>
      <c r="AD26" s="21">
        <v>0</v>
      </c>
      <c r="AE26" s="21">
        <v>0</v>
      </c>
      <c r="AF26" s="181">
        <v>0</v>
      </c>
      <c r="AG26" s="21">
        <v>0</v>
      </c>
      <c r="AH26" s="21">
        <v>0</v>
      </c>
      <c r="AI26" s="21">
        <v>0</v>
      </c>
      <c r="AJ26" s="181">
        <v>0</v>
      </c>
      <c r="AK26" s="21">
        <v>0</v>
      </c>
      <c r="AL26" s="21">
        <v>0</v>
      </c>
      <c r="AM26" s="21">
        <v>0</v>
      </c>
      <c r="AN26" s="181">
        <v>0</v>
      </c>
      <c r="AO26" s="21">
        <v>0</v>
      </c>
      <c r="AP26" s="21">
        <v>0</v>
      </c>
      <c r="AQ26" s="21">
        <v>0</v>
      </c>
      <c r="AR26" s="181">
        <v>0</v>
      </c>
      <c r="AS26" s="21">
        <v>0</v>
      </c>
      <c r="AT26" s="21">
        <v>0</v>
      </c>
      <c r="AU26" s="21">
        <v>0</v>
      </c>
      <c r="AV26" s="181">
        <v>0</v>
      </c>
      <c r="AW26" s="21">
        <v>0</v>
      </c>
      <c r="AX26" s="21">
        <v>0</v>
      </c>
      <c r="AY26" s="21">
        <v>0</v>
      </c>
      <c r="AZ26" s="22">
        <v>0</v>
      </c>
      <c r="BA26" s="182">
        <v>0</v>
      </c>
      <c r="BB26" s="183">
        <v>0</v>
      </c>
      <c r="BC26" s="183">
        <v>0</v>
      </c>
      <c r="BD26" s="183">
        <v>0</v>
      </c>
      <c r="BE26" s="183">
        <v>0</v>
      </c>
      <c r="BF26" s="23">
        <v>0</v>
      </c>
      <c r="BH26" s="25">
        <f t="shared" si="0"/>
        <v>0</v>
      </c>
      <c r="BJ26" s="4" t="str">
        <v>ok</v>
      </c>
    </row>
    <row r="27" spans="1:62" s="7" customFormat="1" ht="15" thickBot="1" x14ac:dyDescent="0.4">
      <c r="A27" s="7" t="s">
        <v>150</v>
      </c>
      <c r="B27" s="7" t="s">
        <v>93</v>
      </c>
      <c r="C27" s="6" t="s">
        <v>148</v>
      </c>
      <c r="D27" s="6" t="s">
        <v>151</v>
      </c>
      <c r="E27" s="60"/>
      <c r="F27" s="60"/>
      <c r="G27" s="60"/>
      <c r="H27" s="60"/>
      <c r="I27" s="194"/>
      <c r="J27" s="194"/>
      <c r="K27" s="194"/>
      <c r="L27" s="194"/>
      <c r="M27" s="194"/>
      <c r="N27" s="194"/>
      <c r="O27" s="194"/>
      <c r="P27" s="194"/>
      <c r="Q27" s="194"/>
      <c r="V27" s="194"/>
      <c r="AB27" s="28"/>
      <c r="AC27" s="29">
        <v>0</v>
      </c>
      <c r="AD27" s="29">
        <v>0</v>
      </c>
      <c r="AE27" s="29">
        <v>0</v>
      </c>
      <c r="AF27" s="195">
        <v>0</v>
      </c>
      <c r="AG27" s="29">
        <v>0</v>
      </c>
      <c r="AH27" s="29">
        <v>0</v>
      </c>
      <c r="AI27" s="29">
        <v>0</v>
      </c>
      <c r="AJ27" s="195">
        <v>0</v>
      </c>
      <c r="AK27" s="29">
        <v>0</v>
      </c>
      <c r="AL27" s="29">
        <v>0</v>
      </c>
      <c r="AM27" s="29">
        <v>0</v>
      </c>
      <c r="AN27" s="195">
        <v>0</v>
      </c>
      <c r="AO27" s="29">
        <v>0</v>
      </c>
      <c r="AP27" s="29">
        <v>0</v>
      </c>
      <c r="AQ27" s="29">
        <v>0</v>
      </c>
      <c r="AR27" s="195">
        <v>0</v>
      </c>
      <c r="AS27" s="29">
        <v>0</v>
      </c>
      <c r="AT27" s="29">
        <v>0</v>
      </c>
      <c r="AU27" s="29">
        <v>0</v>
      </c>
      <c r="AV27" s="195">
        <v>0</v>
      </c>
      <c r="AW27" s="29">
        <v>0</v>
      </c>
      <c r="AX27" s="29">
        <v>0</v>
      </c>
      <c r="AY27" s="29">
        <v>0</v>
      </c>
      <c r="AZ27" s="30">
        <v>0</v>
      </c>
      <c r="BA27" s="196">
        <v>0</v>
      </c>
      <c r="BB27" s="197">
        <v>0</v>
      </c>
      <c r="BC27" s="197">
        <v>0</v>
      </c>
      <c r="BD27" s="197">
        <v>0</v>
      </c>
      <c r="BE27" s="197">
        <v>0</v>
      </c>
      <c r="BF27" s="31">
        <v>0</v>
      </c>
      <c r="BH27" s="32">
        <f t="shared" si="0"/>
        <v>0</v>
      </c>
      <c r="BJ27" s="6" t="str">
        <v>ok</v>
      </c>
    </row>
    <row r="28" spans="1:62" x14ac:dyDescent="0.35">
      <c r="A28" t="s">
        <v>152</v>
      </c>
      <c r="B28" t="s">
        <v>73</v>
      </c>
      <c r="C28" s="4" t="s">
        <v>140</v>
      </c>
      <c r="D28" s="4" t="s">
        <v>153</v>
      </c>
      <c r="E28" s="198">
        <v>1</v>
      </c>
      <c r="F28" s="33">
        <v>0</v>
      </c>
      <c r="G28" s="33">
        <v>0</v>
      </c>
      <c r="H28" s="199">
        <v>0</v>
      </c>
      <c r="I28" s="33">
        <v>0</v>
      </c>
      <c r="J28" s="33">
        <v>0</v>
      </c>
      <c r="K28" s="33">
        <v>0</v>
      </c>
      <c r="L28" s="199">
        <v>0</v>
      </c>
      <c r="M28" s="33">
        <v>0</v>
      </c>
      <c r="N28" s="33">
        <v>0</v>
      </c>
      <c r="O28" s="33">
        <v>0</v>
      </c>
      <c r="P28" s="199">
        <v>0</v>
      </c>
      <c r="Q28" s="33">
        <v>0</v>
      </c>
      <c r="R28" s="33">
        <v>0</v>
      </c>
      <c r="S28" s="33">
        <v>0</v>
      </c>
      <c r="T28" s="199">
        <v>0</v>
      </c>
      <c r="U28" s="33">
        <v>0</v>
      </c>
      <c r="V28" s="33">
        <v>0</v>
      </c>
      <c r="W28" s="33">
        <v>0</v>
      </c>
      <c r="X28" s="199">
        <v>0</v>
      </c>
      <c r="Y28" s="33">
        <v>0</v>
      </c>
      <c r="Z28" s="33">
        <v>0</v>
      </c>
      <c r="AA28" s="33">
        <v>0</v>
      </c>
      <c r="AB28" s="34">
        <v>0</v>
      </c>
      <c r="BH28" s="24">
        <f>SUM(E28:AB28)</f>
        <v>1</v>
      </c>
    </row>
    <row r="29" spans="1:62" x14ac:dyDescent="0.35">
      <c r="A29" t="s">
        <v>154</v>
      </c>
      <c r="B29" t="s">
        <v>73</v>
      </c>
      <c r="C29" s="4" t="s">
        <v>140</v>
      </c>
      <c r="D29" s="4" t="s">
        <v>155</v>
      </c>
      <c r="E29" s="198">
        <v>0</v>
      </c>
      <c r="F29" s="33">
        <v>1</v>
      </c>
      <c r="G29" s="33">
        <v>0</v>
      </c>
      <c r="H29" s="199">
        <v>0</v>
      </c>
      <c r="I29" s="33">
        <v>0</v>
      </c>
      <c r="J29" s="33">
        <v>0</v>
      </c>
      <c r="K29" s="33">
        <v>0</v>
      </c>
      <c r="L29" s="199">
        <v>0</v>
      </c>
      <c r="M29" s="33">
        <v>0</v>
      </c>
      <c r="N29" s="33">
        <v>0</v>
      </c>
      <c r="O29" s="33">
        <v>0</v>
      </c>
      <c r="P29" s="199">
        <v>0</v>
      </c>
      <c r="Q29" s="33">
        <v>0</v>
      </c>
      <c r="R29" s="33">
        <v>0</v>
      </c>
      <c r="S29" s="33">
        <v>0</v>
      </c>
      <c r="T29" s="199">
        <v>0</v>
      </c>
      <c r="U29" s="33">
        <v>0</v>
      </c>
      <c r="V29" s="33">
        <v>0</v>
      </c>
      <c r="W29" s="33">
        <v>0</v>
      </c>
      <c r="X29" s="199">
        <v>0</v>
      </c>
      <c r="Y29" s="33">
        <v>0</v>
      </c>
      <c r="Z29" s="33">
        <v>0</v>
      </c>
      <c r="AA29" s="33">
        <v>0</v>
      </c>
      <c r="AB29" s="34">
        <v>0</v>
      </c>
      <c r="BH29" s="25">
        <f t="shared" ref="BH29:BH51" si="1">SUM(E29:AB29)</f>
        <v>1</v>
      </c>
    </row>
    <row r="30" spans="1:62" x14ac:dyDescent="0.35">
      <c r="A30" t="s">
        <v>168</v>
      </c>
      <c r="B30" t="s">
        <v>73</v>
      </c>
      <c r="C30" s="4" t="s">
        <v>148</v>
      </c>
      <c r="D30" s="4" t="s">
        <v>169</v>
      </c>
      <c r="E30" s="198">
        <v>0</v>
      </c>
      <c r="F30" s="33">
        <v>0</v>
      </c>
      <c r="G30" s="35">
        <f>[2]H2_NGSR!$H$50</f>
        <v>44288370</v>
      </c>
      <c r="H30" s="199">
        <v>0</v>
      </c>
      <c r="I30" s="33">
        <v>0</v>
      </c>
      <c r="J30" s="33">
        <v>0</v>
      </c>
      <c r="K30" s="33">
        <v>0</v>
      </c>
      <c r="L30" s="199">
        <v>0</v>
      </c>
      <c r="M30" s="33">
        <v>0</v>
      </c>
      <c r="N30" s="33">
        <v>0</v>
      </c>
      <c r="O30" s="33">
        <v>0</v>
      </c>
      <c r="P30" s="199">
        <v>0</v>
      </c>
      <c r="Q30" s="33">
        <v>0</v>
      </c>
      <c r="R30" s="33">
        <v>0</v>
      </c>
      <c r="S30" s="33">
        <v>0</v>
      </c>
      <c r="T30" s="199">
        <v>0</v>
      </c>
      <c r="U30" s="33">
        <v>0</v>
      </c>
      <c r="V30" s="33">
        <v>0</v>
      </c>
      <c r="W30" s="33">
        <v>0</v>
      </c>
      <c r="X30" s="199">
        <v>0</v>
      </c>
      <c r="Y30" s="33">
        <v>0</v>
      </c>
      <c r="Z30" s="33">
        <v>0</v>
      </c>
      <c r="AA30" s="33">
        <v>0</v>
      </c>
      <c r="AB30" s="34">
        <v>0</v>
      </c>
      <c r="BH30" s="26">
        <f t="shared" si="1"/>
        <v>44288370</v>
      </c>
    </row>
    <row r="31" spans="1:62" ht="15" thickBot="1" x14ac:dyDescent="0.4">
      <c r="A31" t="s">
        <v>170</v>
      </c>
      <c r="B31" t="s">
        <v>73</v>
      </c>
      <c r="C31" s="4" t="s">
        <v>148</v>
      </c>
      <c r="D31" s="4" t="s">
        <v>171</v>
      </c>
      <c r="E31" s="200">
        <v>0</v>
      </c>
      <c r="F31" s="201">
        <v>0</v>
      </c>
      <c r="G31" s="201">
        <v>0</v>
      </c>
      <c r="H31" s="202">
        <f>[2]H2_ELE!H52</f>
        <v>5200</v>
      </c>
      <c r="I31" s="203">
        <v>0</v>
      </c>
      <c r="J31" s="201">
        <v>0</v>
      </c>
      <c r="K31" s="201">
        <v>0</v>
      </c>
      <c r="L31" s="202">
        <v>0</v>
      </c>
      <c r="M31" s="203">
        <v>0</v>
      </c>
      <c r="N31" s="201">
        <v>0</v>
      </c>
      <c r="O31" s="201">
        <v>0</v>
      </c>
      <c r="P31" s="202">
        <v>0</v>
      </c>
      <c r="Q31" s="203">
        <v>0</v>
      </c>
      <c r="R31" s="201">
        <v>0</v>
      </c>
      <c r="S31" s="201">
        <v>0</v>
      </c>
      <c r="T31" s="202">
        <v>0</v>
      </c>
      <c r="U31" s="203">
        <v>0</v>
      </c>
      <c r="V31" s="201">
        <v>0</v>
      </c>
      <c r="W31" s="201">
        <v>0</v>
      </c>
      <c r="X31" s="202">
        <v>0</v>
      </c>
      <c r="Y31" s="203">
        <v>0</v>
      </c>
      <c r="Z31" s="201">
        <v>0</v>
      </c>
      <c r="AA31" s="201">
        <v>0</v>
      </c>
      <c r="AB31" s="204">
        <v>0</v>
      </c>
      <c r="BH31" s="25">
        <f t="shared" si="1"/>
        <v>5200</v>
      </c>
    </row>
    <row r="32" spans="1:62" x14ac:dyDescent="0.35">
      <c r="A32" t="s">
        <v>152</v>
      </c>
      <c r="B32" t="s">
        <v>88</v>
      </c>
      <c r="C32" s="4" t="s">
        <v>140</v>
      </c>
      <c r="D32" s="4" t="s">
        <v>153</v>
      </c>
      <c r="E32" s="33">
        <v>0</v>
      </c>
      <c r="F32" s="33">
        <v>0</v>
      </c>
      <c r="G32" s="33">
        <v>0</v>
      </c>
      <c r="H32" s="199">
        <v>0</v>
      </c>
      <c r="I32" s="33">
        <v>0</v>
      </c>
      <c r="J32" s="33">
        <v>0</v>
      </c>
      <c r="K32" s="33">
        <v>0</v>
      </c>
      <c r="L32" s="199">
        <v>0</v>
      </c>
      <c r="M32" s="33">
        <v>0</v>
      </c>
      <c r="N32" s="33">
        <v>0</v>
      </c>
      <c r="O32" s="33">
        <v>0</v>
      </c>
      <c r="P32" s="199">
        <v>0</v>
      </c>
      <c r="Q32" s="33">
        <v>0</v>
      </c>
      <c r="R32" s="33">
        <v>0</v>
      </c>
      <c r="S32" s="33">
        <v>0</v>
      </c>
      <c r="T32" s="199">
        <v>0</v>
      </c>
      <c r="U32" s="33">
        <v>0</v>
      </c>
      <c r="V32" s="33">
        <v>0</v>
      </c>
      <c r="W32" s="33">
        <v>0</v>
      </c>
      <c r="X32" s="199">
        <v>0</v>
      </c>
      <c r="Y32" s="33">
        <v>0</v>
      </c>
      <c r="Z32" s="33">
        <v>0</v>
      </c>
      <c r="AA32" s="33">
        <v>0</v>
      </c>
      <c r="AB32" s="34">
        <v>0</v>
      </c>
      <c r="BH32" s="25">
        <f t="shared" si="1"/>
        <v>0</v>
      </c>
    </row>
    <row r="33" spans="1:62" x14ac:dyDescent="0.35">
      <c r="A33" t="s">
        <v>154</v>
      </c>
      <c r="B33" t="s">
        <v>88</v>
      </c>
      <c r="C33" s="4" t="s">
        <v>140</v>
      </c>
      <c r="D33" s="4" t="s">
        <v>155</v>
      </c>
      <c r="E33" s="33">
        <v>0</v>
      </c>
      <c r="F33" s="33">
        <v>0</v>
      </c>
      <c r="G33" s="33">
        <v>0</v>
      </c>
      <c r="H33" s="199">
        <v>0</v>
      </c>
      <c r="I33" s="33">
        <v>0</v>
      </c>
      <c r="J33" s="33">
        <v>0</v>
      </c>
      <c r="K33" s="33">
        <v>0</v>
      </c>
      <c r="L33" s="199">
        <v>0</v>
      </c>
      <c r="M33" s="33">
        <v>0</v>
      </c>
      <c r="N33" s="33">
        <v>0</v>
      </c>
      <c r="O33" s="33">
        <v>0</v>
      </c>
      <c r="P33" s="199">
        <v>0</v>
      </c>
      <c r="Q33" s="33">
        <v>0</v>
      </c>
      <c r="R33" s="33">
        <v>0</v>
      </c>
      <c r="S33" s="33">
        <v>0</v>
      </c>
      <c r="T33" s="199">
        <v>0</v>
      </c>
      <c r="U33" s="33">
        <v>0</v>
      </c>
      <c r="V33" s="33">
        <v>0</v>
      </c>
      <c r="W33" s="33">
        <v>0</v>
      </c>
      <c r="X33" s="199">
        <v>0</v>
      </c>
      <c r="Y33" s="33">
        <v>0</v>
      </c>
      <c r="Z33" s="33">
        <v>0</v>
      </c>
      <c r="AA33" s="33">
        <v>0</v>
      </c>
      <c r="AB33" s="34">
        <v>0</v>
      </c>
      <c r="BH33" s="25">
        <f t="shared" si="1"/>
        <v>0</v>
      </c>
    </row>
    <row r="34" spans="1:62" x14ac:dyDescent="0.35">
      <c r="A34" t="s">
        <v>168</v>
      </c>
      <c r="B34" t="s">
        <v>88</v>
      </c>
      <c r="C34" s="4" t="s">
        <v>148</v>
      </c>
      <c r="D34" s="4" t="s">
        <v>169</v>
      </c>
      <c r="E34" s="33">
        <v>0</v>
      </c>
      <c r="F34" s="33">
        <v>0</v>
      </c>
      <c r="G34" s="33">
        <v>0</v>
      </c>
      <c r="H34" s="199">
        <v>0</v>
      </c>
      <c r="I34" s="33">
        <v>0</v>
      </c>
      <c r="J34" s="33">
        <v>0</v>
      </c>
      <c r="K34" s="33">
        <v>0</v>
      </c>
      <c r="L34" s="199">
        <v>0</v>
      </c>
      <c r="M34" s="33">
        <v>0</v>
      </c>
      <c r="N34" s="33">
        <v>0</v>
      </c>
      <c r="O34" s="33">
        <v>0</v>
      </c>
      <c r="P34" s="199">
        <v>0</v>
      </c>
      <c r="Q34" s="33">
        <v>0</v>
      </c>
      <c r="R34" s="33">
        <v>0</v>
      </c>
      <c r="S34" s="33">
        <v>0</v>
      </c>
      <c r="T34" s="199">
        <v>0</v>
      </c>
      <c r="U34" s="33">
        <v>0</v>
      </c>
      <c r="V34" s="33">
        <v>0</v>
      </c>
      <c r="W34" s="33">
        <v>0</v>
      </c>
      <c r="X34" s="199">
        <v>0</v>
      </c>
      <c r="Y34" s="33">
        <v>0</v>
      </c>
      <c r="Z34" s="33">
        <v>0</v>
      </c>
      <c r="AA34" s="33">
        <v>0</v>
      </c>
      <c r="AB34" s="34">
        <v>0</v>
      </c>
      <c r="BH34" s="25">
        <f t="shared" si="1"/>
        <v>0</v>
      </c>
    </row>
    <row r="35" spans="1:62" ht="15" thickBot="1" x14ac:dyDescent="0.4">
      <c r="A35" t="s">
        <v>170</v>
      </c>
      <c r="B35" t="s">
        <v>88</v>
      </c>
      <c r="C35" s="4" t="s">
        <v>148</v>
      </c>
      <c r="D35" s="4" t="s">
        <v>171</v>
      </c>
      <c r="E35" s="200">
        <v>0</v>
      </c>
      <c r="F35" s="201">
        <v>0</v>
      </c>
      <c r="G35" s="201">
        <v>0</v>
      </c>
      <c r="H35" s="202">
        <v>0</v>
      </c>
      <c r="I35" s="200">
        <v>0</v>
      </c>
      <c r="J35" s="201">
        <v>0</v>
      </c>
      <c r="K35" s="201">
        <v>0</v>
      </c>
      <c r="L35" s="202">
        <v>0</v>
      </c>
      <c r="M35" s="200">
        <v>0</v>
      </c>
      <c r="N35" s="201">
        <v>0</v>
      </c>
      <c r="O35" s="201">
        <v>0</v>
      </c>
      <c r="P35" s="202">
        <v>0</v>
      </c>
      <c r="Q35" s="200">
        <v>0</v>
      </c>
      <c r="R35" s="201">
        <v>0</v>
      </c>
      <c r="S35" s="201">
        <v>0</v>
      </c>
      <c r="T35" s="202">
        <v>0</v>
      </c>
      <c r="U35" s="200">
        <v>0</v>
      </c>
      <c r="V35" s="201">
        <v>0</v>
      </c>
      <c r="W35" s="201">
        <v>0</v>
      </c>
      <c r="X35" s="202">
        <v>0</v>
      </c>
      <c r="Y35" s="203">
        <v>0</v>
      </c>
      <c r="Z35" s="201">
        <v>0</v>
      </c>
      <c r="AA35" s="201">
        <v>0</v>
      </c>
      <c r="AB35" s="204">
        <v>0</v>
      </c>
      <c r="BH35" s="25">
        <f t="shared" si="1"/>
        <v>0</v>
      </c>
    </row>
    <row r="36" spans="1:62" x14ac:dyDescent="0.35">
      <c r="A36" t="s">
        <v>152</v>
      </c>
      <c r="B36" t="s">
        <v>90</v>
      </c>
      <c r="C36" s="4" t="s">
        <v>140</v>
      </c>
      <c r="D36" s="4" t="s">
        <v>153</v>
      </c>
      <c r="E36" s="33">
        <v>0</v>
      </c>
      <c r="F36" s="33">
        <v>0</v>
      </c>
      <c r="G36" s="33">
        <v>0</v>
      </c>
      <c r="H36" s="199">
        <v>0</v>
      </c>
      <c r="I36" s="33">
        <v>0</v>
      </c>
      <c r="J36" s="33">
        <v>0</v>
      </c>
      <c r="K36" s="33">
        <v>0</v>
      </c>
      <c r="L36" s="199">
        <v>0</v>
      </c>
      <c r="M36" s="33">
        <v>0</v>
      </c>
      <c r="N36" s="33">
        <v>0</v>
      </c>
      <c r="O36" s="33">
        <v>0</v>
      </c>
      <c r="P36" s="199">
        <v>0</v>
      </c>
      <c r="Q36" s="33">
        <v>0</v>
      </c>
      <c r="R36" s="33">
        <v>0</v>
      </c>
      <c r="S36" s="33">
        <v>0</v>
      </c>
      <c r="T36" s="199">
        <v>0</v>
      </c>
      <c r="U36" s="33">
        <v>0</v>
      </c>
      <c r="V36" s="33">
        <v>0</v>
      </c>
      <c r="W36" s="33">
        <v>0</v>
      </c>
      <c r="X36" s="199">
        <v>0</v>
      </c>
      <c r="Y36" s="33">
        <v>0</v>
      </c>
      <c r="Z36" s="33">
        <v>0</v>
      </c>
      <c r="AA36" s="33">
        <v>0</v>
      </c>
      <c r="AB36" s="34">
        <v>0</v>
      </c>
      <c r="BH36" s="25">
        <f t="shared" si="1"/>
        <v>0</v>
      </c>
    </row>
    <row r="37" spans="1:62" x14ac:dyDescent="0.35">
      <c r="A37" t="s">
        <v>154</v>
      </c>
      <c r="B37" t="s">
        <v>90</v>
      </c>
      <c r="C37" s="4" t="s">
        <v>140</v>
      </c>
      <c r="D37" s="4" t="s">
        <v>155</v>
      </c>
      <c r="E37" s="33">
        <v>0</v>
      </c>
      <c r="F37" s="33">
        <v>0</v>
      </c>
      <c r="G37" s="33">
        <v>0</v>
      </c>
      <c r="H37" s="199">
        <v>0</v>
      </c>
      <c r="I37" s="33">
        <v>0</v>
      </c>
      <c r="J37" s="33">
        <v>0</v>
      </c>
      <c r="K37" s="33">
        <v>0</v>
      </c>
      <c r="L37" s="199">
        <v>0</v>
      </c>
      <c r="M37" s="33">
        <v>0</v>
      </c>
      <c r="N37" s="33">
        <v>0</v>
      </c>
      <c r="O37" s="33">
        <v>0</v>
      </c>
      <c r="P37" s="199">
        <v>0</v>
      </c>
      <c r="Q37" s="33">
        <v>0</v>
      </c>
      <c r="R37" s="33">
        <v>0</v>
      </c>
      <c r="S37" s="33">
        <v>0</v>
      </c>
      <c r="T37" s="199">
        <v>0</v>
      </c>
      <c r="U37" s="33">
        <v>0</v>
      </c>
      <c r="V37" s="33">
        <v>0</v>
      </c>
      <c r="W37" s="33">
        <v>0</v>
      </c>
      <c r="X37" s="199">
        <v>0</v>
      </c>
      <c r="Y37" s="33">
        <v>0</v>
      </c>
      <c r="Z37" s="33">
        <v>0</v>
      </c>
      <c r="AA37" s="33">
        <v>0</v>
      </c>
      <c r="AB37" s="34">
        <v>0</v>
      </c>
      <c r="BH37" s="25">
        <f t="shared" si="1"/>
        <v>0</v>
      </c>
    </row>
    <row r="38" spans="1:62" x14ac:dyDescent="0.35">
      <c r="A38" t="s">
        <v>168</v>
      </c>
      <c r="B38" t="s">
        <v>90</v>
      </c>
      <c r="C38" s="4" t="s">
        <v>148</v>
      </c>
      <c r="D38" s="4" t="s">
        <v>169</v>
      </c>
      <c r="E38" s="33">
        <v>0</v>
      </c>
      <c r="F38" s="33">
        <v>0</v>
      </c>
      <c r="G38" s="33">
        <v>0</v>
      </c>
      <c r="H38" s="199">
        <v>0</v>
      </c>
      <c r="I38" s="33">
        <v>0</v>
      </c>
      <c r="J38" s="33">
        <v>0</v>
      </c>
      <c r="K38" s="33">
        <v>0</v>
      </c>
      <c r="L38" s="199">
        <v>0</v>
      </c>
      <c r="M38" s="33">
        <v>0</v>
      </c>
      <c r="N38" s="33">
        <v>0</v>
      </c>
      <c r="O38" s="33">
        <v>0</v>
      </c>
      <c r="P38" s="199">
        <v>0</v>
      </c>
      <c r="Q38" s="33">
        <v>0</v>
      </c>
      <c r="R38" s="33">
        <v>0</v>
      </c>
      <c r="S38" s="33">
        <v>0</v>
      </c>
      <c r="T38" s="199">
        <v>0</v>
      </c>
      <c r="U38" s="33">
        <v>0</v>
      </c>
      <c r="V38" s="33">
        <v>0</v>
      </c>
      <c r="W38" s="33">
        <v>0</v>
      </c>
      <c r="X38" s="199">
        <v>0</v>
      </c>
      <c r="Y38" s="33">
        <v>0</v>
      </c>
      <c r="Z38" s="33">
        <v>0</v>
      </c>
      <c r="AA38" s="33">
        <v>0</v>
      </c>
      <c r="AB38" s="34">
        <v>0</v>
      </c>
      <c r="BH38" s="25">
        <f t="shared" si="1"/>
        <v>0</v>
      </c>
    </row>
    <row r="39" spans="1:62" ht="15" thickBot="1" x14ac:dyDescent="0.4">
      <c r="A39" t="s">
        <v>170</v>
      </c>
      <c r="B39" t="s">
        <v>90</v>
      </c>
      <c r="C39" s="4" t="s">
        <v>148</v>
      </c>
      <c r="D39" s="4" t="s">
        <v>171</v>
      </c>
      <c r="E39" s="200">
        <v>0</v>
      </c>
      <c r="F39" s="201">
        <v>0</v>
      </c>
      <c r="G39" s="201">
        <v>0</v>
      </c>
      <c r="H39" s="202">
        <v>0</v>
      </c>
      <c r="I39" s="200">
        <v>0</v>
      </c>
      <c r="J39" s="201">
        <v>0</v>
      </c>
      <c r="K39" s="201">
        <v>0</v>
      </c>
      <c r="L39" s="202">
        <v>0</v>
      </c>
      <c r="M39" s="200">
        <v>0</v>
      </c>
      <c r="N39" s="201">
        <v>0</v>
      </c>
      <c r="O39" s="201">
        <v>0</v>
      </c>
      <c r="P39" s="202">
        <v>0</v>
      </c>
      <c r="Q39" s="200">
        <v>0</v>
      </c>
      <c r="R39" s="201">
        <v>0</v>
      </c>
      <c r="S39" s="201">
        <v>0</v>
      </c>
      <c r="T39" s="202">
        <v>0</v>
      </c>
      <c r="U39" s="200">
        <v>0</v>
      </c>
      <c r="V39" s="201">
        <v>0</v>
      </c>
      <c r="W39" s="201">
        <v>0</v>
      </c>
      <c r="X39" s="202">
        <v>0</v>
      </c>
      <c r="Y39" s="203">
        <v>0</v>
      </c>
      <c r="Z39" s="201">
        <v>0</v>
      </c>
      <c r="AA39" s="201">
        <v>0</v>
      </c>
      <c r="AB39" s="204">
        <v>0</v>
      </c>
      <c r="BH39" s="25">
        <f t="shared" si="1"/>
        <v>0</v>
      </c>
      <c r="BJ39" s="50"/>
    </row>
    <row r="40" spans="1:62" x14ac:dyDescent="0.35">
      <c r="A40" t="s">
        <v>152</v>
      </c>
      <c r="B40" t="s">
        <v>91</v>
      </c>
      <c r="C40" s="4" t="s">
        <v>140</v>
      </c>
      <c r="D40" s="4" t="s">
        <v>153</v>
      </c>
      <c r="E40" s="33">
        <v>0</v>
      </c>
      <c r="F40" s="33">
        <v>0</v>
      </c>
      <c r="G40" s="33">
        <v>0</v>
      </c>
      <c r="H40" s="199">
        <v>0</v>
      </c>
      <c r="I40" s="33">
        <v>0</v>
      </c>
      <c r="J40" s="33">
        <v>0</v>
      </c>
      <c r="K40" s="33">
        <v>0</v>
      </c>
      <c r="L40" s="199">
        <v>0</v>
      </c>
      <c r="M40" s="33">
        <v>0</v>
      </c>
      <c r="N40" s="33">
        <v>0</v>
      </c>
      <c r="O40" s="33">
        <v>0</v>
      </c>
      <c r="P40" s="199">
        <v>0</v>
      </c>
      <c r="Q40" s="33">
        <v>0</v>
      </c>
      <c r="R40" s="33">
        <v>0</v>
      </c>
      <c r="S40" s="33">
        <v>0</v>
      </c>
      <c r="T40" s="199">
        <v>0</v>
      </c>
      <c r="U40" s="33">
        <v>0</v>
      </c>
      <c r="V40" s="33">
        <v>0</v>
      </c>
      <c r="W40" s="33">
        <v>0</v>
      </c>
      <c r="X40" s="199">
        <v>0</v>
      </c>
      <c r="Y40" s="33">
        <v>0</v>
      </c>
      <c r="Z40" s="33">
        <v>0</v>
      </c>
      <c r="AA40" s="33">
        <v>0</v>
      </c>
      <c r="AB40" s="34">
        <v>0</v>
      </c>
      <c r="BH40" s="25">
        <f t="shared" si="1"/>
        <v>0</v>
      </c>
    </row>
    <row r="41" spans="1:62" x14ac:dyDescent="0.35">
      <c r="A41" t="s">
        <v>154</v>
      </c>
      <c r="B41" t="s">
        <v>91</v>
      </c>
      <c r="C41" s="4" t="s">
        <v>140</v>
      </c>
      <c r="D41" s="4" t="s">
        <v>155</v>
      </c>
      <c r="E41" s="33">
        <v>0</v>
      </c>
      <c r="F41" s="33">
        <v>0</v>
      </c>
      <c r="G41" s="33">
        <v>0</v>
      </c>
      <c r="H41" s="199">
        <v>0</v>
      </c>
      <c r="I41" s="33">
        <v>0</v>
      </c>
      <c r="J41" s="33">
        <v>0</v>
      </c>
      <c r="K41" s="33">
        <v>0</v>
      </c>
      <c r="L41" s="199">
        <v>0</v>
      </c>
      <c r="M41" s="33">
        <v>0</v>
      </c>
      <c r="N41" s="33">
        <v>0</v>
      </c>
      <c r="O41" s="33">
        <v>0</v>
      </c>
      <c r="P41" s="199">
        <v>0</v>
      </c>
      <c r="Q41" s="33">
        <v>0</v>
      </c>
      <c r="R41" s="33">
        <v>0</v>
      </c>
      <c r="S41" s="33">
        <v>0</v>
      </c>
      <c r="T41" s="199">
        <v>0</v>
      </c>
      <c r="U41" s="33">
        <v>0</v>
      </c>
      <c r="V41" s="33">
        <v>0</v>
      </c>
      <c r="W41" s="33">
        <v>0</v>
      </c>
      <c r="X41" s="199">
        <v>0</v>
      </c>
      <c r="Y41" s="33">
        <v>0</v>
      </c>
      <c r="Z41" s="33">
        <v>0</v>
      </c>
      <c r="AA41" s="33">
        <v>0</v>
      </c>
      <c r="AB41" s="34">
        <v>0</v>
      </c>
      <c r="BH41" s="25">
        <f t="shared" si="1"/>
        <v>0</v>
      </c>
    </row>
    <row r="42" spans="1:62" x14ac:dyDescent="0.35">
      <c r="A42" t="s">
        <v>168</v>
      </c>
      <c r="B42" t="s">
        <v>91</v>
      </c>
      <c r="C42" s="4" t="s">
        <v>148</v>
      </c>
      <c r="D42" s="4" t="s">
        <v>169</v>
      </c>
      <c r="E42" s="33">
        <v>0</v>
      </c>
      <c r="F42" s="33">
        <v>0</v>
      </c>
      <c r="G42" s="33">
        <v>0</v>
      </c>
      <c r="H42" s="199">
        <v>0</v>
      </c>
      <c r="I42" s="33">
        <v>0</v>
      </c>
      <c r="J42" s="33">
        <v>0</v>
      </c>
      <c r="K42" s="33">
        <v>0</v>
      </c>
      <c r="L42" s="199">
        <v>0</v>
      </c>
      <c r="M42" s="33">
        <v>0</v>
      </c>
      <c r="N42" s="33">
        <v>0</v>
      </c>
      <c r="O42" s="33">
        <v>0</v>
      </c>
      <c r="P42" s="199">
        <v>0</v>
      </c>
      <c r="Q42" s="33">
        <v>0</v>
      </c>
      <c r="R42" s="33">
        <v>0</v>
      </c>
      <c r="S42" s="33">
        <v>0</v>
      </c>
      <c r="T42" s="199">
        <v>0</v>
      </c>
      <c r="U42" s="33">
        <v>0</v>
      </c>
      <c r="V42" s="33">
        <v>0</v>
      </c>
      <c r="W42" s="33">
        <v>0</v>
      </c>
      <c r="X42" s="199">
        <v>0</v>
      </c>
      <c r="Y42" s="33">
        <v>0</v>
      </c>
      <c r="Z42" s="33">
        <v>0</v>
      </c>
      <c r="AA42" s="33">
        <v>0</v>
      </c>
      <c r="AB42" s="34">
        <v>0</v>
      </c>
      <c r="BH42" s="25">
        <f t="shared" si="1"/>
        <v>0</v>
      </c>
    </row>
    <row r="43" spans="1:62" ht="15" thickBot="1" x14ac:dyDescent="0.4">
      <c r="A43" t="s">
        <v>170</v>
      </c>
      <c r="B43" t="s">
        <v>91</v>
      </c>
      <c r="C43" s="4" t="s">
        <v>148</v>
      </c>
      <c r="D43" s="4" t="s">
        <v>171</v>
      </c>
      <c r="E43" s="200">
        <v>0</v>
      </c>
      <c r="F43" s="201">
        <v>0</v>
      </c>
      <c r="G43" s="201">
        <v>0</v>
      </c>
      <c r="H43" s="202">
        <v>0</v>
      </c>
      <c r="I43" s="200">
        <v>0</v>
      </c>
      <c r="J43" s="201">
        <v>0</v>
      </c>
      <c r="K43" s="201">
        <v>0</v>
      </c>
      <c r="L43" s="202">
        <v>0</v>
      </c>
      <c r="M43" s="200">
        <v>0</v>
      </c>
      <c r="N43" s="201">
        <v>0</v>
      </c>
      <c r="O43" s="201">
        <v>0</v>
      </c>
      <c r="P43" s="202">
        <v>0</v>
      </c>
      <c r="Q43" s="200">
        <v>0</v>
      </c>
      <c r="R43" s="201">
        <v>0</v>
      </c>
      <c r="S43" s="201">
        <v>0</v>
      </c>
      <c r="T43" s="202">
        <v>0</v>
      </c>
      <c r="U43" s="200">
        <v>0</v>
      </c>
      <c r="V43" s="201">
        <v>0</v>
      </c>
      <c r="W43" s="201">
        <v>0</v>
      </c>
      <c r="X43" s="202">
        <v>0</v>
      </c>
      <c r="Y43" s="203">
        <v>0</v>
      </c>
      <c r="Z43" s="201">
        <v>0</v>
      </c>
      <c r="AA43" s="201">
        <v>0</v>
      </c>
      <c r="AB43" s="204">
        <v>0</v>
      </c>
      <c r="BH43" s="25">
        <f t="shared" si="1"/>
        <v>0</v>
      </c>
    </row>
    <row r="44" spans="1:62" x14ac:dyDescent="0.35">
      <c r="A44" t="s">
        <v>152</v>
      </c>
      <c r="B44" t="s">
        <v>92</v>
      </c>
      <c r="C44" s="4" t="s">
        <v>140</v>
      </c>
      <c r="D44" s="4" t="s">
        <v>153</v>
      </c>
      <c r="E44" s="33">
        <v>0</v>
      </c>
      <c r="F44" s="33">
        <v>0</v>
      </c>
      <c r="G44" s="33">
        <v>0</v>
      </c>
      <c r="H44" s="199">
        <v>0</v>
      </c>
      <c r="I44" s="33">
        <v>0</v>
      </c>
      <c r="J44" s="33">
        <v>0</v>
      </c>
      <c r="K44" s="33">
        <v>0</v>
      </c>
      <c r="L44" s="199">
        <v>0</v>
      </c>
      <c r="M44" s="33">
        <v>0</v>
      </c>
      <c r="N44" s="33">
        <v>0</v>
      </c>
      <c r="O44" s="33">
        <v>0</v>
      </c>
      <c r="P44" s="199">
        <v>0</v>
      </c>
      <c r="Q44" s="33">
        <v>0</v>
      </c>
      <c r="R44" s="33">
        <v>0</v>
      </c>
      <c r="S44" s="33">
        <v>0</v>
      </c>
      <c r="T44" s="199">
        <v>0</v>
      </c>
      <c r="U44" s="33">
        <v>0</v>
      </c>
      <c r="V44" s="33">
        <v>0</v>
      </c>
      <c r="W44" s="33">
        <v>0</v>
      </c>
      <c r="X44" s="199">
        <v>0</v>
      </c>
      <c r="Y44" s="33">
        <v>0</v>
      </c>
      <c r="Z44" s="33">
        <v>0</v>
      </c>
      <c r="AA44" s="33">
        <v>0</v>
      </c>
      <c r="AB44" s="34">
        <v>0</v>
      </c>
      <c r="BH44" s="25">
        <f t="shared" si="1"/>
        <v>0</v>
      </c>
    </row>
    <row r="45" spans="1:62" x14ac:dyDescent="0.35">
      <c r="A45" t="s">
        <v>154</v>
      </c>
      <c r="B45" t="s">
        <v>92</v>
      </c>
      <c r="C45" s="4" t="s">
        <v>140</v>
      </c>
      <c r="D45" s="4" t="s">
        <v>155</v>
      </c>
      <c r="E45" s="33">
        <v>0</v>
      </c>
      <c r="F45" s="33">
        <v>0</v>
      </c>
      <c r="G45" s="33">
        <v>0</v>
      </c>
      <c r="H45" s="199">
        <v>0</v>
      </c>
      <c r="I45" s="33">
        <v>0</v>
      </c>
      <c r="J45" s="33">
        <v>0</v>
      </c>
      <c r="K45" s="33">
        <v>0</v>
      </c>
      <c r="L45" s="199">
        <v>0</v>
      </c>
      <c r="M45" s="33">
        <v>0</v>
      </c>
      <c r="N45" s="33">
        <v>0</v>
      </c>
      <c r="O45" s="33">
        <v>0</v>
      </c>
      <c r="P45" s="199">
        <v>0</v>
      </c>
      <c r="Q45" s="33">
        <v>0</v>
      </c>
      <c r="R45" s="33">
        <v>0</v>
      </c>
      <c r="S45" s="33">
        <v>0</v>
      </c>
      <c r="T45" s="199">
        <v>0</v>
      </c>
      <c r="U45" s="33">
        <v>0</v>
      </c>
      <c r="V45" s="33">
        <v>0</v>
      </c>
      <c r="W45" s="33">
        <v>0</v>
      </c>
      <c r="X45" s="199">
        <v>0</v>
      </c>
      <c r="Y45" s="33">
        <v>0</v>
      </c>
      <c r="Z45" s="33">
        <v>0</v>
      </c>
      <c r="AA45" s="33">
        <v>0</v>
      </c>
      <c r="AB45" s="34">
        <v>0</v>
      </c>
      <c r="BH45" s="25">
        <f t="shared" si="1"/>
        <v>0</v>
      </c>
    </row>
    <row r="46" spans="1:62" x14ac:dyDescent="0.35">
      <c r="A46" t="s">
        <v>168</v>
      </c>
      <c r="B46" t="s">
        <v>92</v>
      </c>
      <c r="C46" s="4" t="s">
        <v>148</v>
      </c>
      <c r="D46" s="4" t="s">
        <v>169</v>
      </c>
      <c r="E46" s="33">
        <v>0</v>
      </c>
      <c r="F46" s="33">
        <v>0</v>
      </c>
      <c r="G46" s="33">
        <v>0</v>
      </c>
      <c r="H46" s="199">
        <v>0</v>
      </c>
      <c r="I46" s="33">
        <v>0</v>
      </c>
      <c r="J46" s="33">
        <v>0</v>
      </c>
      <c r="K46" s="33">
        <v>0</v>
      </c>
      <c r="L46" s="199">
        <v>0</v>
      </c>
      <c r="M46" s="33">
        <v>0</v>
      </c>
      <c r="N46" s="33">
        <v>0</v>
      </c>
      <c r="O46" s="33">
        <v>0</v>
      </c>
      <c r="P46" s="199">
        <v>0</v>
      </c>
      <c r="Q46" s="33">
        <v>0</v>
      </c>
      <c r="R46" s="33">
        <v>0</v>
      </c>
      <c r="S46" s="33">
        <v>0</v>
      </c>
      <c r="T46" s="199">
        <v>0</v>
      </c>
      <c r="U46" s="33">
        <v>0</v>
      </c>
      <c r="V46" s="33">
        <v>0</v>
      </c>
      <c r="W46" s="33">
        <v>0</v>
      </c>
      <c r="X46" s="199">
        <v>0</v>
      </c>
      <c r="Y46" s="33">
        <v>0</v>
      </c>
      <c r="Z46" s="33">
        <v>0</v>
      </c>
      <c r="AA46" s="33">
        <v>0</v>
      </c>
      <c r="AB46" s="34">
        <v>0</v>
      </c>
      <c r="AG46" s="72"/>
      <c r="AH46" s="72"/>
      <c r="AI46" s="72"/>
      <c r="AJ46" s="72"/>
      <c r="AK46" s="72"/>
      <c r="BH46" s="25">
        <f t="shared" si="1"/>
        <v>0</v>
      </c>
    </row>
    <row r="47" spans="1:62" ht="15" thickBot="1" x14ac:dyDescent="0.4">
      <c r="A47" t="s">
        <v>170</v>
      </c>
      <c r="B47" t="s">
        <v>92</v>
      </c>
      <c r="C47" s="4" t="s">
        <v>148</v>
      </c>
      <c r="D47" s="4" t="s">
        <v>171</v>
      </c>
      <c r="E47" s="200">
        <v>0</v>
      </c>
      <c r="F47" s="201">
        <v>0</v>
      </c>
      <c r="G47" s="201">
        <v>0</v>
      </c>
      <c r="H47" s="202">
        <v>0</v>
      </c>
      <c r="I47" s="200">
        <v>0</v>
      </c>
      <c r="J47" s="201">
        <v>0</v>
      </c>
      <c r="K47" s="201">
        <v>0</v>
      </c>
      <c r="L47" s="202">
        <v>0</v>
      </c>
      <c r="M47" s="200">
        <v>0</v>
      </c>
      <c r="N47" s="201">
        <v>0</v>
      </c>
      <c r="O47" s="201">
        <v>0</v>
      </c>
      <c r="P47" s="202">
        <v>0</v>
      </c>
      <c r="Q47" s="200">
        <v>0</v>
      </c>
      <c r="R47" s="201">
        <v>0</v>
      </c>
      <c r="S47" s="201">
        <v>0</v>
      </c>
      <c r="T47" s="202">
        <v>0</v>
      </c>
      <c r="U47" s="200">
        <v>0</v>
      </c>
      <c r="V47" s="201">
        <v>0</v>
      </c>
      <c r="W47" s="201">
        <v>0</v>
      </c>
      <c r="X47" s="202">
        <v>0</v>
      </c>
      <c r="Y47" s="203">
        <v>0</v>
      </c>
      <c r="Z47" s="201">
        <v>0</v>
      </c>
      <c r="AA47" s="201">
        <v>0</v>
      </c>
      <c r="AB47" s="204">
        <v>0</v>
      </c>
      <c r="AG47" s="72"/>
      <c r="AH47" s="72"/>
      <c r="AI47" s="72"/>
      <c r="AJ47" s="72"/>
      <c r="AK47" s="72"/>
      <c r="BH47" s="25">
        <f t="shared" si="1"/>
        <v>0</v>
      </c>
    </row>
    <row r="48" spans="1:62" x14ac:dyDescent="0.35">
      <c r="A48" t="s">
        <v>152</v>
      </c>
      <c r="B48" t="s">
        <v>93</v>
      </c>
      <c r="C48" s="4" t="s">
        <v>140</v>
      </c>
      <c r="D48" s="4" t="s">
        <v>153</v>
      </c>
      <c r="E48" s="33">
        <v>0</v>
      </c>
      <c r="F48" s="33">
        <v>0</v>
      </c>
      <c r="G48" s="33">
        <v>0</v>
      </c>
      <c r="H48" s="199">
        <v>0</v>
      </c>
      <c r="I48" s="33">
        <v>0</v>
      </c>
      <c r="J48" s="33">
        <v>0</v>
      </c>
      <c r="K48" s="33">
        <v>0</v>
      </c>
      <c r="L48" s="199">
        <v>0</v>
      </c>
      <c r="M48" s="33">
        <v>0</v>
      </c>
      <c r="N48" s="33">
        <v>0</v>
      </c>
      <c r="O48" s="33">
        <v>0</v>
      </c>
      <c r="P48" s="199">
        <v>0</v>
      </c>
      <c r="Q48" s="33">
        <v>0</v>
      </c>
      <c r="R48" s="33">
        <v>0</v>
      </c>
      <c r="S48" s="33">
        <v>0</v>
      </c>
      <c r="T48" s="199">
        <v>0</v>
      </c>
      <c r="U48" s="33">
        <v>0</v>
      </c>
      <c r="V48" s="33">
        <v>0</v>
      </c>
      <c r="W48" s="33">
        <v>0</v>
      </c>
      <c r="X48" s="199">
        <v>0</v>
      </c>
      <c r="Y48" s="33">
        <v>0</v>
      </c>
      <c r="Z48" s="33">
        <v>0</v>
      </c>
      <c r="AA48" s="33">
        <v>0</v>
      </c>
      <c r="AB48" s="34">
        <v>0</v>
      </c>
      <c r="AG48" s="72"/>
      <c r="AH48" s="72"/>
      <c r="AI48" s="72"/>
      <c r="AJ48" s="72"/>
      <c r="AK48" s="72"/>
      <c r="BH48" s="25">
        <f t="shared" si="1"/>
        <v>0</v>
      </c>
    </row>
    <row r="49" spans="1:60" x14ac:dyDescent="0.35">
      <c r="A49" t="s">
        <v>154</v>
      </c>
      <c r="B49" t="s">
        <v>93</v>
      </c>
      <c r="C49" s="4" t="s">
        <v>140</v>
      </c>
      <c r="D49" s="4" t="s">
        <v>155</v>
      </c>
      <c r="E49" s="33">
        <v>0</v>
      </c>
      <c r="F49" s="33">
        <v>0</v>
      </c>
      <c r="G49" s="33">
        <v>0</v>
      </c>
      <c r="H49" s="199">
        <v>0</v>
      </c>
      <c r="I49" s="33">
        <v>0</v>
      </c>
      <c r="J49" s="33">
        <v>0</v>
      </c>
      <c r="K49" s="33">
        <v>0</v>
      </c>
      <c r="L49" s="199">
        <v>0</v>
      </c>
      <c r="M49" s="33">
        <v>0</v>
      </c>
      <c r="N49" s="33">
        <v>0</v>
      </c>
      <c r="O49" s="33">
        <v>0</v>
      </c>
      <c r="P49" s="199">
        <v>0</v>
      </c>
      <c r="Q49" s="33">
        <v>0</v>
      </c>
      <c r="R49" s="33">
        <v>0</v>
      </c>
      <c r="S49" s="33">
        <v>0</v>
      </c>
      <c r="T49" s="199">
        <v>0</v>
      </c>
      <c r="U49" s="33">
        <v>0</v>
      </c>
      <c r="V49" s="33">
        <v>0</v>
      </c>
      <c r="W49" s="33">
        <v>0</v>
      </c>
      <c r="X49" s="199">
        <v>0</v>
      </c>
      <c r="Y49" s="33">
        <v>0</v>
      </c>
      <c r="Z49" s="33">
        <v>0</v>
      </c>
      <c r="AA49" s="33">
        <v>0</v>
      </c>
      <c r="AB49" s="34">
        <v>0</v>
      </c>
      <c r="AE49" s="38"/>
      <c r="AF49" s="38"/>
      <c r="BH49" s="25">
        <f t="shared" si="1"/>
        <v>0</v>
      </c>
    </row>
    <row r="50" spans="1:60" x14ac:dyDescent="0.35">
      <c r="A50" t="s">
        <v>168</v>
      </c>
      <c r="B50" t="s">
        <v>93</v>
      </c>
      <c r="C50" s="4" t="s">
        <v>148</v>
      </c>
      <c r="D50" s="4" t="s">
        <v>169</v>
      </c>
      <c r="E50" s="33">
        <v>0</v>
      </c>
      <c r="F50" s="33">
        <v>0</v>
      </c>
      <c r="G50" s="33">
        <v>0</v>
      </c>
      <c r="H50" s="199">
        <v>0</v>
      </c>
      <c r="I50" s="33">
        <v>0</v>
      </c>
      <c r="J50" s="33">
        <v>0</v>
      </c>
      <c r="K50" s="33">
        <v>0</v>
      </c>
      <c r="L50" s="199">
        <v>0</v>
      </c>
      <c r="M50" s="33">
        <v>0</v>
      </c>
      <c r="N50" s="33">
        <v>0</v>
      </c>
      <c r="O50" s="33">
        <v>0</v>
      </c>
      <c r="P50" s="199">
        <v>0</v>
      </c>
      <c r="Q50" s="33">
        <v>0</v>
      </c>
      <c r="R50" s="33">
        <v>0</v>
      </c>
      <c r="S50" s="33">
        <v>0</v>
      </c>
      <c r="T50" s="199">
        <v>0</v>
      </c>
      <c r="U50" s="33">
        <v>0</v>
      </c>
      <c r="V50" s="33">
        <v>0</v>
      </c>
      <c r="W50" s="33">
        <v>0</v>
      </c>
      <c r="X50" s="199">
        <v>0</v>
      </c>
      <c r="Y50" s="33">
        <v>0</v>
      </c>
      <c r="Z50" s="33">
        <v>0</v>
      </c>
      <c r="AA50" s="33">
        <v>0</v>
      </c>
      <c r="AB50" s="34">
        <v>0</v>
      </c>
      <c r="BH50" s="25">
        <f t="shared" si="1"/>
        <v>0</v>
      </c>
    </row>
    <row r="51" spans="1:60" s="7" customFormat="1" ht="15" thickBot="1" x14ac:dyDescent="0.4">
      <c r="A51" s="7" t="s">
        <v>170</v>
      </c>
      <c r="B51" s="7" t="s">
        <v>93</v>
      </c>
      <c r="C51" s="6" t="s">
        <v>148</v>
      </c>
      <c r="D51" s="6" t="s">
        <v>171</v>
      </c>
      <c r="E51" s="36">
        <v>0</v>
      </c>
      <c r="F51" s="36">
        <v>0</v>
      </c>
      <c r="G51" s="36">
        <v>0</v>
      </c>
      <c r="H51" s="205">
        <v>0</v>
      </c>
      <c r="I51" s="36">
        <v>0</v>
      </c>
      <c r="J51" s="36">
        <v>0</v>
      </c>
      <c r="K51" s="36">
        <v>0</v>
      </c>
      <c r="L51" s="205">
        <v>0</v>
      </c>
      <c r="M51" s="36">
        <v>0</v>
      </c>
      <c r="N51" s="36">
        <v>0</v>
      </c>
      <c r="O51" s="36">
        <v>0</v>
      </c>
      <c r="P51" s="205">
        <v>0</v>
      </c>
      <c r="Q51" s="36">
        <v>0</v>
      </c>
      <c r="R51" s="36">
        <v>0</v>
      </c>
      <c r="S51" s="36">
        <v>0</v>
      </c>
      <c r="T51" s="205">
        <v>0</v>
      </c>
      <c r="U51" s="36">
        <v>0</v>
      </c>
      <c r="V51" s="36">
        <v>0</v>
      </c>
      <c r="W51" s="36">
        <v>0</v>
      </c>
      <c r="X51" s="205">
        <v>0</v>
      </c>
      <c r="Y51" s="36">
        <v>0</v>
      </c>
      <c r="Z51" s="36">
        <v>0</v>
      </c>
      <c r="AA51" s="36">
        <v>0</v>
      </c>
      <c r="AB51" s="37">
        <v>0</v>
      </c>
      <c r="AE51" s="6"/>
      <c r="AZ51" s="28"/>
      <c r="BH51" s="32">
        <f t="shared" si="1"/>
        <v>0</v>
      </c>
    </row>
    <row r="52" spans="1:60" x14ac:dyDescent="0.35">
      <c r="A52" t="s">
        <v>187</v>
      </c>
      <c r="B52" t="s">
        <v>73</v>
      </c>
      <c r="C52" s="4" t="s">
        <v>145</v>
      </c>
      <c r="D52" s="4" t="s">
        <v>188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9"/>
      <c r="AC52" s="40">
        <f>[2]H2_NGSR!$H$36*'Inputs by region H2'!G$5</f>
        <v>20.996100000000002</v>
      </c>
      <c r="AD52" s="40">
        <f>[2]H2_ELE!$H$40*'Inputs by region H2'!G$12</f>
        <v>1.1932942595726979E-3</v>
      </c>
      <c r="AE52" s="41">
        <v>0</v>
      </c>
      <c r="AF52" s="42">
        <v>0</v>
      </c>
      <c r="AG52" s="41">
        <v>0</v>
      </c>
      <c r="AH52" s="41">
        <v>0</v>
      </c>
      <c r="AI52" s="41">
        <v>0</v>
      </c>
      <c r="AJ52" s="42">
        <v>0</v>
      </c>
      <c r="AK52" s="41">
        <v>0</v>
      </c>
      <c r="AL52" s="41">
        <v>0</v>
      </c>
      <c r="AM52" s="41">
        <v>0</v>
      </c>
      <c r="AN52" s="42">
        <v>0</v>
      </c>
      <c r="AO52" s="41">
        <v>0</v>
      </c>
      <c r="AP52" s="41">
        <v>0</v>
      </c>
      <c r="AQ52" s="41">
        <v>0</v>
      </c>
      <c r="AR52" s="42">
        <v>0</v>
      </c>
      <c r="AS52" s="41">
        <v>0</v>
      </c>
      <c r="AT52" s="41">
        <v>0</v>
      </c>
      <c r="AU52" s="41">
        <v>0</v>
      </c>
      <c r="AV52" s="42">
        <v>0</v>
      </c>
      <c r="AW52" s="41">
        <v>0</v>
      </c>
      <c r="AX52" s="41">
        <v>0</v>
      </c>
      <c r="AY52" s="41">
        <v>0</v>
      </c>
      <c r="AZ52" s="206">
        <v>0</v>
      </c>
    </row>
    <row r="53" spans="1:60" x14ac:dyDescent="0.35">
      <c r="A53" t="s">
        <v>144</v>
      </c>
      <c r="B53" t="s">
        <v>73</v>
      </c>
      <c r="C53" s="4" t="s">
        <v>145</v>
      </c>
      <c r="D53" s="4" t="s">
        <v>361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9"/>
      <c r="AC53" s="40">
        <f>[2]H2_NGSR!$H$39*'Inputs by region H2'!G$6+[2]H2_NGSR!$H$37*'Inputs by region H2'!G$8</f>
        <v>11.828571428571427</v>
      </c>
      <c r="AD53" s="41">
        <v>0</v>
      </c>
      <c r="AE53" s="41">
        <v>0</v>
      </c>
      <c r="AF53" s="43">
        <v>0</v>
      </c>
      <c r="AG53" s="41">
        <v>0</v>
      </c>
      <c r="AH53" s="41">
        <v>0</v>
      </c>
      <c r="AI53" s="41">
        <v>0</v>
      </c>
      <c r="AJ53" s="43">
        <v>0</v>
      </c>
      <c r="AK53" s="41">
        <v>0</v>
      </c>
      <c r="AL53" s="41">
        <v>0</v>
      </c>
      <c r="AM53" s="41">
        <v>0</v>
      </c>
      <c r="AN53" s="43">
        <v>0</v>
      </c>
      <c r="AO53" s="41">
        <v>0</v>
      </c>
      <c r="AP53" s="41">
        <v>0</v>
      </c>
      <c r="AQ53" s="41">
        <v>0</v>
      </c>
      <c r="AR53" s="43">
        <v>0</v>
      </c>
      <c r="AS53" s="41">
        <v>0</v>
      </c>
      <c r="AT53" s="41">
        <v>0</v>
      </c>
      <c r="AU53" s="41">
        <v>0</v>
      </c>
      <c r="AV53" s="43">
        <v>0</v>
      </c>
      <c r="AW53" s="41">
        <v>0</v>
      </c>
      <c r="AX53" s="41">
        <v>0</v>
      </c>
      <c r="AY53" s="41">
        <v>0</v>
      </c>
      <c r="AZ53" s="207">
        <v>0</v>
      </c>
    </row>
    <row r="54" spans="1:60" x14ac:dyDescent="0.35">
      <c r="A54" t="s">
        <v>183</v>
      </c>
      <c r="B54" t="s">
        <v>73</v>
      </c>
      <c r="C54" s="4" t="s">
        <v>145</v>
      </c>
      <c r="D54" s="4" t="s">
        <v>362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9"/>
      <c r="AC54" s="41">
        <v>0</v>
      </c>
      <c r="AD54" s="40">
        <f>[2]H2_ELE!$H$39*'Inputs by region H2'!G$11</f>
        <v>6.9749679999999994E-2</v>
      </c>
      <c r="AE54" s="41">
        <v>0</v>
      </c>
      <c r="AF54" s="43">
        <v>0</v>
      </c>
      <c r="AG54" s="41">
        <v>0</v>
      </c>
      <c r="AH54" s="41">
        <v>0</v>
      </c>
      <c r="AI54" s="41">
        <v>0</v>
      </c>
      <c r="AJ54" s="43">
        <v>0</v>
      </c>
      <c r="AK54" s="41">
        <v>0</v>
      </c>
      <c r="AL54" s="41">
        <v>0</v>
      </c>
      <c r="AM54" s="41">
        <v>0</v>
      </c>
      <c r="AN54" s="43">
        <v>0</v>
      </c>
      <c r="AO54" s="41">
        <v>0</v>
      </c>
      <c r="AP54" s="41">
        <v>0</v>
      </c>
      <c r="AQ54" s="41">
        <v>0</v>
      </c>
      <c r="AR54" s="43">
        <v>0</v>
      </c>
      <c r="AS54" s="41">
        <v>0</v>
      </c>
      <c r="AT54" s="41">
        <v>0</v>
      </c>
      <c r="AU54" s="41">
        <v>0</v>
      </c>
      <c r="AV54" s="43">
        <v>0</v>
      </c>
      <c r="AW54" s="41">
        <v>0</v>
      </c>
      <c r="AX54" s="41">
        <v>0</v>
      </c>
      <c r="AY54" s="41">
        <v>0</v>
      </c>
      <c r="AZ54" s="207">
        <v>0</v>
      </c>
    </row>
    <row r="55" spans="1:60" x14ac:dyDescent="0.35">
      <c r="A55" t="s">
        <v>172</v>
      </c>
      <c r="B55" t="s">
        <v>73</v>
      </c>
      <c r="C55" s="4" t="s">
        <v>145</v>
      </c>
      <c r="D55" s="4" t="s">
        <v>363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9"/>
      <c r="AC55" s="40">
        <f>[2]H2_NGSR!$H$38*'Inputs by region H2'!G$7</f>
        <v>3.3421988920214002E-2</v>
      </c>
      <c r="AD55" s="41">
        <v>0</v>
      </c>
      <c r="AE55" s="41">
        <v>0</v>
      </c>
      <c r="AF55" s="43">
        <v>0</v>
      </c>
      <c r="AG55" s="41">
        <v>0</v>
      </c>
      <c r="AH55" s="41">
        <v>0</v>
      </c>
      <c r="AI55" s="41">
        <v>0</v>
      </c>
      <c r="AJ55" s="43">
        <v>0</v>
      </c>
      <c r="AK55" s="41">
        <v>0</v>
      </c>
      <c r="AL55" s="41">
        <v>0</v>
      </c>
      <c r="AM55" s="41">
        <v>0</v>
      </c>
      <c r="AN55" s="43">
        <v>0</v>
      </c>
      <c r="AO55" s="41">
        <v>0</v>
      </c>
      <c r="AP55" s="41">
        <v>0</v>
      </c>
      <c r="AQ55" s="41">
        <v>0</v>
      </c>
      <c r="AR55" s="43">
        <v>0</v>
      </c>
      <c r="AS55" s="41">
        <v>0</v>
      </c>
      <c r="AT55" s="41">
        <v>0</v>
      </c>
      <c r="AU55" s="41">
        <v>0</v>
      </c>
      <c r="AV55" s="43">
        <v>0</v>
      </c>
      <c r="AW55" s="41">
        <v>0</v>
      </c>
      <c r="AX55" s="41">
        <v>0</v>
      </c>
      <c r="AY55" s="41">
        <v>0</v>
      </c>
      <c r="AZ55" s="207">
        <v>0</v>
      </c>
    </row>
    <row r="56" spans="1:60" x14ac:dyDescent="0.35">
      <c r="A56" t="s">
        <v>174</v>
      </c>
      <c r="B56" t="s">
        <v>73</v>
      </c>
      <c r="C56" s="4" t="s">
        <v>145</v>
      </c>
      <c r="D56" s="4" t="s">
        <v>175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9"/>
      <c r="AC56" s="41">
        <v>0</v>
      </c>
      <c r="AD56" s="208">
        <f>[2]H2_ELE!$H$37*'Inputs by region H2'!G$9</f>
        <v>1.4582562144772118E-3</v>
      </c>
      <c r="AE56" s="41">
        <v>0</v>
      </c>
      <c r="AF56" s="43">
        <v>0</v>
      </c>
      <c r="AG56" s="41">
        <v>0</v>
      </c>
      <c r="AH56" s="41">
        <v>0</v>
      </c>
      <c r="AI56" s="41">
        <v>0</v>
      </c>
      <c r="AJ56" s="43">
        <v>0</v>
      </c>
      <c r="AK56" s="41">
        <v>0</v>
      </c>
      <c r="AL56" s="41">
        <v>0</v>
      </c>
      <c r="AM56" s="41">
        <v>0</v>
      </c>
      <c r="AN56" s="43">
        <v>0</v>
      </c>
      <c r="AO56" s="41">
        <v>0</v>
      </c>
      <c r="AP56" s="41">
        <v>0</v>
      </c>
      <c r="AQ56" s="41">
        <v>0</v>
      </c>
      <c r="AR56" s="43">
        <v>0</v>
      </c>
      <c r="AS56" s="41">
        <v>0</v>
      </c>
      <c r="AT56" s="41">
        <v>0</v>
      </c>
      <c r="AU56" s="41">
        <v>0</v>
      </c>
      <c r="AV56" s="43">
        <v>0</v>
      </c>
      <c r="AW56" s="41">
        <v>0</v>
      </c>
      <c r="AX56" s="41">
        <v>0</v>
      </c>
      <c r="AY56" s="41">
        <v>0</v>
      </c>
      <c r="AZ56" s="207">
        <v>0</v>
      </c>
    </row>
    <row r="57" spans="1:60" x14ac:dyDescent="0.35">
      <c r="A57" t="s">
        <v>176</v>
      </c>
      <c r="B57" t="s">
        <v>73</v>
      </c>
      <c r="C57" s="4" t="s">
        <v>145</v>
      </c>
      <c r="D57" s="4" t="s">
        <v>177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9"/>
      <c r="AC57" s="41">
        <v>0</v>
      </c>
      <c r="AD57" s="208">
        <f>[2]H2_ELE!$H$38*'Inputs by region H2'!G$10</f>
        <v>8.4634636521458274E-4</v>
      </c>
      <c r="AE57" s="41">
        <v>0</v>
      </c>
      <c r="AF57" s="43">
        <v>0</v>
      </c>
      <c r="AG57" s="41">
        <v>0</v>
      </c>
      <c r="AH57" s="41">
        <v>0</v>
      </c>
      <c r="AI57" s="41">
        <v>0</v>
      </c>
      <c r="AJ57" s="43">
        <v>0</v>
      </c>
      <c r="AK57" s="41">
        <v>0</v>
      </c>
      <c r="AL57" s="41">
        <v>0</v>
      </c>
      <c r="AM57" s="41">
        <v>0</v>
      </c>
      <c r="AN57" s="43">
        <v>0</v>
      </c>
      <c r="AO57" s="41">
        <v>0</v>
      </c>
      <c r="AP57" s="41">
        <v>0</v>
      </c>
      <c r="AQ57" s="41">
        <v>0</v>
      </c>
      <c r="AR57" s="43">
        <v>0</v>
      </c>
      <c r="AS57" s="41">
        <v>0</v>
      </c>
      <c r="AT57" s="41">
        <v>0</v>
      </c>
      <c r="AU57" s="41">
        <v>0</v>
      </c>
      <c r="AV57" s="43">
        <v>0</v>
      </c>
      <c r="AW57" s="41">
        <v>0</v>
      </c>
      <c r="AX57" s="41">
        <v>0</v>
      </c>
      <c r="AY57" s="41">
        <v>0</v>
      </c>
      <c r="AZ57" s="207">
        <v>0</v>
      </c>
    </row>
    <row r="58" spans="1:60" x14ac:dyDescent="0.35">
      <c r="A58" t="s">
        <v>178</v>
      </c>
      <c r="B58" t="s">
        <v>73</v>
      </c>
      <c r="C58" s="4" t="s">
        <v>145</v>
      </c>
      <c r="D58" s="4" t="s">
        <v>179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9"/>
      <c r="AC58" s="41">
        <v>0</v>
      </c>
      <c r="AD58" s="208">
        <f>[2]H2_ELE!$H$42*'Inputs by region H2'!G$13</f>
        <v>1.2517329093179335E-4</v>
      </c>
      <c r="AE58" s="41">
        <v>0</v>
      </c>
      <c r="AF58" s="43">
        <v>0</v>
      </c>
      <c r="AG58" s="41">
        <v>0</v>
      </c>
      <c r="AH58" s="41">
        <v>0</v>
      </c>
      <c r="AI58" s="41">
        <v>0</v>
      </c>
      <c r="AJ58" s="43">
        <v>0</v>
      </c>
      <c r="AK58" s="41">
        <v>0</v>
      </c>
      <c r="AL58" s="41">
        <v>0</v>
      </c>
      <c r="AM58" s="41">
        <v>0</v>
      </c>
      <c r="AN58" s="43">
        <v>0</v>
      </c>
      <c r="AO58" s="41">
        <v>0</v>
      </c>
      <c r="AP58" s="41">
        <v>0</v>
      </c>
      <c r="AQ58" s="41">
        <v>0</v>
      </c>
      <c r="AR58" s="43">
        <v>0</v>
      </c>
      <c r="AS58" s="41">
        <v>0</v>
      </c>
      <c r="AT58" s="41">
        <v>0</v>
      </c>
      <c r="AU58" s="41">
        <v>0</v>
      </c>
      <c r="AV58" s="43">
        <v>0</v>
      </c>
      <c r="AW58" s="41">
        <v>0</v>
      </c>
      <c r="AX58" s="41">
        <v>0</v>
      </c>
      <c r="AY58" s="41">
        <v>0</v>
      </c>
      <c r="AZ58" s="207">
        <v>0</v>
      </c>
    </row>
    <row r="59" spans="1:60" x14ac:dyDescent="0.35">
      <c r="A59" t="s">
        <v>180</v>
      </c>
      <c r="B59" t="s">
        <v>73</v>
      </c>
      <c r="C59" s="4" t="s">
        <v>181</v>
      </c>
      <c r="D59" s="4" t="s">
        <v>182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AA59" s="38"/>
      <c r="AB59" s="39"/>
      <c r="AC59" s="41">
        <v>0</v>
      </c>
      <c r="AD59" s="41">
        <v>0</v>
      </c>
      <c r="AE59" s="40">
        <f>[2]H2_NGSR!$H$44*'Inputs by region H2'!G$14</f>
        <v>1.7780055929999998</v>
      </c>
      <c r="AF59" s="209">
        <f>[2]H2_ELE!$H$47*'Inputs by region H2'!G$14</f>
        <v>2.6153290799999998E-4</v>
      </c>
      <c r="AG59" s="41">
        <v>0</v>
      </c>
      <c r="AH59" s="41">
        <v>0</v>
      </c>
      <c r="AI59" s="41">
        <v>0</v>
      </c>
      <c r="AJ59" s="43">
        <v>0</v>
      </c>
      <c r="AK59" s="41">
        <v>0</v>
      </c>
      <c r="AL59" s="41">
        <v>0</v>
      </c>
      <c r="AM59" s="41">
        <v>0</v>
      </c>
      <c r="AN59" s="43">
        <v>0</v>
      </c>
      <c r="AO59" s="41">
        <v>0</v>
      </c>
      <c r="AP59" s="41">
        <v>0</v>
      </c>
      <c r="AQ59" s="41">
        <v>0</v>
      </c>
      <c r="AR59" s="43">
        <v>0</v>
      </c>
      <c r="AS59" s="41">
        <v>0</v>
      </c>
      <c r="AT59" s="41">
        <v>0</v>
      </c>
      <c r="AU59" s="41">
        <v>0</v>
      </c>
      <c r="AV59" s="43">
        <v>0</v>
      </c>
      <c r="AW59" s="41">
        <v>0</v>
      </c>
      <c r="AX59" s="41">
        <v>0</v>
      </c>
      <c r="AY59" s="41">
        <v>0</v>
      </c>
      <c r="AZ59" s="207">
        <v>0</v>
      </c>
    </row>
    <row r="60" spans="1:60" x14ac:dyDescent="0.35">
      <c r="A60" t="s">
        <v>197</v>
      </c>
      <c r="B60" t="s">
        <v>73</v>
      </c>
      <c r="C60" s="4" t="s">
        <v>181</v>
      </c>
      <c r="D60" s="4" t="s">
        <v>198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76"/>
      <c r="AA60" s="38"/>
      <c r="AB60" s="39"/>
      <c r="AC60" s="40">
        <f>[2]H2_NGSR!$H$40*'Inputs by region H2'!G$15</f>
        <v>0.13437998483817604</v>
      </c>
      <c r="AD60" s="40">
        <f>[2]H2_ELE!$H$43*'Inputs by region H2'!G$15</f>
        <v>2.4335351040000001E-4</v>
      </c>
      <c r="AE60" s="40">
        <f>[2]H2_NGSR!$H$45*'Inputs by region H2'!G$15</f>
        <v>5.3958557673900014</v>
      </c>
      <c r="AF60" s="209">
        <f>[2]H2_ELE!$H$48*'Inputs by region H2'!G$15</f>
        <v>9.2994494870588251E-2</v>
      </c>
      <c r="AG60" s="41">
        <v>0</v>
      </c>
      <c r="AH60" s="41">
        <v>0</v>
      </c>
      <c r="AI60" s="41">
        <v>0</v>
      </c>
      <c r="AJ60" s="43">
        <v>0</v>
      </c>
      <c r="AK60" s="41">
        <v>0</v>
      </c>
      <c r="AL60" s="41">
        <v>0</v>
      </c>
      <c r="AM60" s="41">
        <v>0</v>
      </c>
      <c r="AN60" s="43">
        <v>0</v>
      </c>
      <c r="AO60" s="41">
        <v>0</v>
      </c>
      <c r="AP60" s="41">
        <v>0</v>
      </c>
      <c r="AQ60" s="41">
        <v>0</v>
      </c>
      <c r="AR60" s="43">
        <v>0</v>
      </c>
      <c r="AS60" s="41">
        <v>0</v>
      </c>
      <c r="AT60" s="41">
        <v>0</v>
      </c>
      <c r="AU60" s="41">
        <v>0</v>
      </c>
      <c r="AV60" s="43">
        <v>0</v>
      </c>
      <c r="AW60" s="41">
        <v>0</v>
      </c>
      <c r="AX60" s="41">
        <v>0</v>
      </c>
      <c r="AY60" s="41">
        <v>0</v>
      </c>
      <c r="AZ60" s="207">
        <v>0</v>
      </c>
    </row>
    <row r="61" spans="1:60" x14ac:dyDescent="0.35">
      <c r="A61" t="s">
        <v>364</v>
      </c>
      <c r="B61" t="s">
        <v>73</v>
      </c>
      <c r="C61" s="4" t="s">
        <v>181</v>
      </c>
      <c r="D61" s="4" t="s">
        <v>200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AA61" s="76"/>
      <c r="AB61" s="39"/>
      <c r="AC61" s="40">
        <f>[2]H2_NGSR!$H$40*'Inputs by region H2'!G$16</f>
        <v>0.25443647306582401</v>
      </c>
      <c r="AD61" s="40">
        <f>[2]H2_ELE!$H$43*'Inputs by region H2'!G$16</f>
        <v>4.6076808959999996E-4</v>
      </c>
      <c r="AE61" s="40">
        <f>[2]H2_NGSR!$H$45*'Inputs by region H2'!G$16</f>
        <v>10.21656991761</v>
      </c>
      <c r="AF61" s="209">
        <f>[2]H2_ELE!$H$48*'Inputs by region H2'!G$16</f>
        <v>0.17607675218823529</v>
      </c>
      <c r="AG61" s="41">
        <v>0</v>
      </c>
      <c r="AH61" s="41">
        <v>0</v>
      </c>
      <c r="AI61" s="41">
        <v>0</v>
      </c>
      <c r="AJ61" s="43">
        <v>0</v>
      </c>
      <c r="AK61" s="41">
        <v>0</v>
      </c>
      <c r="AL61" s="41">
        <v>0</v>
      </c>
      <c r="AM61" s="41">
        <v>0</v>
      </c>
      <c r="AN61" s="43">
        <v>0</v>
      </c>
      <c r="AO61" s="41">
        <v>0</v>
      </c>
      <c r="AP61" s="41">
        <v>0</v>
      </c>
      <c r="AQ61" s="41">
        <v>0</v>
      </c>
      <c r="AR61" s="43">
        <v>0</v>
      </c>
      <c r="AS61" s="41">
        <v>0</v>
      </c>
      <c r="AT61" s="41">
        <v>0</v>
      </c>
      <c r="AU61" s="41">
        <v>0</v>
      </c>
      <c r="AV61" s="43">
        <v>0</v>
      </c>
      <c r="AW61" s="41">
        <v>0</v>
      </c>
      <c r="AX61" s="41">
        <v>0</v>
      </c>
      <c r="AY61" s="41">
        <v>0</v>
      </c>
      <c r="AZ61" s="207">
        <v>0</v>
      </c>
    </row>
    <row r="62" spans="1:60" x14ac:dyDescent="0.35">
      <c r="A62" t="s">
        <v>201</v>
      </c>
      <c r="B62" t="s">
        <v>73</v>
      </c>
      <c r="C62" s="4" t="s">
        <v>181</v>
      </c>
      <c r="D62" s="4" t="s">
        <v>202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9"/>
      <c r="AC62" s="40">
        <f>[2]H2_NGSR!$H$40*'Inputs by region H2'!G$17</f>
        <v>0.86543018049599985</v>
      </c>
      <c r="AD62" s="40">
        <f>[2]H2_ELE!$H$43*'Inputs by region H2'!G$17</f>
        <v>1.5672383999999996E-3</v>
      </c>
      <c r="AE62" s="40">
        <f>[2]H2_NGSR!$H$45*'Inputs by region H2'!G$17</f>
        <v>34.750237814999998</v>
      </c>
      <c r="AF62" s="209">
        <f>[2]H2_ELE!$H$48*'Inputs by region H2'!G$17</f>
        <v>0.59890051764705876</v>
      </c>
      <c r="AG62" s="41">
        <v>0</v>
      </c>
      <c r="AH62" s="41">
        <v>0</v>
      </c>
      <c r="AI62" s="41">
        <v>0</v>
      </c>
      <c r="AJ62" s="43">
        <v>0</v>
      </c>
      <c r="AK62" s="41">
        <v>0</v>
      </c>
      <c r="AL62" s="41">
        <v>0</v>
      </c>
      <c r="AM62" s="41">
        <v>0</v>
      </c>
      <c r="AN62" s="43">
        <v>0</v>
      </c>
      <c r="AO62" s="41">
        <v>0</v>
      </c>
      <c r="AP62" s="41">
        <v>0</v>
      </c>
      <c r="AQ62" s="41">
        <v>0</v>
      </c>
      <c r="AR62" s="43">
        <v>0</v>
      </c>
      <c r="AS62" s="41">
        <v>0</v>
      </c>
      <c r="AT62" s="41">
        <v>0</v>
      </c>
      <c r="AU62" s="41">
        <v>0</v>
      </c>
      <c r="AV62" s="43">
        <v>0</v>
      </c>
      <c r="AW62" s="41">
        <v>0</v>
      </c>
      <c r="AX62" s="41">
        <v>0</v>
      </c>
      <c r="AY62" s="41">
        <v>0</v>
      </c>
      <c r="AZ62" s="207">
        <v>0</v>
      </c>
    </row>
    <row r="63" spans="1:60" ht="15" thickBot="1" x14ac:dyDescent="0.4">
      <c r="A63" t="s">
        <v>193</v>
      </c>
      <c r="B63" t="s">
        <v>73</v>
      </c>
      <c r="C63" s="4" t="s">
        <v>145</v>
      </c>
      <c r="D63" s="4" t="s">
        <v>194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9"/>
      <c r="AC63" s="44">
        <v>0</v>
      </c>
      <c r="AD63" s="45">
        <f>[2]H2_ELE!$H$41*'Inputs by region H2'!G$18</f>
        <v>1.5965533412604042E-3</v>
      </c>
      <c r="AE63" s="45">
        <f>[2]H2_NGSR!$H$43*'Inputs by region H2'!G$18</f>
        <v>17586.077586206899</v>
      </c>
      <c r="AF63" s="46">
        <v>0</v>
      </c>
      <c r="AG63" s="44">
        <v>0</v>
      </c>
      <c r="AH63" s="44">
        <v>0</v>
      </c>
      <c r="AI63" s="44">
        <v>0</v>
      </c>
      <c r="AJ63" s="46">
        <v>0</v>
      </c>
      <c r="AK63" s="44">
        <v>0</v>
      </c>
      <c r="AL63" s="44">
        <v>0</v>
      </c>
      <c r="AM63" s="44">
        <v>0</v>
      </c>
      <c r="AN63" s="46">
        <v>0</v>
      </c>
      <c r="AO63" s="44">
        <v>0</v>
      </c>
      <c r="AP63" s="44">
        <v>0</v>
      </c>
      <c r="AQ63" s="44">
        <v>0</v>
      </c>
      <c r="AR63" s="46">
        <v>0</v>
      </c>
      <c r="AS63" s="44">
        <v>0</v>
      </c>
      <c r="AT63" s="44">
        <v>0</v>
      </c>
      <c r="AU63" s="44">
        <v>0</v>
      </c>
      <c r="AV63" s="46">
        <v>0</v>
      </c>
      <c r="AW63" s="44">
        <v>0</v>
      </c>
      <c r="AX63" s="44">
        <v>0</v>
      </c>
      <c r="AY63" s="44">
        <v>0</v>
      </c>
      <c r="AZ63" s="210">
        <v>0</v>
      </c>
    </row>
    <row r="64" spans="1:60" x14ac:dyDescent="0.35">
      <c r="A64" t="s">
        <v>187</v>
      </c>
      <c r="B64" t="s">
        <v>88</v>
      </c>
      <c r="C64" s="4" t="s">
        <v>145</v>
      </c>
      <c r="D64" s="4" t="s">
        <v>188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9"/>
      <c r="AC64" s="40">
        <f>[2]H2_NGSR!$H$36*'Inputs by region H2'!H$5</f>
        <v>286.26390000000004</v>
      </c>
      <c r="AD64" s="40">
        <f>[2]H2_ELE!$H$40*'Inputs by region H2'!H$12</f>
        <v>9.9090099874062521E-4</v>
      </c>
      <c r="AE64" s="41">
        <v>0</v>
      </c>
      <c r="AF64" s="43">
        <v>0</v>
      </c>
      <c r="AG64" s="41">
        <v>0</v>
      </c>
      <c r="AH64" s="41">
        <v>0</v>
      </c>
      <c r="AI64" s="41">
        <v>0</v>
      </c>
      <c r="AJ64" s="43">
        <v>0</v>
      </c>
      <c r="AK64" s="41">
        <v>0</v>
      </c>
      <c r="AL64" s="41">
        <v>0</v>
      </c>
      <c r="AM64" s="41">
        <v>0</v>
      </c>
      <c r="AN64" s="43">
        <v>0</v>
      </c>
      <c r="AO64" s="41">
        <v>0</v>
      </c>
      <c r="AP64" s="41">
        <v>0</v>
      </c>
      <c r="AQ64" s="41">
        <v>0</v>
      </c>
      <c r="AR64" s="43">
        <v>0</v>
      </c>
      <c r="AS64" s="41">
        <v>0</v>
      </c>
      <c r="AT64" s="41">
        <v>0</v>
      </c>
      <c r="AU64" s="41">
        <v>0</v>
      </c>
      <c r="AV64" s="43">
        <v>0</v>
      </c>
      <c r="AW64" s="41">
        <v>0</v>
      </c>
      <c r="AX64" s="41">
        <v>0</v>
      </c>
      <c r="AY64" s="41">
        <v>0</v>
      </c>
      <c r="AZ64" s="207">
        <v>0</v>
      </c>
    </row>
    <row r="65" spans="1:52" x14ac:dyDescent="0.35">
      <c r="A65" t="s">
        <v>144</v>
      </c>
      <c r="B65" t="s">
        <v>88</v>
      </c>
      <c r="C65" s="4" t="s">
        <v>145</v>
      </c>
      <c r="D65" s="4" t="s">
        <v>361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9"/>
      <c r="AC65" s="40">
        <f>[2]H2_NGSR!$H$39*'Inputs by region H2'!H$6+[2]H2_NGSR!$H$37*'Inputs by region H2'!H$8</f>
        <v>78.857142857142847</v>
      </c>
      <c r="AD65" s="41">
        <v>0</v>
      </c>
      <c r="AE65" s="41">
        <v>0</v>
      </c>
      <c r="AF65" s="43">
        <v>0</v>
      </c>
      <c r="AG65" s="41">
        <v>0</v>
      </c>
      <c r="AH65" s="41">
        <v>0</v>
      </c>
      <c r="AI65" s="41">
        <v>0</v>
      </c>
      <c r="AJ65" s="43">
        <v>0</v>
      </c>
      <c r="AK65" s="41">
        <v>0</v>
      </c>
      <c r="AL65" s="41">
        <v>0</v>
      </c>
      <c r="AM65" s="41">
        <v>0</v>
      </c>
      <c r="AN65" s="43">
        <v>0</v>
      </c>
      <c r="AO65" s="41">
        <v>0</v>
      </c>
      <c r="AP65" s="41">
        <v>0</v>
      </c>
      <c r="AQ65" s="41">
        <v>0</v>
      </c>
      <c r="AR65" s="43">
        <v>0</v>
      </c>
      <c r="AS65" s="41">
        <v>0</v>
      </c>
      <c r="AT65" s="41">
        <v>0</v>
      </c>
      <c r="AU65" s="41">
        <v>0</v>
      </c>
      <c r="AV65" s="43">
        <v>0</v>
      </c>
      <c r="AW65" s="41">
        <v>0</v>
      </c>
      <c r="AX65" s="41">
        <v>0</v>
      </c>
      <c r="AY65" s="41">
        <v>0</v>
      </c>
      <c r="AZ65" s="207">
        <v>0</v>
      </c>
    </row>
    <row r="66" spans="1:52" x14ac:dyDescent="0.35">
      <c r="A66" t="s">
        <v>183</v>
      </c>
      <c r="B66" t="s">
        <v>88</v>
      </c>
      <c r="C66" s="4" t="s">
        <v>145</v>
      </c>
      <c r="D66" s="4" t="s">
        <v>362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9"/>
      <c r="AC66" s="41">
        <v>0</v>
      </c>
      <c r="AD66" s="41">
        <f>[2]H2_ELE!$H$39*'Inputs by region H2'!H$11</f>
        <v>0</v>
      </c>
      <c r="AE66" s="41">
        <v>0</v>
      </c>
      <c r="AF66" s="43">
        <v>0</v>
      </c>
      <c r="AG66" s="41">
        <v>0</v>
      </c>
      <c r="AH66" s="41">
        <v>0</v>
      </c>
      <c r="AI66" s="41">
        <v>0</v>
      </c>
      <c r="AJ66" s="43">
        <v>0</v>
      </c>
      <c r="AK66" s="41">
        <v>0</v>
      </c>
      <c r="AL66" s="41">
        <v>0</v>
      </c>
      <c r="AM66" s="41">
        <v>0</v>
      </c>
      <c r="AN66" s="43">
        <v>0</v>
      </c>
      <c r="AO66" s="41">
        <v>0</v>
      </c>
      <c r="AP66" s="41">
        <v>0</v>
      </c>
      <c r="AQ66" s="41">
        <v>0</v>
      </c>
      <c r="AR66" s="43">
        <v>0</v>
      </c>
      <c r="AS66" s="41">
        <v>0</v>
      </c>
      <c r="AT66" s="41">
        <v>0</v>
      </c>
      <c r="AU66" s="41">
        <v>0</v>
      </c>
      <c r="AV66" s="43">
        <v>0</v>
      </c>
      <c r="AW66" s="41">
        <v>0</v>
      </c>
      <c r="AX66" s="41">
        <v>0</v>
      </c>
      <c r="AY66" s="41">
        <v>0</v>
      </c>
      <c r="AZ66" s="207">
        <v>0</v>
      </c>
    </row>
    <row r="67" spans="1:52" x14ac:dyDescent="0.35">
      <c r="A67" t="s">
        <v>172</v>
      </c>
      <c r="B67" t="s">
        <v>88</v>
      </c>
      <c r="C67" s="4" t="s">
        <v>145</v>
      </c>
      <c r="D67" s="4" t="s">
        <v>363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9"/>
      <c r="AC67" s="40">
        <f>[2]H2_NGSR!$H$38*'Inputs by region H2'!H$7</f>
        <v>0.7862213561563367</v>
      </c>
      <c r="AD67" s="41">
        <v>0</v>
      </c>
      <c r="AE67" s="41">
        <v>0</v>
      </c>
      <c r="AF67" s="43">
        <v>0</v>
      </c>
      <c r="AG67" s="41">
        <v>0</v>
      </c>
      <c r="AH67" s="41">
        <v>0</v>
      </c>
      <c r="AI67" s="41">
        <v>0</v>
      </c>
      <c r="AJ67" s="43">
        <v>0</v>
      </c>
      <c r="AK67" s="41">
        <v>0</v>
      </c>
      <c r="AL67" s="41">
        <v>0</v>
      </c>
      <c r="AM67" s="41">
        <v>0</v>
      </c>
      <c r="AN67" s="43">
        <v>0</v>
      </c>
      <c r="AO67" s="41">
        <v>0</v>
      </c>
      <c r="AP67" s="41">
        <v>0</v>
      </c>
      <c r="AQ67" s="41">
        <v>0</v>
      </c>
      <c r="AR67" s="43">
        <v>0</v>
      </c>
      <c r="AS67" s="41">
        <v>0</v>
      </c>
      <c r="AT67" s="41">
        <v>0</v>
      </c>
      <c r="AU67" s="41">
        <v>0</v>
      </c>
      <c r="AV67" s="43">
        <v>0</v>
      </c>
      <c r="AW67" s="41">
        <v>0</v>
      </c>
      <c r="AX67" s="41">
        <v>0</v>
      </c>
      <c r="AY67" s="41">
        <v>0</v>
      </c>
      <c r="AZ67" s="207">
        <v>0</v>
      </c>
    </row>
    <row r="68" spans="1:52" x14ac:dyDescent="0.35">
      <c r="A68" t="s">
        <v>174</v>
      </c>
      <c r="B68" t="s">
        <v>88</v>
      </c>
      <c r="C68" s="4" t="s">
        <v>145</v>
      </c>
      <c r="D68" s="4" t="s">
        <v>175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9"/>
      <c r="AC68" s="41">
        <v>0</v>
      </c>
      <c r="AD68" s="40">
        <f>[2]H2_ELE!$H$37*'Inputs by region H2'!H$9</f>
        <v>3.3029309855227888E-2</v>
      </c>
      <c r="AE68" s="41">
        <v>0</v>
      </c>
      <c r="AF68" s="43">
        <v>0</v>
      </c>
      <c r="AG68" s="41">
        <v>0</v>
      </c>
      <c r="AH68" s="41">
        <v>0</v>
      </c>
      <c r="AI68" s="41">
        <v>0</v>
      </c>
      <c r="AJ68" s="43">
        <v>0</v>
      </c>
      <c r="AK68" s="41">
        <v>0</v>
      </c>
      <c r="AL68" s="41">
        <v>0</v>
      </c>
      <c r="AM68" s="41">
        <v>0</v>
      </c>
      <c r="AN68" s="43">
        <v>0</v>
      </c>
      <c r="AO68" s="41">
        <v>0</v>
      </c>
      <c r="AP68" s="41">
        <v>0</v>
      </c>
      <c r="AQ68" s="41">
        <v>0</v>
      </c>
      <c r="AR68" s="43">
        <v>0</v>
      </c>
      <c r="AS68" s="41">
        <v>0</v>
      </c>
      <c r="AT68" s="41">
        <v>0</v>
      </c>
      <c r="AU68" s="41">
        <v>0</v>
      </c>
      <c r="AV68" s="43">
        <v>0</v>
      </c>
      <c r="AW68" s="41">
        <v>0</v>
      </c>
      <c r="AX68" s="41">
        <v>0</v>
      </c>
      <c r="AY68" s="41">
        <v>0</v>
      </c>
      <c r="AZ68" s="207">
        <v>0</v>
      </c>
    </row>
    <row r="69" spans="1:52" x14ac:dyDescent="0.35">
      <c r="A69" t="s">
        <v>176</v>
      </c>
      <c r="B69" t="s">
        <v>88</v>
      </c>
      <c r="C69" s="4" t="s">
        <v>145</v>
      </c>
      <c r="D69" s="4" t="s">
        <v>177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9"/>
      <c r="AC69" s="41">
        <v>0</v>
      </c>
      <c r="AD69" s="40">
        <f>[2]H2_ELE!$H$38*'Inputs by region H2'!H$10</f>
        <v>6.9915569300335089E-3</v>
      </c>
      <c r="AE69" s="41">
        <v>0</v>
      </c>
      <c r="AF69" s="43">
        <v>0</v>
      </c>
      <c r="AG69" s="41">
        <v>0</v>
      </c>
      <c r="AH69" s="41">
        <v>0</v>
      </c>
      <c r="AI69" s="41">
        <v>0</v>
      </c>
      <c r="AJ69" s="43">
        <v>0</v>
      </c>
      <c r="AK69" s="41">
        <v>0</v>
      </c>
      <c r="AL69" s="41">
        <v>0</v>
      </c>
      <c r="AM69" s="41">
        <v>0</v>
      </c>
      <c r="AN69" s="43">
        <v>0</v>
      </c>
      <c r="AO69" s="41">
        <v>0</v>
      </c>
      <c r="AP69" s="41">
        <v>0</v>
      </c>
      <c r="AQ69" s="41">
        <v>0</v>
      </c>
      <c r="AR69" s="43">
        <v>0</v>
      </c>
      <c r="AS69" s="41">
        <v>0</v>
      </c>
      <c r="AT69" s="41">
        <v>0</v>
      </c>
      <c r="AU69" s="41">
        <v>0</v>
      </c>
      <c r="AV69" s="43">
        <v>0</v>
      </c>
      <c r="AW69" s="41">
        <v>0</v>
      </c>
      <c r="AX69" s="41">
        <v>0</v>
      </c>
      <c r="AY69" s="41">
        <v>0</v>
      </c>
      <c r="AZ69" s="207">
        <v>0</v>
      </c>
    </row>
    <row r="70" spans="1:52" x14ac:dyDescent="0.35">
      <c r="A70" t="s">
        <v>178</v>
      </c>
      <c r="B70" t="s">
        <v>88</v>
      </c>
      <c r="C70" s="4" t="s">
        <v>145</v>
      </c>
      <c r="D70" s="4" t="s">
        <v>179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9"/>
      <c r="AC70" s="41">
        <v>0</v>
      </c>
      <c r="AD70" s="40">
        <f>[2]H2_ELE!$H$42*'Inputs by region H2'!H$13</f>
        <v>1.5283979779928203E-3</v>
      </c>
      <c r="AE70" s="41">
        <v>0</v>
      </c>
      <c r="AF70" s="43">
        <v>0</v>
      </c>
      <c r="AG70" s="41">
        <v>0</v>
      </c>
      <c r="AH70" s="41">
        <v>0</v>
      </c>
      <c r="AI70" s="41">
        <v>0</v>
      </c>
      <c r="AJ70" s="43">
        <v>0</v>
      </c>
      <c r="AK70" s="41">
        <v>0</v>
      </c>
      <c r="AL70" s="41">
        <v>0</v>
      </c>
      <c r="AM70" s="41">
        <v>0</v>
      </c>
      <c r="AN70" s="43">
        <v>0</v>
      </c>
      <c r="AO70" s="41">
        <v>0</v>
      </c>
      <c r="AP70" s="41">
        <v>0</v>
      </c>
      <c r="AQ70" s="41">
        <v>0</v>
      </c>
      <c r="AR70" s="43">
        <v>0</v>
      </c>
      <c r="AS70" s="41">
        <v>0</v>
      </c>
      <c r="AT70" s="41">
        <v>0</v>
      </c>
      <c r="AU70" s="41">
        <v>0</v>
      </c>
      <c r="AV70" s="43">
        <v>0</v>
      </c>
      <c r="AW70" s="41">
        <v>0</v>
      </c>
      <c r="AX70" s="41">
        <v>0</v>
      </c>
      <c r="AY70" s="41">
        <v>0</v>
      </c>
      <c r="AZ70" s="207">
        <v>0</v>
      </c>
    </row>
    <row r="71" spans="1:52" x14ac:dyDescent="0.35">
      <c r="A71" t="s">
        <v>180</v>
      </c>
      <c r="B71" t="s">
        <v>88</v>
      </c>
      <c r="C71" s="4" t="s">
        <v>181</v>
      </c>
      <c r="D71" s="4" t="s">
        <v>182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9"/>
      <c r="AC71" s="41">
        <v>0</v>
      </c>
      <c r="AD71" s="41">
        <v>0</v>
      </c>
      <c r="AE71" s="41">
        <f>[2]H2_NGSR!$H$44*'Inputs by region H2'!H$14</f>
        <v>0</v>
      </c>
      <c r="AF71" s="43">
        <f>[2]H2_ELE!$H$47*'Inputs by region H2'!H$14</f>
        <v>0</v>
      </c>
      <c r="AG71" s="41">
        <v>0</v>
      </c>
      <c r="AH71" s="41">
        <v>0</v>
      </c>
      <c r="AI71" s="41">
        <v>0</v>
      </c>
      <c r="AJ71" s="43">
        <v>0</v>
      </c>
      <c r="AK71" s="41">
        <v>0</v>
      </c>
      <c r="AL71" s="41">
        <v>0</v>
      </c>
      <c r="AM71" s="41">
        <v>0</v>
      </c>
      <c r="AN71" s="43">
        <v>0</v>
      </c>
      <c r="AO71" s="41">
        <v>0</v>
      </c>
      <c r="AP71" s="41">
        <v>0</v>
      </c>
      <c r="AQ71" s="41">
        <v>0</v>
      </c>
      <c r="AR71" s="43">
        <v>0</v>
      </c>
      <c r="AS71" s="41">
        <v>0</v>
      </c>
      <c r="AT71" s="41">
        <v>0</v>
      </c>
      <c r="AU71" s="41">
        <v>0</v>
      </c>
      <c r="AV71" s="43">
        <v>0</v>
      </c>
      <c r="AW71" s="41">
        <v>0</v>
      </c>
      <c r="AX71" s="41">
        <v>0</v>
      </c>
      <c r="AY71" s="41">
        <v>0</v>
      </c>
      <c r="AZ71" s="207">
        <v>0</v>
      </c>
    </row>
    <row r="72" spans="1:52" x14ac:dyDescent="0.35">
      <c r="A72" t="s">
        <v>197</v>
      </c>
      <c r="B72" t="s">
        <v>88</v>
      </c>
      <c r="C72" s="4" t="s">
        <v>181</v>
      </c>
      <c r="D72" s="4" t="s">
        <v>198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9"/>
      <c r="AC72" s="41">
        <f>[2]H2_NGSR!$H$40*'Inputs by region H2'!H$15</f>
        <v>0</v>
      </c>
      <c r="AD72" s="41">
        <f>[2]H2_ELE!$H$43*'Inputs by region H2'!H$15</f>
        <v>0</v>
      </c>
      <c r="AE72" s="41">
        <f>[2]H2_NGSR!$H$45*'Inputs by region H2'!H$15</f>
        <v>0</v>
      </c>
      <c r="AF72" s="43">
        <f>[2]H2_ELE!$H$48*'Inputs by region H2'!H$15</f>
        <v>0</v>
      </c>
      <c r="AG72" s="41">
        <v>0</v>
      </c>
      <c r="AH72" s="41">
        <v>0</v>
      </c>
      <c r="AI72" s="41">
        <v>0</v>
      </c>
      <c r="AJ72" s="43">
        <v>0</v>
      </c>
      <c r="AK72" s="41">
        <v>0</v>
      </c>
      <c r="AL72" s="41">
        <v>0</v>
      </c>
      <c r="AM72" s="41">
        <v>0</v>
      </c>
      <c r="AN72" s="43">
        <v>0</v>
      </c>
      <c r="AO72" s="41">
        <v>0</v>
      </c>
      <c r="AP72" s="41">
        <v>0</v>
      </c>
      <c r="AQ72" s="41">
        <v>0</v>
      </c>
      <c r="AR72" s="43">
        <v>0</v>
      </c>
      <c r="AS72" s="41">
        <v>0</v>
      </c>
      <c r="AT72" s="41">
        <v>0</v>
      </c>
      <c r="AU72" s="41">
        <v>0</v>
      </c>
      <c r="AV72" s="43">
        <v>0</v>
      </c>
      <c r="AW72" s="41">
        <v>0</v>
      </c>
      <c r="AX72" s="41">
        <v>0</v>
      </c>
      <c r="AY72" s="41">
        <v>0</v>
      </c>
      <c r="AZ72" s="207">
        <v>0</v>
      </c>
    </row>
    <row r="73" spans="1:52" x14ac:dyDescent="0.35">
      <c r="A73" t="s">
        <v>364</v>
      </c>
      <c r="B73" t="s">
        <v>88</v>
      </c>
      <c r="C73" s="4" t="s">
        <v>181</v>
      </c>
      <c r="D73" s="4" t="s">
        <v>200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9"/>
      <c r="AC73" s="41">
        <f>[2]H2_NGSR!$H$40*'Inputs by region H2'!H$16</f>
        <v>0</v>
      </c>
      <c r="AD73" s="41">
        <f>[2]H2_ELE!$H$43*'Inputs by region H2'!H$16</f>
        <v>0</v>
      </c>
      <c r="AE73" s="41">
        <f>[2]H2_NGSR!$H$45*'Inputs by region H2'!H$16</f>
        <v>0</v>
      </c>
      <c r="AF73" s="43">
        <f>[2]H2_ELE!$H$48*'Inputs by region H2'!H$16</f>
        <v>0</v>
      </c>
      <c r="AG73" s="41">
        <v>0</v>
      </c>
      <c r="AH73" s="41">
        <v>0</v>
      </c>
      <c r="AI73" s="41">
        <v>0</v>
      </c>
      <c r="AJ73" s="43">
        <v>0</v>
      </c>
      <c r="AK73" s="41">
        <v>0</v>
      </c>
      <c r="AL73" s="41">
        <v>0</v>
      </c>
      <c r="AM73" s="41">
        <v>0</v>
      </c>
      <c r="AN73" s="43">
        <v>0</v>
      </c>
      <c r="AO73" s="41">
        <v>0</v>
      </c>
      <c r="AP73" s="41">
        <v>0</v>
      </c>
      <c r="AQ73" s="41">
        <v>0</v>
      </c>
      <c r="AR73" s="43">
        <v>0</v>
      </c>
      <c r="AS73" s="41">
        <v>0</v>
      </c>
      <c r="AT73" s="41">
        <v>0</v>
      </c>
      <c r="AU73" s="41">
        <v>0</v>
      </c>
      <c r="AV73" s="43">
        <v>0</v>
      </c>
      <c r="AW73" s="41">
        <v>0</v>
      </c>
      <c r="AX73" s="41">
        <v>0</v>
      </c>
      <c r="AY73" s="41">
        <v>0</v>
      </c>
      <c r="AZ73" s="207">
        <v>0</v>
      </c>
    </row>
    <row r="74" spans="1:52" x14ac:dyDescent="0.35">
      <c r="A74" t="s">
        <v>201</v>
      </c>
      <c r="B74" t="s">
        <v>88</v>
      </c>
      <c r="C74" s="4" t="s">
        <v>181</v>
      </c>
      <c r="D74" s="4" t="s">
        <v>202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9"/>
      <c r="AC74" s="41">
        <f>[2]H2_NGSR!$H$40*'Inputs by region H2'!H$17</f>
        <v>0</v>
      </c>
      <c r="AD74" s="41">
        <f>[2]H2_ELE!$H$43*'Inputs by region H2'!H$17</f>
        <v>0</v>
      </c>
      <c r="AE74" s="41">
        <f>[2]H2_NGSR!$H$45*'Inputs by region H2'!H$17</f>
        <v>0</v>
      </c>
      <c r="AF74" s="43">
        <f>[2]H2_ELE!$H$48*'Inputs by region H2'!H$17</f>
        <v>0</v>
      </c>
      <c r="AG74" s="41">
        <v>0</v>
      </c>
      <c r="AH74" s="41">
        <v>0</v>
      </c>
      <c r="AI74" s="41">
        <v>0</v>
      </c>
      <c r="AJ74" s="43">
        <v>0</v>
      </c>
      <c r="AK74" s="41">
        <v>0</v>
      </c>
      <c r="AL74" s="41">
        <v>0</v>
      </c>
      <c r="AM74" s="41">
        <v>0</v>
      </c>
      <c r="AN74" s="43">
        <v>0</v>
      </c>
      <c r="AO74" s="41">
        <v>0</v>
      </c>
      <c r="AP74" s="41">
        <v>0</v>
      </c>
      <c r="AQ74" s="41">
        <v>0</v>
      </c>
      <c r="AR74" s="43">
        <v>0</v>
      </c>
      <c r="AS74" s="41">
        <v>0</v>
      </c>
      <c r="AT74" s="41">
        <v>0</v>
      </c>
      <c r="AU74" s="41">
        <v>0</v>
      </c>
      <c r="AV74" s="43">
        <v>0</v>
      </c>
      <c r="AW74" s="41">
        <v>0</v>
      </c>
      <c r="AX74" s="41">
        <v>0</v>
      </c>
      <c r="AY74" s="41">
        <v>0</v>
      </c>
      <c r="AZ74" s="207">
        <v>0</v>
      </c>
    </row>
    <row r="75" spans="1:52" ht="15" thickBot="1" x14ac:dyDescent="0.4">
      <c r="A75" t="s">
        <v>193</v>
      </c>
      <c r="B75" t="s">
        <v>88</v>
      </c>
      <c r="C75" s="4" t="s">
        <v>145</v>
      </c>
      <c r="D75" s="4" t="s">
        <v>194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9"/>
      <c r="AC75" s="44">
        <v>0</v>
      </c>
      <c r="AD75" s="45">
        <f>[2]H2_ELE!$H$41*'Inputs by region H2'!H$18</f>
        <v>0</v>
      </c>
      <c r="AE75" s="45">
        <f>[2]H2_NGSR!$H$43*'Inputs by region H2'!H$18</f>
        <v>0</v>
      </c>
      <c r="AF75" s="46">
        <v>0</v>
      </c>
      <c r="AG75" s="44">
        <v>0</v>
      </c>
      <c r="AH75" s="44">
        <v>0</v>
      </c>
      <c r="AI75" s="44">
        <v>0</v>
      </c>
      <c r="AJ75" s="46">
        <v>0</v>
      </c>
      <c r="AK75" s="44">
        <v>0</v>
      </c>
      <c r="AL75" s="44">
        <v>0</v>
      </c>
      <c r="AM75" s="44">
        <v>0</v>
      </c>
      <c r="AN75" s="46">
        <v>0</v>
      </c>
      <c r="AO75" s="44">
        <v>0</v>
      </c>
      <c r="AP75" s="44">
        <v>0</v>
      </c>
      <c r="AQ75" s="44">
        <v>0</v>
      </c>
      <c r="AR75" s="46">
        <v>0</v>
      </c>
      <c r="AS75" s="44">
        <v>0</v>
      </c>
      <c r="AT75" s="44">
        <v>0</v>
      </c>
      <c r="AU75" s="44">
        <v>0</v>
      </c>
      <c r="AV75" s="46">
        <v>0</v>
      </c>
      <c r="AW75" s="44">
        <v>0</v>
      </c>
      <c r="AX75" s="44">
        <v>0</v>
      </c>
      <c r="AY75" s="44">
        <v>0</v>
      </c>
      <c r="AZ75" s="210">
        <v>0</v>
      </c>
    </row>
    <row r="76" spans="1:52" x14ac:dyDescent="0.35">
      <c r="A76" t="s">
        <v>187</v>
      </c>
      <c r="B76" t="s">
        <v>90</v>
      </c>
      <c r="C76" s="4" t="s">
        <v>145</v>
      </c>
      <c r="D76" s="4" t="s">
        <v>188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9"/>
      <c r="AC76" s="40">
        <f>[2]H2_NGSR!$H$36*'Inputs by region H2'!I$5</f>
        <v>11.2662</v>
      </c>
      <c r="AD76" s="40">
        <f>[2]H2_ELE!$H$40*'Inputs by region H2'!I$12</f>
        <v>1.1930979242119881E-3</v>
      </c>
      <c r="AE76" s="41">
        <v>0</v>
      </c>
      <c r="AF76" s="43">
        <v>0</v>
      </c>
      <c r="AG76" s="41">
        <v>0</v>
      </c>
      <c r="AH76" s="41">
        <v>0</v>
      </c>
      <c r="AI76" s="41">
        <v>0</v>
      </c>
      <c r="AJ76" s="43">
        <v>0</v>
      </c>
      <c r="AK76" s="41">
        <v>0</v>
      </c>
      <c r="AL76" s="41">
        <v>0</v>
      </c>
      <c r="AM76" s="41">
        <v>0</v>
      </c>
      <c r="AN76" s="43">
        <v>0</v>
      </c>
      <c r="AO76" s="41">
        <v>0</v>
      </c>
      <c r="AP76" s="41">
        <v>0</v>
      </c>
      <c r="AQ76" s="41">
        <v>0</v>
      </c>
      <c r="AR76" s="43">
        <v>0</v>
      </c>
      <c r="AS76" s="41">
        <v>0</v>
      </c>
      <c r="AT76" s="41">
        <v>0</v>
      </c>
      <c r="AU76" s="41">
        <v>0</v>
      </c>
      <c r="AV76" s="43">
        <v>0</v>
      </c>
      <c r="AW76" s="41">
        <v>0</v>
      </c>
      <c r="AX76" s="41">
        <v>0</v>
      </c>
      <c r="AY76" s="41">
        <v>0</v>
      </c>
      <c r="AZ76" s="207">
        <v>0</v>
      </c>
    </row>
    <row r="77" spans="1:52" x14ac:dyDescent="0.35">
      <c r="A77" t="s">
        <v>144</v>
      </c>
      <c r="B77" t="s">
        <v>90</v>
      </c>
      <c r="C77" s="4" t="s">
        <v>145</v>
      </c>
      <c r="D77" s="4" t="s">
        <v>361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9"/>
      <c r="AC77" s="40">
        <f>[2]H2_NGSR!$H$37*'Inputs by region H2'!I$8</f>
        <v>7.7904761904761894</v>
      </c>
      <c r="AD77" s="41">
        <v>0</v>
      </c>
      <c r="AE77" s="41">
        <v>0</v>
      </c>
      <c r="AF77" s="43">
        <v>0</v>
      </c>
      <c r="AG77" s="41">
        <v>0</v>
      </c>
      <c r="AH77" s="41">
        <v>0</v>
      </c>
      <c r="AI77" s="41">
        <v>0</v>
      </c>
      <c r="AJ77" s="43">
        <v>0</v>
      </c>
      <c r="AK77" s="41">
        <v>0</v>
      </c>
      <c r="AL77" s="41">
        <v>0</v>
      </c>
      <c r="AM77" s="41">
        <v>0</v>
      </c>
      <c r="AN77" s="43">
        <v>0</v>
      </c>
      <c r="AO77" s="41">
        <v>0</v>
      </c>
      <c r="AP77" s="41">
        <v>0</v>
      </c>
      <c r="AQ77" s="41">
        <v>0</v>
      </c>
      <c r="AR77" s="43">
        <v>0</v>
      </c>
      <c r="AS77" s="41">
        <v>0</v>
      </c>
      <c r="AT77" s="41">
        <v>0</v>
      </c>
      <c r="AU77" s="41">
        <v>0</v>
      </c>
      <c r="AV77" s="43">
        <v>0</v>
      </c>
      <c r="AW77" s="41">
        <v>0</v>
      </c>
      <c r="AX77" s="41">
        <v>0</v>
      </c>
      <c r="AY77" s="41">
        <v>0</v>
      </c>
      <c r="AZ77" s="207">
        <v>0</v>
      </c>
    </row>
    <row r="78" spans="1:52" x14ac:dyDescent="0.35">
      <c r="A78" t="s">
        <v>183</v>
      </c>
      <c r="B78" t="s">
        <v>90</v>
      </c>
      <c r="C78" s="4" t="s">
        <v>145</v>
      </c>
      <c r="D78" s="4" t="s">
        <v>362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9"/>
      <c r="AC78" s="41">
        <v>0</v>
      </c>
      <c r="AD78" s="41">
        <f>[2]H2_ELE!$H$39*'Inputs by region H2'!I$11</f>
        <v>0</v>
      </c>
      <c r="AE78" s="41">
        <v>0</v>
      </c>
      <c r="AF78" s="43">
        <v>0</v>
      </c>
      <c r="AG78" s="41">
        <v>0</v>
      </c>
      <c r="AH78" s="41">
        <v>0</v>
      </c>
      <c r="AI78" s="41">
        <v>0</v>
      </c>
      <c r="AJ78" s="43">
        <v>0</v>
      </c>
      <c r="AK78" s="41">
        <v>0</v>
      </c>
      <c r="AL78" s="41">
        <v>0</v>
      </c>
      <c r="AM78" s="41">
        <v>0</v>
      </c>
      <c r="AN78" s="43">
        <v>0</v>
      </c>
      <c r="AO78" s="41">
        <v>0</v>
      </c>
      <c r="AP78" s="41">
        <v>0</v>
      </c>
      <c r="AQ78" s="41">
        <v>0</v>
      </c>
      <c r="AR78" s="43">
        <v>0</v>
      </c>
      <c r="AS78" s="41">
        <v>0</v>
      </c>
      <c r="AT78" s="41">
        <v>0</v>
      </c>
      <c r="AU78" s="41">
        <v>0</v>
      </c>
      <c r="AV78" s="43">
        <v>0</v>
      </c>
      <c r="AW78" s="41">
        <v>0</v>
      </c>
      <c r="AX78" s="41">
        <v>0</v>
      </c>
      <c r="AY78" s="41">
        <v>0</v>
      </c>
      <c r="AZ78" s="207">
        <v>0</v>
      </c>
    </row>
    <row r="79" spans="1:52" x14ac:dyDescent="0.35">
      <c r="A79" t="s">
        <v>172</v>
      </c>
      <c r="B79" t="s">
        <v>90</v>
      </c>
      <c r="C79" s="4" t="s">
        <v>145</v>
      </c>
      <c r="D79" s="4" t="s">
        <v>363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9"/>
      <c r="AC79" s="40">
        <f>[2]H2_NGSR!$H$38*'Inputs by region H2'!I$7</f>
        <v>1.5473889063756709E-2</v>
      </c>
      <c r="AD79" s="41">
        <v>0</v>
      </c>
      <c r="AE79" s="41">
        <v>0</v>
      </c>
      <c r="AF79" s="43">
        <v>0</v>
      </c>
      <c r="AG79" s="41">
        <v>0</v>
      </c>
      <c r="AH79" s="41">
        <v>0</v>
      </c>
      <c r="AI79" s="41">
        <v>0</v>
      </c>
      <c r="AJ79" s="43">
        <v>0</v>
      </c>
      <c r="AK79" s="41">
        <v>0</v>
      </c>
      <c r="AL79" s="41">
        <v>0</v>
      </c>
      <c r="AM79" s="41">
        <v>0</v>
      </c>
      <c r="AN79" s="43">
        <v>0</v>
      </c>
      <c r="AO79" s="41">
        <v>0</v>
      </c>
      <c r="AP79" s="41">
        <v>0</v>
      </c>
      <c r="AQ79" s="41">
        <v>0</v>
      </c>
      <c r="AR79" s="43">
        <v>0</v>
      </c>
      <c r="AS79" s="41">
        <v>0</v>
      </c>
      <c r="AT79" s="41">
        <v>0</v>
      </c>
      <c r="AU79" s="41">
        <v>0</v>
      </c>
      <c r="AV79" s="43">
        <v>0</v>
      </c>
      <c r="AW79" s="41">
        <v>0</v>
      </c>
      <c r="AX79" s="41">
        <v>0</v>
      </c>
      <c r="AY79" s="41">
        <v>0</v>
      </c>
      <c r="AZ79" s="207">
        <v>0</v>
      </c>
    </row>
    <row r="80" spans="1:52" x14ac:dyDescent="0.35">
      <c r="A80" t="s">
        <v>174</v>
      </c>
      <c r="B80" t="s">
        <v>90</v>
      </c>
      <c r="C80" s="4" t="s">
        <v>145</v>
      </c>
      <c r="D80" s="4" t="s">
        <v>175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9"/>
      <c r="AC80" s="41">
        <v>0</v>
      </c>
      <c r="AD80" s="40">
        <f>[2]H2_ELE!$H$37*'Inputs by region H2'!I$9</f>
        <v>4.323194595174263E-3</v>
      </c>
      <c r="AE80" s="41">
        <v>0</v>
      </c>
      <c r="AF80" s="43">
        <v>0</v>
      </c>
      <c r="AG80" s="41">
        <v>0</v>
      </c>
      <c r="AH80" s="41">
        <v>0</v>
      </c>
      <c r="AI80" s="41">
        <v>0</v>
      </c>
      <c r="AJ80" s="43">
        <v>0</v>
      </c>
      <c r="AK80" s="41">
        <v>0</v>
      </c>
      <c r="AL80" s="41">
        <v>0</v>
      </c>
      <c r="AM80" s="41">
        <v>0</v>
      </c>
      <c r="AN80" s="43">
        <v>0</v>
      </c>
      <c r="AO80" s="41">
        <v>0</v>
      </c>
      <c r="AP80" s="41">
        <v>0</v>
      </c>
      <c r="AQ80" s="41">
        <v>0</v>
      </c>
      <c r="AR80" s="43">
        <v>0</v>
      </c>
      <c r="AS80" s="41">
        <v>0</v>
      </c>
      <c r="AT80" s="41">
        <v>0</v>
      </c>
      <c r="AU80" s="41">
        <v>0</v>
      </c>
      <c r="AV80" s="43">
        <v>0</v>
      </c>
      <c r="AW80" s="41">
        <v>0</v>
      </c>
      <c r="AX80" s="41">
        <v>0</v>
      </c>
      <c r="AY80" s="41">
        <v>0</v>
      </c>
      <c r="AZ80" s="207">
        <v>0</v>
      </c>
    </row>
    <row r="81" spans="1:52" x14ac:dyDescent="0.35">
      <c r="A81" t="s">
        <v>176</v>
      </c>
      <c r="B81" t="s">
        <v>90</v>
      </c>
      <c r="C81" s="4" t="s">
        <v>145</v>
      </c>
      <c r="D81" s="4" t="s">
        <v>177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9"/>
      <c r="AC81" s="41">
        <v>0</v>
      </c>
      <c r="AD81" s="40">
        <f>[2]H2_ELE!$H$38*'Inputs by region H2'!I$10</f>
        <v>1.2800331672655335E-3</v>
      </c>
      <c r="AE81" s="41">
        <v>0</v>
      </c>
      <c r="AF81" s="43">
        <v>0</v>
      </c>
      <c r="AG81" s="41">
        <v>0</v>
      </c>
      <c r="AH81" s="41">
        <v>0</v>
      </c>
      <c r="AI81" s="41">
        <v>0</v>
      </c>
      <c r="AJ81" s="43">
        <v>0</v>
      </c>
      <c r="AK81" s="41">
        <v>0</v>
      </c>
      <c r="AL81" s="41">
        <v>0</v>
      </c>
      <c r="AM81" s="41">
        <v>0</v>
      </c>
      <c r="AN81" s="43">
        <v>0</v>
      </c>
      <c r="AO81" s="41">
        <v>0</v>
      </c>
      <c r="AP81" s="41">
        <v>0</v>
      </c>
      <c r="AQ81" s="41">
        <v>0</v>
      </c>
      <c r="AR81" s="43">
        <v>0</v>
      </c>
      <c r="AS81" s="41">
        <v>0</v>
      </c>
      <c r="AT81" s="41">
        <v>0</v>
      </c>
      <c r="AU81" s="41">
        <v>0</v>
      </c>
      <c r="AV81" s="43">
        <v>0</v>
      </c>
      <c r="AW81" s="41">
        <v>0</v>
      </c>
      <c r="AX81" s="41">
        <v>0</v>
      </c>
      <c r="AY81" s="41">
        <v>0</v>
      </c>
      <c r="AZ81" s="207">
        <v>0</v>
      </c>
    </row>
    <row r="82" spans="1:52" x14ac:dyDescent="0.35">
      <c r="A82" t="s">
        <v>178</v>
      </c>
      <c r="B82" t="s">
        <v>90</v>
      </c>
      <c r="C82" s="4" t="s">
        <v>145</v>
      </c>
      <c r="D82" s="4" t="s">
        <v>179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9"/>
      <c r="AC82" s="41">
        <v>0</v>
      </c>
      <c r="AD82" s="40">
        <f>[2]H2_ELE!$H$42*'Inputs by region H2'!I$13</f>
        <v>5.6700291220540041E-3</v>
      </c>
      <c r="AE82" s="41">
        <v>0</v>
      </c>
      <c r="AF82" s="43">
        <v>0</v>
      </c>
      <c r="AG82" s="41">
        <v>0</v>
      </c>
      <c r="AH82" s="41">
        <v>0</v>
      </c>
      <c r="AI82" s="41">
        <v>0</v>
      </c>
      <c r="AJ82" s="43">
        <v>0</v>
      </c>
      <c r="AK82" s="41">
        <v>0</v>
      </c>
      <c r="AL82" s="41">
        <v>0</v>
      </c>
      <c r="AM82" s="41">
        <v>0</v>
      </c>
      <c r="AN82" s="43">
        <v>0</v>
      </c>
      <c r="AO82" s="41">
        <v>0</v>
      </c>
      <c r="AP82" s="41">
        <v>0</v>
      </c>
      <c r="AQ82" s="41">
        <v>0</v>
      </c>
      <c r="AR82" s="43">
        <v>0</v>
      </c>
      <c r="AS82" s="41">
        <v>0</v>
      </c>
      <c r="AT82" s="41">
        <v>0</v>
      </c>
      <c r="AU82" s="41">
        <v>0</v>
      </c>
      <c r="AV82" s="43">
        <v>0</v>
      </c>
      <c r="AW82" s="41">
        <v>0</v>
      </c>
      <c r="AX82" s="41">
        <v>0</v>
      </c>
      <c r="AY82" s="41">
        <v>0</v>
      </c>
      <c r="AZ82" s="207">
        <v>0</v>
      </c>
    </row>
    <row r="83" spans="1:52" x14ac:dyDescent="0.35">
      <c r="A83" t="s">
        <v>180</v>
      </c>
      <c r="B83" t="s">
        <v>90</v>
      </c>
      <c r="C83" s="4" t="s">
        <v>181</v>
      </c>
      <c r="D83" s="4" t="s">
        <v>182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9"/>
      <c r="AC83" s="41">
        <v>0</v>
      </c>
      <c r="AD83" s="41">
        <v>0</v>
      </c>
      <c r="AE83" s="41">
        <f>[2]H2_NGSR!$H$44*'Inputs by region H2'!I$14</f>
        <v>0</v>
      </c>
      <c r="AF83" s="43">
        <f>[2]H2_ELE!$H$47*'Inputs by region H2'!I$14</f>
        <v>0</v>
      </c>
      <c r="AG83" s="41">
        <v>0</v>
      </c>
      <c r="AH83" s="41">
        <v>0</v>
      </c>
      <c r="AI83" s="41">
        <v>0</v>
      </c>
      <c r="AJ83" s="43">
        <v>0</v>
      </c>
      <c r="AK83" s="41">
        <v>0</v>
      </c>
      <c r="AL83" s="41">
        <v>0</v>
      </c>
      <c r="AM83" s="41">
        <v>0</v>
      </c>
      <c r="AN83" s="43">
        <v>0</v>
      </c>
      <c r="AO83" s="41">
        <v>0</v>
      </c>
      <c r="AP83" s="41">
        <v>0</v>
      </c>
      <c r="AQ83" s="41">
        <v>0</v>
      </c>
      <c r="AR83" s="43">
        <v>0</v>
      </c>
      <c r="AS83" s="41">
        <v>0</v>
      </c>
      <c r="AT83" s="41">
        <v>0</v>
      </c>
      <c r="AU83" s="41">
        <v>0</v>
      </c>
      <c r="AV83" s="43">
        <v>0</v>
      </c>
      <c r="AW83" s="41">
        <v>0</v>
      </c>
      <c r="AX83" s="41">
        <v>0</v>
      </c>
      <c r="AY83" s="41">
        <v>0</v>
      </c>
      <c r="AZ83" s="207">
        <v>0</v>
      </c>
    </row>
    <row r="84" spans="1:52" x14ac:dyDescent="0.35">
      <c r="A84" t="s">
        <v>197</v>
      </c>
      <c r="B84" t="s">
        <v>90</v>
      </c>
      <c r="C84" s="4" t="s">
        <v>181</v>
      </c>
      <c r="D84" s="4" t="s">
        <v>198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9"/>
      <c r="AC84" s="41">
        <f>[2]H2_NGSR!$H$40*'Inputs by region H2'!I$15</f>
        <v>0</v>
      </c>
      <c r="AD84" s="41">
        <f>[2]H2_ELE!$H$43*'Inputs by region H2'!I$15</f>
        <v>0</v>
      </c>
      <c r="AE84" s="41">
        <f>[2]H2_NGSR!$H$45*'Inputs by region H2'!I$15</f>
        <v>0</v>
      </c>
      <c r="AF84" s="43">
        <f>[2]H2_ELE!$H$48*'Inputs by region H2'!I$15</f>
        <v>0</v>
      </c>
      <c r="AG84" s="41">
        <v>0</v>
      </c>
      <c r="AH84" s="41">
        <v>0</v>
      </c>
      <c r="AI84" s="41">
        <v>0</v>
      </c>
      <c r="AJ84" s="43">
        <v>0</v>
      </c>
      <c r="AK84" s="41">
        <v>0</v>
      </c>
      <c r="AL84" s="41">
        <v>0</v>
      </c>
      <c r="AM84" s="41">
        <v>0</v>
      </c>
      <c r="AN84" s="43">
        <v>0</v>
      </c>
      <c r="AO84" s="41">
        <v>0</v>
      </c>
      <c r="AP84" s="41">
        <v>0</v>
      </c>
      <c r="AQ84" s="41">
        <v>0</v>
      </c>
      <c r="AR84" s="43">
        <v>0</v>
      </c>
      <c r="AS84" s="41">
        <v>0</v>
      </c>
      <c r="AT84" s="41">
        <v>0</v>
      </c>
      <c r="AU84" s="41">
        <v>0</v>
      </c>
      <c r="AV84" s="43">
        <v>0</v>
      </c>
      <c r="AW84" s="41">
        <v>0</v>
      </c>
      <c r="AX84" s="41">
        <v>0</v>
      </c>
      <c r="AY84" s="41">
        <v>0</v>
      </c>
      <c r="AZ84" s="207">
        <v>0</v>
      </c>
    </row>
    <row r="85" spans="1:52" x14ac:dyDescent="0.35">
      <c r="A85" t="s">
        <v>364</v>
      </c>
      <c r="B85" t="s">
        <v>90</v>
      </c>
      <c r="C85" s="4" t="s">
        <v>181</v>
      </c>
      <c r="D85" s="4" t="s">
        <v>200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9"/>
      <c r="AC85" s="41">
        <f>[2]H2_NGSR!$H$40*'Inputs by region H2'!I$16</f>
        <v>0</v>
      </c>
      <c r="AD85" s="41">
        <f>[2]H2_ELE!$H$43*'Inputs by region H2'!I$16</f>
        <v>0</v>
      </c>
      <c r="AE85" s="41">
        <f>[2]H2_NGSR!$H$45*'Inputs by region H2'!I$16</f>
        <v>0</v>
      </c>
      <c r="AF85" s="43">
        <f>[2]H2_ELE!$H$48*'Inputs by region H2'!I$16</f>
        <v>0</v>
      </c>
      <c r="AG85" s="41">
        <v>0</v>
      </c>
      <c r="AH85" s="41">
        <v>0</v>
      </c>
      <c r="AI85" s="41">
        <v>0</v>
      </c>
      <c r="AJ85" s="43">
        <v>0</v>
      </c>
      <c r="AK85" s="41">
        <v>0</v>
      </c>
      <c r="AL85" s="41">
        <v>0</v>
      </c>
      <c r="AM85" s="41">
        <v>0</v>
      </c>
      <c r="AN85" s="43">
        <v>0</v>
      </c>
      <c r="AO85" s="41">
        <v>0</v>
      </c>
      <c r="AP85" s="41">
        <v>0</v>
      </c>
      <c r="AQ85" s="41">
        <v>0</v>
      </c>
      <c r="AR85" s="43">
        <v>0</v>
      </c>
      <c r="AS85" s="41">
        <v>0</v>
      </c>
      <c r="AT85" s="41">
        <v>0</v>
      </c>
      <c r="AU85" s="41">
        <v>0</v>
      </c>
      <c r="AV85" s="43">
        <v>0</v>
      </c>
      <c r="AW85" s="41">
        <v>0</v>
      </c>
      <c r="AX85" s="41">
        <v>0</v>
      </c>
      <c r="AY85" s="41">
        <v>0</v>
      </c>
      <c r="AZ85" s="207">
        <v>0</v>
      </c>
    </row>
    <row r="86" spans="1:52" x14ac:dyDescent="0.35">
      <c r="A86" t="s">
        <v>201</v>
      </c>
      <c r="B86" t="s">
        <v>90</v>
      </c>
      <c r="C86" s="4" t="s">
        <v>181</v>
      </c>
      <c r="D86" s="4" t="s">
        <v>202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9"/>
      <c r="AC86" s="41">
        <f>[2]H2_NGSR!$H$40*'Inputs by region H2'!I$17</f>
        <v>0</v>
      </c>
      <c r="AD86" s="41">
        <f>[2]H2_ELE!$H$43*'Inputs by region H2'!I$17</f>
        <v>0</v>
      </c>
      <c r="AE86" s="41">
        <f>[2]H2_NGSR!$H$45*'Inputs by region H2'!I$17</f>
        <v>0</v>
      </c>
      <c r="AF86" s="43">
        <f>[2]H2_ELE!$H$48*'Inputs by region H2'!I$17</f>
        <v>0</v>
      </c>
      <c r="AG86" s="41">
        <v>0</v>
      </c>
      <c r="AH86" s="41">
        <v>0</v>
      </c>
      <c r="AI86" s="41">
        <v>0</v>
      </c>
      <c r="AJ86" s="43">
        <v>0</v>
      </c>
      <c r="AK86" s="41">
        <v>0</v>
      </c>
      <c r="AL86" s="41">
        <v>0</v>
      </c>
      <c r="AM86" s="41">
        <v>0</v>
      </c>
      <c r="AN86" s="43">
        <v>0</v>
      </c>
      <c r="AO86" s="41">
        <v>0</v>
      </c>
      <c r="AP86" s="41">
        <v>0</v>
      </c>
      <c r="AQ86" s="41">
        <v>0</v>
      </c>
      <c r="AR86" s="43">
        <v>0</v>
      </c>
      <c r="AS86" s="41">
        <v>0</v>
      </c>
      <c r="AT86" s="41">
        <v>0</v>
      </c>
      <c r="AU86" s="41">
        <v>0</v>
      </c>
      <c r="AV86" s="43">
        <v>0</v>
      </c>
      <c r="AW86" s="41">
        <v>0</v>
      </c>
      <c r="AX86" s="41">
        <v>0</v>
      </c>
      <c r="AY86" s="41">
        <v>0</v>
      </c>
      <c r="AZ86" s="207">
        <v>0</v>
      </c>
    </row>
    <row r="87" spans="1:52" ht="15" thickBot="1" x14ac:dyDescent="0.4">
      <c r="A87" t="s">
        <v>193</v>
      </c>
      <c r="B87" t="s">
        <v>90</v>
      </c>
      <c r="C87" s="4" t="s">
        <v>145</v>
      </c>
      <c r="D87" s="4" t="s">
        <v>194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9"/>
      <c r="AC87" s="44">
        <v>0</v>
      </c>
      <c r="AD87" s="45">
        <f>[2]H2_ELE!$H$41*'Inputs by region H2'!I$18</f>
        <v>2.5776238002378116E-3</v>
      </c>
      <c r="AE87" s="45">
        <f>[2]H2_NGSR!$H$43*'Inputs by region H2'!I$18</f>
        <v>28392.594827586207</v>
      </c>
      <c r="AF87" s="46">
        <v>0</v>
      </c>
      <c r="AG87" s="44">
        <v>0</v>
      </c>
      <c r="AH87" s="44">
        <v>0</v>
      </c>
      <c r="AI87" s="44">
        <v>0</v>
      </c>
      <c r="AJ87" s="46">
        <v>0</v>
      </c>
      <c r="AK87" s="44">
        <v>0</v>
      </c>
      <c r="AL87" s="44">
        <v>0</v>
      </c>
      <c r="AM87" s="44">
        <v>0</v>
      </c>
      <c r="AN87" s="46">
        <v>0</v>
      </c>
      <c r="AO87" s="44">
        <v>0</v>
      </c>
      <c r="AP87" s="44">
        <v>0</v>
      </c>
      <c r="AQ87" s="44">
        <v>0</v>
      </c>
      <c r="AR87" s="46">
        <v>0</v>
      </c>
      <c r="AS87" s="44">
        <v>0</v>
      </c>
      <c r="AT87" s="44">
        <v>0</v>
      </c>
      <c r="AU87" s="44">
        <v>0</v>
      </c>
      <c r="AV87" s="46">
        <v>0</v>
      </c>
      <c r="AW87" s="44">
        <v>0</v>
      </c>
      <c r="AX87" s="44">
        <v>0</v>
      </c>
      <c r="AY87" s="44">
        <v>0</v>
      </c>
      <c r="AZ87" s="210">
        <v>0</v>
      </c>
    </row>
    <row r="88" spans="1:52" x14ac:dyDescent="0.35">
      <c r="A88" t="s">
        <v>187</v>
      </c>
      <c r="B88" t="s">
        <v>91</v>
      </c>
      <c r="C88" s="4" t="s">
        <v>145</v>
      </c>
      <c r="D88" s="4" t="s">
        <v>188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9"/>
      <c r="AC88" s="40">
        <f>[2]H2_NGSR!$H$36*'Inputs by region H2'!J$5</f>
        <v>41.4801</v>
      </c>
      <c r="AD88" s="40">
        <f>[2]H2_ELE!$H$40*'Inputs by region H2'!J$12</f>
        <v>1.1485683451306521E-3</v>
      </c>
      <c r="AE88" s="41">
        <v>0</v>
      </c>
      <c r="AF88" s="43">
        <v>0</v>
      </c>
      <c r="AG88" s="41">
        <v>0</v>
      </c>
      <c r="AH88" s="41">
        <v>0</v>
      </c>
      <c r="AI88" s="41">
        <v>0</v>
      </c>
      <c r="AJ88" s="43">
        <v>0</v>
      </c>
      <c r="AK88" s="41">
        <v>0</v>
      </c>
      <c r="AL88" s="41">
        <v>0</v>
      </c>
      <c r="AM88" s="41">
        <v>0</v>
      </c>
      <c r="AN88" s="43">
        <v>0</v>
      </c>
      <c r="AO88" s="41">
        <v>0</v>
      </c>
      <c r="AP88" s="41">
        <v>0</v>
      </c>
      <c r="AQ88" s="41">
        <v>0</v>
      </c>
      <c r="AR88" s="43">
        <v>0</v>
      </c>
      <c r="AS88" s="41">
        <v>0</v>
      </c>
      <c r="AT88" s="41">
        <v>0</v>
      </c>
      <c r="AU88" s="41">
        <v>0</v>
      </c>
      <c r="AV88" s="43">
        <v>0</v>
      </c>
      <c r="AW88" s="41">
        <v>0</v>
      </c>
      <c r="AX88" s="41">
        <v>0</v>
      </c>
      <c r="AY88" s="41">
        <v>0</v>
      </c>
      <c r="AZ88" s="207">
        <v>0</v>
      </c>
    </row>
    <row r="89" spans="1:52" x14ac:dyDescent="0.35">
      <c r="A89" t="s">
        <v>144</v>
      </c>
      <c r="B89" t="s">
        <v>91</v>
      </c>
      <c r="C89" s="4" t="s">
        <v>145</v>
      </c>
      <c r="D89" s="4" t="s">
        <v>361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9"/>
      <c r="AC89" s="40">
        <f>[2]H2_NGSR!$H$39*'Inputs by region H2'!J$6+[2]H2_NGSR!$H$37*'Inputs by region H2'!J$8</f>
        <v>15.771428571428569</v>
      </c>
      <c r="AD89" s="41">
        <v>0</v>
      </c>
      <c r="AE89" s="41">
        <v>0</v>
      </c>
      <c r="AF89" s="43">
        <v>0</v>
      </c>
      <c r="AG89" s="41">
        <v>0</v>
      </c>
      <c r="AH89" s="41">
        <v>0</v>
      </c>
      <c r="AI89" s="41">
        <v>0</v>
      </c>
      <c r="AJ89" s="43">
        <v>0</v>
      </c>
      <c r="AK89" s="41">
        <v>0</v>
      </c>
      <c r="AL89" s="41">
        <v>0</v>
      </c>
      <c r="AM89" s="41">
        <v>0</v>
      </c>
      <c r="AN89" s="43">
        <v>0</v>
      </c>
      <c r="AO89" s="41">
        <v>0</v>
      </c>
      <c r="AP89" s="41">
        <v>0</v>
      </c>
      <c r="AQ89" s="41">
        <v>0</v>
      </c>
      <c r="AR89" s="43">
        <v>0</v>
      </c>
      <c r="AS89" s="41">
        <v>0</v>
      </c>
      <c r="AT89" s="41">
        <v>0</v>
      </c>
      <c r="AU89" s="41">
        <v>0</v>
      </c>
      <c r="AV89" s="43">
        <v>0</v>
      </c>
      <c r="AW89" s="41">
        <v>0</v>
      </c>
      <c r="AX89" s="41">
        <v>0</v>
      </c>
      <c r="AY89" s="41">
        <v>0</v>
      </c>
      <c r="AZ89" s="207">
        <v>0</v>
      </c>
    </row>
    <row r="90" spans="1:52" x14ac:dyDescent="0.35">
      <c r="A90" t="s">
        <v>183</v>
      </c>
      <c r="B90" t="s">
        <v>91</v>
      </c>
      <c r="C90" s="4" t="s">
        <v>145</v>
      </c>
      <c r="D90" s="4" t="s">
        <v>362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9"/>
      <c r="AC90" s="41">
        <v>0</v>
      </c>
      <c r="AD90" s="41">
        <f>[2]H2_ELE!$H$39*'Inputs by region H2'!J$11</f>
        <v>0</v>
      </c>
      <c r="AE90" s="41">
        <v>0</v>
      </c>
      <c r="AF90" s="43">
        <v>0</v>
      </c>
      <c r="AG90" s="41">
        <v>0</v>
      </c>
      <c r="AH90" s="41">
        <v>0</v>
      </c>
      <c r="AI90" s="41">
        <v>0</v>
      </c>
      <c r="AJ90" s="43">
        <v>0</v>
      </c>
      <c r="AK90" s="41">
        <v>0</v>
      </c>
      <c r="AL90" s="41">
        <v>0</v>
      </c>
      <c r="AM90" s="41">
        <v>0</v>
      </c>
      <c r="AN90" s="43">
        <v>0</v>
      </c>
      <c r="AO90" s="41">
        <v>0</v>
      </c>
      <c r="AP90" s="41">
        <v>0</v>
      </c>
      <c r="AQ90" s="41">
        <v>0</v>
      </c>
      <c r="AR90" s="43">
        <v>0</v>
      </c>
      <c r="AS90" s="41">
        <v>0</v>
      </c>
      <c r="AT90" s="41">
        <v>0</v>
      </c>
      <c r="AU90" s="41">
        <v>0</v>
      </c>
      <c r="AV90" s="43">
        <v>0</v>
      </c>
      <c r="AW90" s="41">
        <v>0</v>
      </c>
      <c r="AX90" s="41">
        <v>0</v>
      </c>
      <c r="AY90" s="41">
        <v>0</v>
      </c>
      <c r="AZ90" s="207">
        <v>0</v>
      </c>
    </row>
    <row r="91" spans="1:52" x14ac:dyDescent="0.35">
      <c r="A91" t="s">
        <v>172</v>
      </c>
      <c r="B91" t="s">
        <v>91</v>
      </c>
      <c r="C91" s="4" t="s">
        <v>145</v>
      </c>
      <c r="D91" s="4" t="s">
        <v>363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9"/>
      <c r="AC91" s="40">
        <f>[2]H2_NGSR!$H$38*'Inputs by region H2'!J$7</f>
        <v>8.7507175559917313E-2</v>
      </c>
      <c r="AD91" s="41">
        <v>0</v>
      </c>
      <c r="AE91" s="41">
        <v>0</v>
      </c>
      <c r="AF91" s="43">
        <v>0</v>
      </c>
      <c r="AG91" s="41">
        <v>0</v>
      </c>
      <c r="AH91" s="41">
        <v>0</v>
      </c>
      <c r="AI91" s="41">
        <v>0</v>
      </c>
      <c r="AJ91" s="43">
        <v>0</v>
      </c>
      <c r="AK91" s="41">
        <v>0</v>
      </c>
      <c r="AL91" s="41">
        <v>0</v>
      </c>
      <c r="AM91" s="41">
        <v>0</v>
      </c>
      <c r="AN91" s="43">
        <v>0</v>
      </c>
      <c r="AO91" s="41">
        <v>0</v>
      </c>
      <c r="AP91" s="41">
        <v>0</v>
      </c>
      <c r="AQ91" s="41">
        <v>0</v>
      </c>
      <c r="AR91" s="43">
        <v>0</v>
      </c>
      <c r="AS91" s="41">
        <v>0</v>
      </c>
      <c r="AT91" s="41">
        <v>0</v>
      </c>
      <c r="AU91" s="41">
        <v>0</v>
      </c>
      <c r="AV91" s="43">
        <v>0</v>
      </c>
      <c r="AW91" s="41">
        <v>0</v>
      </c>
      <c r="AX91" s="41">
        <v>0</v>
      </c>
      <c r="AY91" s="41">
        <v>0</v>
      </c>
      <c r="AZ91" s="207">
        <v>0</v>
      </c>
    </row>
    <row r="92" spans="1:52" x14ac:dyDescent="0.35">
      <c r="A92" t="s">
        <v>174</v>
      </c>
      <c r="B92" t="s">
        <v>91</v>
      </c>
      <c r="C92" s="4" t="s">
        <v>145</v>
      </c>
      <c r="D92" s="4" t="s">
        <v>175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9"/>
      <c r="AC92" s="41">
        <v>0</v>
      </c>
      <c r="AD92" s="40">
        <f>[2]H2_ELE!$H$37*'Inputs by region H2'!J$9</f>
        <v>5.3791732332439677E-3</v>
      </c>
      <c r="AE92" s="41">
        <v>0</v>
      </c>
      <c r="AF92" s="43">
        <v>0</v>
      </c>
      <c r="AG92" s="41">
        <v>0</v>
      </c>
      <c r="AH92" s="41">
        <v>0</v>
      </c>
      <c r="AI92" s="41">
        <v>0</v>
      </c>
      <c r="AJ92" s="43">
        <v>0</v>
      </c>
      <c r="AK92" s="41">
        <v>0</v>
      </c>
      <c r="AL92" s="41">
        <v>0</v>
      </c>
      <c r="AM92" s="41">
        <v>0</v>
      </c>
      <c r="AN92" s="43">
        <v>0</v>
      </c>
      <c r="AO92" s="41">
        <v>0</v>
      </c>
      <c r="AP92" s="41">
        <v>0</v>
      </c>
      <c r="AQ92" s="41">
        <v>0</v>
      </c>
      <c r="AR92" s="43">
        <v>0</v>
      </c>
      <c r="AS92" s="41">
        <v>0</v>
      </c>
      <c r="AT92" s="41">
        <v>0</v>
      </c>
      <c r="AU92" s="41">
        <v>0</v>
      </c>
      <c r="AV92" s="43">
        <v>0</v>
      </c>
      <c r="AW92" s="41">
        <v>0</v>
      </c>
      <c r="AX92" s="41">
        <v>0</v>
      </c>
      <c r="AY92" s="41">
        <v>0</v>
      </c>
      <c r="AZ92" s="207">
        <v>0</v>
      </c>
    </row>
    <row r="93" spans="1:52" x14ac:dyDescent="0.35">
      <c r="A93" t="s">
        <v>176</v>
      </c>
      <c r="B93" t="s">
        <v>91</v>
      </c>
      <c r="C93" s="4" t="s">
        <v>145</v>
      </c>
      <c r="D93" s="4" t="s">
        <v>177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9"/>
      <c r="AC93" s="41">
        <v>0</v>
      </c>
      <c r="AD93" s="40">
        <f>[2]H2_ELE!$H$38*'Inputs by region H2'!J$10</f>
        <v>6.5526133182607291E-3</v>
      </c>
      <c r="AE93" s="41">
        <v>0</v>
      </c>
      <c r="AF93" s="43">
        <v>0</v>
      </c>
      <c r="AG93" s="41">
        <v>0</v>
      </c>
      <c r="AH93" s="41">
        <v>0</v>
      </c>
      <c r="AI93" s="41">
        <v>0</v>
      </c>
      <c r="AJ93" s="43">
        <v>0</v>
      </c>
      <c r="AK93" s="41">
        <v>0</v>
      </c>
      <c r="AL93" s="41">
        <v>0</v>
      </c>
      <c r="AM93" s="41">
        <v>0</v>
      </c>
      <c r="AN93" s="43">
        <v>0</v>
      </c>
      <c r="AO93" s="41">
        <v>0</v>
      </c>
      <c r="AP93" s="41">
        <v>0</v>
      </c>
      <c r="AQ93" s="41">
        <v>0</v>
      </c>
      <c r="AR93" s="43">
        <v>0</v>
      </c>
      <c r="AS93" s="41">
        <v>0</v>
      </c>
      <c r="AT93" s="41">
        <v>0</v>
      </c>
      <c r="AU93" s="41">
        <v>0</v>
      </c>
      <c r="AV93" s="43">
        <v>0</v>
      </c>
      <c r="AW93" s="41">
        <v>0</v>
      </c>
      <c r="AX93" s="41">
        <v>0</v>
      </c>
      <c r="AY93" s="41">
        <v>0</v>
      </c>
      <c r="AZ93" s="207">
        <v>0</v>
      </c>
    </row>
    <row r="94" spans="1:52" x14ac:dyDescent="0.35">
      <c r="A94" t="s">
        <v>178</v>
      </c>
      <c r="B94" t="s">
        <v>91</v>
      </c>
      <c r="C94" s="4" t="s">
        <v>145</v>
      </c>
      <c r="D94" s="4" t="s">
        <v>179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9"/>
      <c r="AC94" s="41">
        <v>0</v>
      </c>
      <c r="AD94" s="40">
        <f>[2]H2_ELE!$H$42*'Inputs by region H2'!J$13</f>
        <v>2.464950959887623E-4</v>
      </c>
      <c r="AE94" s="41">
        <v>0</v>
      </c>
      <c r="AF94" s="43">
        <v>0</v>
      </c>
      <c r="AG94" s="41">
        <v>0</v>
      </c>
      <c r="AH94" s="41">
        <v>0</v>
      </c>
      <c r="AI94" s="41">
        <v>0</v>
      </c>
      <c r="AJ94" s="43">
        <v>0</v>
      </c>
      <c r="AK94" s="41">
        <v>0</v>
      </c>
      <c r="AL94" s="41">
        <v>0</v>
      </c>
      <c r="AM94" s="41">
        <v>0</v>
      </c>
      <c r="AN94" s="43">
        <v>0</v>
      </c>
      <c r="AO94" s="41">
        <v>0</v>
      </c>
      <c r="AP94" s="41">
        <v>0</v>
      </c>
      <c r="AQ94" s="41">
        <v>0</v>
      </c>
      <c r="AR94" s="43">
        <v>0</v>
      </c>
      <c r="AS94" s="41">
        <v>0</v>
      </c>
      <c r="AT94" s="41">
        <v>0</v>
      </c>
      <c r="AU94" s="41">
        <v>0</v>
      </c>
      <c r="AV94" s="43">
        <v>0</v>
      </c>
      <c r="AW94" s="41">
        <v>0</v>
      </c>
      <c r="AX94" s="41">
        <v>0</v>
      </c>
      <c r="AY94" s="41">
        <v>0</v>
      </c>
      <c r="AZ94" s="207">
        <v>0</v>
      </c>
    </row>
    <row r="95" spans="1:52" x14ac:dyDescent="0.35">
      <c r="A95" t="s">
        <v>180</v>
      </c>
      <c r="B95" t="s">
        <v>91</v>
      </c>
      <c r="C95" s="4" t="s">
        <v>181</v>
      </c>
      <c r="D95" s="4" t="s">
        <v>182</v>
      </c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9"/>
      <c r="AC95" s="41">
        <v>0</v>
      </c>
      <c r="AD95" s="41">
        <v>0</v>
      </c>
      <c r="AE95" s="41">
        <f>[2]H2_NGSR!$H$44*'Inputs by region H2'!J$14</f>
        <v>0</v>
      </c>
      <c r="AF95" s="43">
        <f>[2]H2_ELE!$H$47*'Inputs by region H2'!J$14</f>
        <v>0</v>
      </c>
      <c r="AG95" s="41">
        <v>0</v>
      </c>
      <c r="AH95" s="41">
        <v>0</v>
      </c>
      <c r="AI95" s="41">
        <v>0</v>
      </c>
      <c r="AJ95" s="43">
        <v>0</v>
      </c>
      <c r="AK95" s="41">
        <v>0</v>
      </c>
      <c r="AL95" s="41">
        <v>0</v>
      </c>
      <c r="AM95" s="41">
        <v>0</v>
      </c>
      <c r="AN95" s="43">
        <v>0</v>
      </c>
      <c r="AO95" s="41">
        <v>0</v>
      </c>
      <c r="AP95" s="41">
        <v>0</v>
      </c>
      <c r="AQ95" s="41">
        <v>0</v>
      </c>
      <c r="AR95" s="43">
        <v>0</v>
      </c>
      <c r="AS95" s="41">
        <v>0</v>
      </c>
      <c r="AT95" s="41">
        <v>0</v>
      </c>
      <c r="AU95" s="41">
        <v>0</v>
      </c>
      <c r="AV95" s="43">
        <v>0</v>
      </c>
      <c r="AW95" s="41">
        <v>0</v>
      </c>
      <c r="AX95" s="41">
        <v>0</v>
      </c>
      <c r="AY95" s="41">
        <v>0</v>
      </c>
      <c r="AZ95" s="207">
        <v>0</v>
      </c>
    </row>
    <row r="96" spans="1:52" x14ac:dyDescent="0.35">
      <c r="A96" t="s">
        <v>197</v>
      </c>
      <c r="B96" t="s">
        <v>91</v>
      </c>
      <c r="C96" s="4" t="s">
        <v>181</v>
      </c>
      <c r="D96" s="4" t="s">
        <v>198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9"/>
      <c r="AC96" s="41">
        <f>[2]H2_NGSR!$H$40*'Inputs by region H2'!J$15</f>
        <v>0</v>
      </c>
      <c r="AD96" s="41">
        <f>[2]H2_ELE!$H$43*'Inputs by region H2'!J$15</f>
        <v>0</v>
      </c>
      <c r="AE96" s="41">
        <f>[2]H2_NGSR!$H$45*'Inputs by region H2'!J$15</f>
        <v>0</v>
      </c>
      <c r="AF96" s="43">
        <f>[2]H2_ELE!$H$48*'Inputs by region H2'!J$15</f>
        <v>0</v>
      </c>
      <c r="AG96" s="41">
        <v>0</v>
      </c>
      <c r="AH96" s="41">
        <v>0</v>
      </c>
      <c r="AI96" s="41">
        <v>0</v>
      </c>
      <c r="AJ96" s="43">
        <v>0</v>
      </c>
      <c r="AK96" s="41">
        <v>0</v>
      </c>
      <c r="AL96" s="41">
        <v>0</v>
      </c>
      <c r="AM96" s="41">
        <v>0</v>
      </c>
      <c r="AN96" s="43">
        <v>0</v>
      </c>
      <c r="AO96" s="41">
        <v>0</v>
      </c>
      <c r="AP96" s="41">
        <v>0</v>
      </c>
      <c r="AQ96" s="41">
        <v>0</v>
      </c>
      <c r="AR96" s="43">
        <v>0</v>
      </c>
      <c r="AS96" s="41">
        <v>0</v>
      </c>
      <c r="AT96" s="41">
        <v>0</v>
      </c>
      <c r="AU96" s="41">
        <v>0</v>
      </c>
      <c r="AV96" s="43">
        <v>0</v>
      </c>
      <c r="AW96" s="41">
        <v>0</v>
      </c>
      <c r="AX96" s="41">
        <v>0</v>
      </c>
      <c r="AY96" s="41">
        <v>0</v>
      </c>
      <c r="AZ96" s="207">
        <v>0</v>
      </c>
    </row>
    <row r="97" spans="1:52" x14ac:dyDescent="0.35">
      <c r="A97" t="s">
        <v>364</v>
      </c>
      <c r="B97" t="s">
        <v>91</v>
      </c>
      <c r="C97" s="4" t="s">
        <v>181</v>
      </c>
      <c r="D97" s="4" t="s">
        <v>200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9"/>
      <c r="AC97" s="41">
        <f>[2]H2_NGSR!$H$40*'Inputs by region H2'!J$16</f>
        <v>0</v>
      </c>
      <c r="AD97" s="41">
        <f>[2]H2_ELE!$H$43*'Inputs by region H2'!J$16</f>
        <v>0</v>
      </c>
      <c r="AE97" s="41">
        <f>[2]H2_NGSR!$H$45*'Inputs by region H2'!J$16</f>
        <v>0</v>
      </c>
      <c r="AF97" s="43">
        <f>[2]H2_ELE!$H$48*'Inputs by region H2'!J$16</f>
        <v>0</v>
      </c>
      <c r="AG97" s="41">
        <v>0</v>
      </c>
      <c r="AH97" s="41">
        <v>0</v>
      </c>
      <c r="AI97" s="41">
        <v>0</v>
      </c>
      <c r="AJ97" s="43">
        <v>0</v>
      </c>
      <c r="AK97" s="41">
        <v>0</v>
      </c>
      <c r="AL97" s="41">
        <v>0</v>
      </c>
      <c r="AM97" s="41">
        <v>0</v>
      </c>
      <c r="AN97" s="43">
        <v>0</v>
      </c>
      <c r="AO97" s="41">
        <v>0</v>
      </c>
      <c r="AP97" s="41">
        <v>0</v>
      </c>
      <c r="AQ97" s="41">
        <v>0</v>
      </c>
      <c r="AR97" s="43">
        <v>0</v>
      </c>
      <c r="AS97" s="41">
        <v>0</v>
      </c>
      <c r="AT97" s="41">
        <v>0</v>
      </c>
      <c r="AU97" s="41">
        <v>0</v>
      </c>
      <c r="AV97" s="43">
        <v>0</v>
      </c>
      <c r="AW97" s="41">
        <v>0</v>
      </c>
      <c r="AX97" s="41">
        <v>0</v>
      </c>
      <c r="AY97" s="41">
        <v>0</v>
      </c>
      <c r="AZ97" s="207">
        <v>0</v>
      </c>
    </row>
    <row r="98" spans="1:52" x14ac:dyDescent="0.35">
      <c r="A98" t="s">
        <v>201</v>
      </c>
      <c r="B98" t="s">
        <v>91</v>
      </c>
      <c r="C98" s="4" t="s">
        <v>181</v>
      </c>
      <c r="D98" s="4" t="s">
        <v>202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9"/>
      <c r="AC98" s="41">
        <f>[2]H2_NGSR!$H$40*'Inputs by region H2'!J$17</f>
        <v>0</v>
      </c>
      <c r="AD98" s="41">
        <f>[2]H2_ELE!$H$43*'Inputs by region H2'!J$17</f>
        <v>0</v>
      </c>
      <c r="AE98" s="41">
        <f>[2]H2_NGSR!$H$45*'Inputs by region H2'!J$17</f>
        <v>0</v>
      </c>
      <c r="AF98" s="43">
        <f>[2]H2_ELE!$H$48*'Inputs by region H2'!J$17</f>
        <v>0</v>
      </c>
      <c r="AG98" s="41">
        <v>0</v>
      </c>
      <c r="AH98" s="41">
        <v>0</v>
      </c>
      <c r="AI98" s="41">
        <v>0</v>
      </c>
      <c r="AJ98" s="43">
        <v>0</v>
      </c>
      <c r="AK98" s="41">
        <v>0</v>
      </c>
      <c r="AL98" s="41">
        <v>0</v>
      </c>
      <c r="AM98" s="41">
        <v>0</v>
      </c>
      <c r="AN98" s="43">
        <v>0</v>
      </c>
      <c r="AO98" s="41">
        <v>0</v>
      </c>
      <c r="AP98" s="41">
        <v>0</v>
      </c>
      <c r="AQ98" s="41">
        <v>0</v>
      </c>
      <c r="AR98" s="43">
        <v>0</v>
      </c>
      <c r="AS98" s="41">
        <v>0</v>
      </c>
      <c r="AT98" s="41">
        <v>0</v>
      </c>
      <c r="AU98" s="41">
        <v>0</v>
      </c>
      <c r="AV98" s="43">
        <v>0</v>
      </c>
      <c r="AW98" s="41">
        <v>0</v>
      </c>
      <c r="AX98" s="41">
        <v>0</v>
      </c>
      <c r="AY98" s="41">
        <v>0</v>
      </c>
      <c r="AZ98" s="207">
        <v>0</v>
      </c>
    </row>
    <row r="99" spans="1:52" ht="15" thickBot="1" x14ac:dyDescent="0.4">
      <c r="A99" t="s">
        <v>193</v>
      </c>
      <c r="B99" t="s">
        <v>91</v>
      </c>
      <c r="C99" s="4" t="s">
        <v>145</v>
      </c>
      <c r="D99" s="4" t="s">
        <v>194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9"/>
      <c r="AC99" s="44">
        <v>0</v>
      </c>
      <c r="AD99" s="45">
        <f>[2]H2_ELE!$H$41*'Inputs by region H2'!J$18</f>
        <v>0</v>
      </c>
      <c r="AE99" s="45">
        <f>[2]H2_NGSR!$H$43*'Inputs by region H2'!J$18</f>
        <v>0</v>
      </c>
      <c r="AF99" s="46">
        <v>0</v>
      </c>
      <c r="AG99" s="44">
        <v>0</v>
      </c>
      <c r="AH99" s="44">
        <v>0</v>
      </c>
      <c r="AI99" s="44">
        <v>0</v>
      </c>
      <c r="AJ99" s="46">
        <v>0</v>
      </c>
      <c r="AK99" s="44">
        <v>0</v>
      </c>
      <c r="AL99" s="44">
        <v>0</v>
      </c>
      <c r="AM99" s="44">
        <v>0</v>
      </c>
      <c r="AN99" s="46">
        <v>0</v>
      </c>
      <c r="AO99" s="44">
        <v>0</v>
      </c>
      <c r="AP99" s="44">
        <v>0</v>
      </c>
      <c r="AQ99" s="44">
        <v>0</v>
      </c>
      <c r="AR99" s="46">
        <v>0</v>
      </c>
      <c r="AS99" s="44">
        <v>0</v>
      </c>
      <c r="AT99" s="44">
        <v>0</v>
      </c>
      <c r="AU99" s="44">
        <v>0</v>
      </c>
      <c r="AV99" s="46">
        <v>0</v>
      </c>
      <c r="AW99" s="44">
        <v>0</v>
      </c>
      <c r="AX99" s="44">
        <v>0</v>
      </c>
      <c r="AY99" s="44">
        <v>0</v>
      </c>
      <c r="AZ99" s="210">
        <v>0</v>
      </c>
    </row>
    <row r="100" spans="1:52" x14ac:dyDescent="0.35">
      <c r="A100" t="s">
        <v>187</v>
      </c>
      <c r="B100" t="s">
        <v>92</v>
      </c>
      <c r="C100" s="4" t="s">
        <v>145</v>
      </c>
      <c r="D100" s="4" t="s">
        <v>188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9"/>
      <c r="AC100" s="40">
        <f>[2]H2_NGSR!$H$36*'Inputs by region H2'!K$5</f>
        <v>13.3146</v>
      </c>
      <c r="AD100" s="41">
        <f>[2]H2_ELE!$H$40*'Inputs by region H2'!K$12</f>
        <v>0</v>
      </c>
      <c r="AE100" s="41">
        <v>0</v>
      </c>
      <c r="AF100" s="43">
        <v>0</v>
      </c>
      <c r="AG100" s="41">
        <v>0</v>
      </c>
      <c r="AH100" s="41">
        <v>0</v>
      </c>
      <c r="AI100" s="41">
        <v>0</v>
      </c>
      <c r="AJ100" s="43">
        <v>0</v>
      </c>
      <c r="AK100" s="41">
        <v>0</v>
      </c>
      <c r="AL100" s="41">
        <v>0</v>
      </c>
      <c r="AM100" s="41">
        <v>0</v>
      </c>
      <c r="AN100" s="43">
        <v>0</v>
      </c>
      <c r="AO100" s="41">
        <v>0</v>
      </c>
      <c r="AP100" s="41">
        <v>0</v>
      </c>
      <c r="AQ100" s="41">
        <v>0</v>
      </c>
      <c r="AR100" s="43">
        <v>0</v>
      </c>
      <c r="AS100" s="41">
        <v>0</v>
      </c>
      <c r="AT100" s="41">
        <v>0</v>
      </c>
      <c r="AU100" s="41">
        <v>0</v>
      </c>
      <c r="AV100" s="43">
        <v>0</v>
      </c>
      <c r="AW100" s="41">
        <v>0</v>
      </c>
      <c r="AX100" s="41">
        <v>0</v>
      </c>
      <c r="AY100" s="41">
        <v>0</v>
      </c>
      <c r="AZ100" s="207">
        <v>0</v>
      </c>
    </row>
    <row r="101" spans="1:52" x14ac:dyDescent="0.35">
      <c r="A101" t="s">
        <v>144</v>
      </c>
      <c r="B101" t="s">
        <v>92</v>
      </c>
      <c r="C101" s="4" t="s">
        <v>145</v>
      </c>
      <c r="D101" s="4" t="s">
        <v>361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9"/>
      <c r="AC101" s="40">
        <f>[2]H2_NGSR!$H$39*'Inputs by region H2'!K$6+[2]H2_NGSR!$H$37*'Inputs by region H2'!K$8</f>
        <v>6.6239999999999997</v>
      </c>
      <c r="AD101" s="41">
        <v>0</v>
      </c>
      <c r="AE101" s="41">
        <v>0</v>
      </c>
      <c r="AF101" s="43">
        <v>0</v>
      </c>
      <c r="AG101" s="41">
        <v>0</v>
      </c>
      <c r="AH101" s="41">
        <v>0</v>
      </c>
      <c r="AI101" s="41">
        <v>0</v>
      </c>
      <c r="AJ101" s="43">
        <v>0</v>
      </c>
      <c r="AK101" s="41">
        <v>0</v>
      </c>
      <c r="AL101" s="41">
        <v>0</v>
      </c>
      <c r="AM101" s="41">
        <v>0</v>
      </c>
      <c r="AN101" s="43">
        <v>0</v>
      </c>
      <c r="AO101" s="41">
        <v>0</v>
      </c>
      <c r="AP101" s="41">
        <v>0</v>
      </c>
      <c r="AQ101" s="41">
        <v>0</v>
      </c>
      <c r="AR101" s="43">
        <v>0</v>
      </c>
      <c r="AS101" s="41">
        <v>0</v>
      </c>
      <c r="AT101" s="41">
        <v>0</v>
      </c>
      <c r="AU101" s="41">
        <v>0</v>
      </c>
      <c r="AV101" s="43">
        <v>0</v>
      </c>
      <c r="AW101" s="41">
        <v>0</v>
      </c>
      <c r="AX101" s="41">
        <v>0</v>
      </c>
      <c r="AY101" s="41">
        <v>0</v>
      </c>
      <c r="AZ101" s="207">
        <v>0</v>
      </c>
    </row>
    <row r="102" spans="1:52" x14ac:dyDescent="0.35">
      <c r="A102" t="s">
        <v>183</v>
      </c>
      <c r="B102" t="s">
        <v>92</v>
      </c>
      <c r="C102" s="4" t="s">
        <v>145</v>
      </c>
      <c r="D102" s="4" t="s">
        <v>362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9"/>
      <c r="AC102" s="41">
        <v>0</v>
      </c>
      <c r="AD102" s="41">
        <f>[2]H2_ELE!$H$39*'Inputs by region H2'!K$11</f>
        <v>0</v>
      </c>
      <c r="AE102" s="41">
        <v>0</v>
      </c>
      <c r="AF102" s="43">
        <v>0</v>
      </c>
      <c r="AG102" s="41">
        <v>0</v>
      </c>
      <c r="AH102" s="41">
        <v>0</v>
      </c>
      <c r="AI102" s="41">
        <v>0</v>
      </c>
      <c r="AJ102" s="43">
        <v>0</v>
      </c>
      <c r="AK102" s="41">
        <v>0</v>
      </c>
      <c r="AL102" s="41">
        <v>0</v>
      </c>
      <c r="AM102" s="41">
        <v>0</v>
      </c>
      <c r="AN102" s="43">
        <v>0</v>
      </c>
      <c r="AO102" s="41">
        <v>0</v>
      </c>
      <c r="AP102" s="41">
        <v>0</v>
      </c>
      <c r="AQ102" s="41">
        <v>0</v>
      </c>
      <c r="AR102" s="43">
        <v>0</v>
      </c>
      <c r="AS102" s="41">
        <v>0</v>
      </c>
      <c r="AT102" s="41">
        <v>0</v>
      </c>
      <c r="AU102" s="41">
        <v>0</v>
      </c>
      <c r="AV102" s="43">
        <v>0</v>
      </c>
      <c r="AW102" s="41">
        <v>0</v>
      </c>
      <c r="AX102" s="41">
        <v>0</v>
      </c>
      <c r="AY102" s="41">
        <v>0</v>
      </c>
      <c r="AZ102" s="207">
        <v>0</v>
      </c>
    </row>
    <row r="103" spans="1:52" x14ac:dyDescent="0.35">
      <c r="A103" t="s">
        <v>172</v>
      </c>
      <c r="B103" t="s">
        <v>92</v>
      </c>
      <c r="C103" s="4" t="s">
        <v>145</v>
      </c>
      <c r="D103" s="4" t="s">
        <v>363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9"/>
      <c r="AC103" s="40">
        <f>[2]H2_NGSR!$H$38*'Inputs by region H2'!K$7</f>
        <v>6.0040746268656714E-2</v>
      </c>
      <c r="AD103" s="41">
        <v>0</v>
      </c>
      <c r="AE103" s="41">
        <v>0</v>
      </c>
      <c r="AF103" s="43">
        <v>0</v>
      </c>
      <c r="AG103" s="41">
        <v>0</v>
      </c>
      <c r="AH103" s="41">
        <v>0</v>
      </c>
      <c r="AI103" s="41">
        <v>0</v>
      </c>
      <c r="AJ103" s="43">
        <v>0</v>
      </c>
      <c r="AK103" s="41">
        <v>0</v>
      </c>
      <c r="AL103" s="41">
        <v>0</v>
      </c>
      <c r="AM103" s="41">
        <v>0</v>
      </c>
      <c r="AN103" s="43">
        <v>0</v>
      </c>
      <c r="AO103" s="41">
        <v>0</v>
      </c>
      <c r="AP103" s="41">
        <v>0</v>
      </c>
      <c r="AQ103" s="41">
        <v>0</v>
      </c>
      <c r="AR103" s="43">
        <v>0</v>
      </c>
      <c r="AS103" s="41">
        <v>0</v>
      </c>
      <c r="AT103" s="41">
        <v>0</v>
      </c>
      <c r="AU103" s="41">
        <v>0</v>
      </c>
      <c r="AV103" s="43">
        <v>0</v>
      </c>
      <c r="AW103" s="41">
        <v>0</v>
      </c>
      <c r="AX103" s="41">
        <v>0</v>
      </c>
      <c r="AY103" s="41">
        <v>0</v>
      </c>
      <c r="AZ103" s="207">
        <v>0</v>
      </c>
    </row>
    <row r="104" spans="1:52" x14ac:dyDescent="0.35">
      <c r="A104" t="s">
        <v>174</v>
      </c>
      <c r="B104" t="s">
        <v>92</v>
      </c>
      <c r="C104" s="4" t="s">
        <v>145</v>
      </c>
      <c r="D104" s="4" t="s">
        <v>175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9"/>
      <c r="AC104" s="41">
        <v>0</v>
      </c>
      <c r="AD104" s="40">
        <f>[2]H2_ELE!$H$37*'Inputs by region H2'!K$9</f>
        <v>3.3497344343163542E-3</v>
      </c>
      <c r="AE104" s="41">
        <v>0</v>
      </c>
      <c r="AF104" s="43">
        <v>0</v>
      </c>
      <c r="AG104" s="41">
        <v>0</v>
      </c>
      <c r="AH104" s="41">
        <v>0</v>
      </c>
      <c r="AI104" s="41">
        <v>0</v>
      </c>
      <c r="AJ104" s="43">
        <v>0</v>
      </c>
      <c r="AK104" s="41">
        <v>0</v>
      </c>
      <c r="AL104" s="41">
        <v>0</v>
      </c>
      <c r="AM104" s="41">
        <v>0</v>
      </c>
      <c r="AN104" s="43">
        <v>0</v>
      </c>
      <c r="AO104" s="41">
        <v>0</v>
      </c>
      <c r="AP104" s="41">
        <v>0</v>
      </c>
      <c r="AQ104" s="41">
        <v>0</v>
      </c>
      <c r="AR104" s="43">
        <v>0</v>
      </c>
      <c r="AS104" s="41">
        <v>0</v>
      </c>
      <c r="AT104" s="41">
        <v>0</v>
      </c>
      <c r="AU104" s="41">
        <v>0</v>
      </c>
      <c r="AV104" s="43">
        <v>0</v>
      </c>
      <c r="AW104" s="41">
        <v>0</v>
      </c>
      <c r="AX104" s="41">
        <v>0</v>
      </c>
      <c r="AY104" s="41">
        <v>0</v>
      </c>
      <c r="AZ104" s="207">
        <v>0</v>
      </c>
    </row>
    <row r="105" spans="1:52" x14ac:dyDescent="0.35">
      <c r="A105" t="s">
        <v>176</v>
      </c>
      <c r="B105" t="s">
        <v>92</v>
      </c>
      <c r="C105" s="4" t="s">
        <v>145</v>
      </c>
      <c r="D105" s="4" t="s">
        <v>177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9"/>
      <c r="AC105" s="41">
        <v>0</v>
      </c>
      <c r="AD105" s="40">
        <f>[2]H2_ELE!$H$38*'Inputs by region H2'!K$10</f>
        <v>6.0269323460777589E-3</v>
      </c>
      <c r="AE105" s="41">
        <v>0</v>
      </c>
      <c r="AF105" s="43">
        <v>0</v>
      </c>
      <c r="AG105" s="41">
        <v>0</v>
      </c>
      <c r="AH105" s="41">
        <v>0</v>
      </c>
      <c r="AI105" s="41">
        <v>0</v>
      </c>
      <c r="AJ105" s="43">
        <v>0</v>
      </c>
      <c r="AK105" s="41">
        <v>0</v>
      </c>
      <c r="AL105" s="41">
        <v>0</v>
      </c>
      <c r="AM105" s="41">
        <v>0</v>
      </c>
      <c r="AN105" s="43">
        <v>0</v>
      </c>
      <c r="AO105" s="41">
        <v>0</v>
      </c>
      <c r="AP105" s="41">
        <v>0</v>
      </c>
      <c r="AQ105" s="41">
        <v>0</v>
      </c>
      <c r="AR105" s="43">
        <v>0</v>
      </c>
      <c r="AS105" s="41">
        <v>0</v>
      </c>
      <c r="AT105" s="41">
        <v>0</v>
      </c>
      <c r="AU105" s="41">
        <v>0</v>
      </c>
      <c r="AV105" s="43">
        <v>0</v>
      </c>
      <c r="AW105" s="41">
        <v>0</v>
      </c>
      <c r="AX105" s="41">
        <v>0</v>
      </c>
      <c r="AY105" s="41">
        <v>0</v>
      </c>
      <c r="AZ105" s="207">
        <v>0</v>
      </c>
    </row>
    <row r="106" spans="1:52" x14ac:dyDescent="0.35">
      <c r="A106" t="s">
        <v>178</v>
      </c>
      <c r="B106" t="s">
        <v>92</v>
      </c>
      <c r="C106" s="4" t="s">
        <v>145</v>
      </c>
      <c r="D106" s="4" t="s">
        <v>179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9"/>
      <c r="AC106" s="41">
        <v>0</v>
      </c>
      <c r="AD106" s="40">
        <f>[2]H2_ELE!$H$42*'Inputs by region H2'!K$13</f>
        <v>4.0947713992508196E-3</v>
      </c>
      <c r="AE106" s="41">
        <v>0</v>
      </c>
      <c r="AF106" s="43">
        <v>0</v>
      </c>
      <c r="AG106" s="41">
        <v>0</v>
      </c>
      <c r="AH106" s="41">
        <v>0</v>
      </c>
      <c r="AI106" s="41">
        <v>0</v>
      </c>
      <c r="AJ106" s="43">
        <v>0</v>
      </c>
      <c r="AK106" s="41">
        <v>0</v>
      </c>
      <c r="AL106" s="41">
        <v>0</v>
      </c>
      <c r="AM106" s="41">
        <v>0</v>
      </c>
      <c r="AN106" s="43">
        <v>0</v>
      </c>
      <c r="AO106" s="41">
        <v>0</v>
      </c>
      <c r="AP106" s="41">
        <v>0</v>
      </c>
      <c r="AQ106" s="41">
        <v>0</v>
      </c>
      <c r="AR106" s="43">
        <v>0</v>
      </c>
      <c r="AS106" s="41">
        <v>0</v>
      </c>
      <c r="AT106" s="41">
        <v>0</v>
      </c>
      <c r="AU106" s="41">
        <v>0</v>
      </c>
      <c r="AV106" s="43">
        <v>0</v>
      </c>
      <c r="AW106" s="41">
        <v>0</v>
      </c>
      <c r="AX106" s="41">
        <v>0</v>
      </c>
      <c r="AY106" s="41">
        <v>0</v>
      </c>
      <c r="AZ106" s="207">
        <v>0</v>
      </c>
    </row>
    <row r="107" spans="1:52" x14ac:dyDescent="0.35">
      <c r="A107" t="s">
        <v>180</v>
      </c>
      <c r="B107" t="s">
        <v>92</v>
      </c>
      <c r="C107" s="4" t="s">
        <v>181</v>
      </c>
      <c r="D107" s="4" t="s">
        <v>182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9"/>
      <c r="AC107" s="41">
        <v>0</v>
      </c>
      <c r="AD107" s="41">
        <v>0</v>
      </c>
      <c r="AE107" s="41">
        <f>[2]H2_NGSR!$H$44*'Inputs by region H2'!K$14</f>
        <v>0</v>
      </c>
      <c r="AF107" s="43">
        <f>[2]H2_ELE!$H$47*'Inputs by region H2'!K$14</f>
        <v>0</v>
      </c>
      <c r="AG107" s="41">
        <v>0</v>
      </c>
      <c r="AH107" s="41">
        <v>0</v>
      </c>
      <c r="AI107" s="41">
        <v>0</v>
      </c>
      <c r="AJ107" s="43">
        <v>0</v>
      </c>
      <c r="AK107" s="41">
        <v>0</v>
      </c>
      <c r="AL107" s="41">
        <v>0</v>
      </c>
      <c r="AM107" s="41">
        <v>0</v>
      </c>
      <c r="AN107" s="43">
        <v>0</v>
      </c>
      <c r="AO107" s="41">
        <v>0</v>
      </c>
      <c r="AP107" s="41">
        <v>0</v>
      </c>
      <c r="AQ107" s="41">
        <v>0</v>
      </c>
      <c r="AR107" s="43">
        <v>0</v>
      </c>
      <c r="AS107" s="41">
        <v>0</v>
      </c>
      <c r="AT107" s="41">
        <v>0</v>
      </c>
      <c r="AU107" s="41">
        <v>0</v>
      </c>
      <c r="AV107" s="43">
        <v>0</v>
      </c>
      <c r="AW107" s="41">
        <v>0</v>
      </c>
      <c r="AX107" s="41">
        <v>0</v>
      </c>
      <c r="AY107" s="41">
        <v>0</v>
      </c>
      <c r="AZ107" s="207">
        <v>0</v>
      </c>
    </row>
    <row r="108" spans="1:52" x14ac:dyDescent="0.35">
      <c r="A108" t="s">
        <v>197</v>
      </c>
      <c r="B108" t="s">
        <v>92</v>
      </c>
      <c r="C108" s="4" t="s">
        <v>181</v>
      </c>
      <c r="D108" s="4" t="s">
        <v>198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9"/>
      <c r="AC108" s="41">
        <f>[2]H2_NGSR!$H$40*'Inputs by region H2'!K$15</f>
        <v>0</v>
      </c>
      <c r="AD108" s="41">
        <f>[2]H2_ELE!$H$43*'Inputs by region H2'!K$15</f>
        <v>0</v>
      </c>
      <c r="AE108" s="41">
        <f>[2]H2_NGSR!$H$45*'Inputs by region H2'!K$15</f>
        <v>0</v>
      </c>
      <c r="AF108" s="43">
        <f>[2]H2_ELE!$H$48*'Inputs by region H2'!K$15</f>
        <v>0</v>
      </c>
      <c r="AG108" s="41">
        <v>0</v>
      </c>
      <c r="AH108" s="41">
        <v>0</v>
      </c>
      <c r="AI108" s="41">
        <v>0</v>
      </c>
      <c r="AJ108" s="43">
        <v>0</v>
      </c>
      <c r="AK108" s="41">
        <v>0</v>
      </c>
      <c r="AL108" s="41">
        <v>0</v>
      </c>
      <c r="AM108" s="41">
        <v>0</v>
      </c>
      <c r="AN108" s="43">
        <v>0</v>
      </c>
      <c r="AO108" s="41">
        <v>0</v>
      </c>
      <c r="AP108" s="41">
        <v>0</v>
      </c>
      <c r="AQ108" s="41">
        <v>0</v>
      </c>
      <c r="AR108" s="43">
        <v>0</v>
      </c>
      <c r="AS108" s="41">
        <v>0</v>
      </c>
      <c r="AT108" s="41">
        <v>0</v>
      </c>
      <c r="AU108" s="41">
        <v>0</v>
      </c>
      <c r="AV108" s="43">
        <v>0</v>
      </c>
      <c r="AW108" s="41">
        <v>0</v>
      </c>
      <c r="AX108" s="41">
        <v>0</v>
      </c>
      <c r="AY108" s="41">
        <v>0</v>
      </c>
      <c r="AZ108" s="207">
        <v>0</v>
      </c>
    </row>
    <row r="109" spans="1:52" x14ac:dyDescent="0.35">
      <c r="A109" t="s">
        <v>364</v>
      </c>
      <c r="B109" t="s">
        <v>92</v>
      </c>
      <c r="C109" s="4" t="s">
        <v>181</v>
      </c>
      <c r="D109" s="4" t="s">
        <v>200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9"/>
      <c r="AC109" s="41">
        <f>[2]H2_NGSR!$H$40*'Inputs by region H2'!K$16</f>
        <v>0</v>
      </c>
      <c r="AD109" s="41">
        <f>[2]H2_ELE!$H$43*'Inputs by region H2'!K$16</f>
        <v>0</v>
      </c>
      <c r="AE109" s="41">
        <f>[2]H2_NGSR!$H$45*'Inputs by region H2'!K$16</f>
        <v>0</v>
      </c>
      <c r="AF109" s="43">
        <f>[2]H2_ELE!$H$48*'Inputs by region H2'!K$16</f>
        <v>0</v>
      </c>
      <c r="AG109" s="41">
        <v>0</v>
      </c>
      <c r="AH109" s="41">
        <v>0</v>
      </c>
      <c r="AI109" s="41">
        <v>0</v>
      </c>
      <c r="AJ109" s="43">
        <v>0</v>
      </c>
      <c r="AK109" s="41">
        <v>0</v>
      </c>
      <c r="AL109" s="41">
        <v>0</v>
      </c>
      <c r="AM109" s="41">
        <v>0</v>
      </c>
      <c r="AN109" s="43">
        <v>0</v>
      </c>
      <c r="AO109" s="41">
        <v>0</v>
      </c>
      <c r="AP109" s="41">
        <v>0</v>
      </c>
      <c r="AQ109" s="41">
        <v>0</v>
      </c>
      <c r="AR109" s="43">
        <v>0</v>
      </c>
      <c r="AS109" s="41">
        <v>0</v>
      </c>
      <c r="AT109" s="41">
        <v>0</v>
      </c>
      <c r="AU109" s="41">
        <v>0</v>
      </c>
      <c r="AV109" s="43">
        <v>0</v>
      </c>
      <c r="AW109" s="41">
        <v>0</v>
      </c>
      <c r="AX109" s="41">
        <v>0</v>
      </c>
      <c r="AY109" s="41">
        <v>0</v>
      </c>
      <c r="AZ109" s="207">
        <v>0</v>
      </c>
    </row>
    <row r="110" spans="1:52" x14ac:dyDescent="0.35">
      <c r="A110" t="s">
        <v>201</v>
      </c>
      <c r="B110" t="s">
        <v>92</v>
      </c>
      <c r="C110" s="4" t="s">
        <v>181</v>
      </c>
      <c r="D110" s="4" t="s">
        <v>202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9"/>
      <c r="AC110" s="41">
        <f>[2]H2_NGSR!$H$40*'Inputs by region H2'!K$17</f>
        <v>0</v>
      </c>
      <c r="AD110" s="41">
        <f>[2]H2_ELE!$H$43*'Inputs by region H2'!K$17</f>
        <v>0</v>
      </c>
      <c r="AE110" s="41">
        <f>[2]H2_NGSR!$H$45*'Inputs by region H2'!K$17</f>
        <v>0</v>
      </c>
      <c r="AF110" s="43">
        <f>[2]H2_ELE!$H$48*'Inputs by region H2'!K$17</f>
        <v>0</v>
      </c>
      <c r="AG110" s="41">
        <v>0</v>
      </c>
      <c r="AH110" s="41">
        <v>0</v>
      </c>
      <c r="AI110" s="41">
        <v>0</v>
      </c>
      <c r="AJ110" s="43">
        <v>0</v>
      </c>
      <c r="AK110" s="41">
        <v>0</v>
      </c>
      <c r="AL110" s="41">
        <v>0</v>
      </c>
      <c r="AM110" s="41">
        <v>0</v>
      </c>
      <c r="AN110" s="43">
        <v>0</v>
      </c>
      <c r="AO110" s="41">
        <v>0</v>
      </c>
      <c r="AP110" s="41">
        <v>0</v>
      </c>
      <c r="AQ110" s="41">
        <v>0</v>
      </c>
      <c r="AR110" s="43">
        <v>0</v>
      </c>
      <c r="AS110" s="41">
        <v>0</v>
      </c>
      <c r="AT110" s="41">
        <v>0</v>
      </c>
      <c r="AU110" s="41">
        <v>0</v>
      </c>
      <c r="AV110" s="43">
        <v>0</v>
      </c>
      <c r="AW110" s="41">
        <v>0</v>
      </c>
      <c r="AX110" s="41">
        <v>0</v>
      </c>
      <c r="AY110" s="41">
        <v>0</v>
      </c>
      <c r="AZ110" s="207">
        <v>0</v>
      </c>
    </row>
    <row r="111" spans="1:52" ht="15" thickBot="1" x14ac:dyDescent="0.4">
      <c r="A111" t="s">
        <v>193</v>
      </c>
      <c r="B111" t="s">
        <v>92</v>
      </c>
      <c r="C111" s="4" t="s">
        <v>145</v>
      </c>
      <c r="D111" s="4" t="s">
        <v>194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9"/>
      <c r="AC111" s="44">
        <v>0</v>
      </c>
      <c r="AD111" s="45">
        <f>[2]H2_ELE!$H$41*'Inputs by region H2'!K$18</f>
        <v>0</v>
      </c>
      <c r="AE111" s="45">
        <f>[2]H2_NGSR!$H$43*'Inputs by region H2'!K$18</f>
        <v>0</v>
      </c>
      <c r="AF111" s="46">
        <v>0</v>
      </c>
      <c r="AG111" s="44">
        <v>0</v>
      </c>
      <c r="AH111" s="44">
        <v>0</v>
      </c>
      <c r="AI111" s="44">
        <v>0</v>
      </c>
      <c r="AJ111" s="46">
        <v>0</v>
      </c>
      <c r="AK111" s="44">
        <v>0</v>
      </c>
      <c r="AL111" s="44">
        <v>0</v>
      </c>
      <c r="AM111" s="44">
        <v>0</v>
      </c>
      <c r="AN111" s="46">
        <v>0</v>
      </c>
      <c r="AO111" s="44">
        <v>0</v>
      </c>
      <c r="AP111" s="44">
        <v>0</v>
      </c>
      <c r="AQ111" s="44">
        <v>0</v>
      </c>
      <c r="AR111" s="46">
        <v>0</v>
      </c>
      <c r="AS111" s="44">
        <v>0</v>
      </c>
      <c r="AT111" s="44">
        <v>0</v>
      </c>
      <c r="AU111" s="44">
        <v>0</v>
      </c>
      <c r="AV111" s="46">
        <v>0</v>
      </c>
      <c r="AW111" s="44">
        <v>0</v>
      </c>
      <c r="AX111" s="44">
        <v>0</v>
      </c>
      <c r="AY111" s="44">
        <v>0</v>
      </c>
      <c r="AZ111" s="210">
        <v>0</v>
      </c>
    </row>
    <row r="112" spans="1:52" x14ac:dyDescent="0.35">
      <c r="A112" t="s">
        <v>187</v>
      </c>
      <c r="B112" t="s">
        <v>93</v>
      </c>
      <c r="C112" s="4" t="s">
        <v>145</v>
      </c>
      <c r="D112" s="4" t="s">
        <v>188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9"/>
      <c r="AC112" s="40">
        <f>[2]H2_NGSR!$H$36*'Inputs by region H2'!L$5</f>
        <v>138.77909999999997</v>
      </c>
      <c r="AD112" s="40">
        <f>[2]H2_ELE!$H$40*'Inputs by region H2'!L$12</f>
        <v>1.1930984723440377E-3</v>
      </c>
      <c r="AE112" s="41">
        <v>0</v>
      </c>
      <c r="AF112" s="43">
        <v>0</v>
      </c>
      <c r="AG112" s="41">
        <v>0</v>
      </c>
      <c r="AH112" s="41">
        <v>0</v>
      </c>
      <c r="AI112" s="41">
        <v>0</v>
      </c>
      <c r="AJ112" s="43">
        <v>0</v>
      </c>
      <c r="AK112" s="41">
        <v>0</v>
      </c>
      <c r="AL112" s="41">
        <v>0</v>
      </c>
      <c r="AM112" s="41">
        <v>0</v>
      </c>
      <c r="AN112" s="43">
        <v>0</v>
      </c>
      <c r="AO112" s="41">
        <v>0</v>
      </c>
      <c r="AP112" s="41">
        <v>0</v>
      </c>
      <c r="AQ112" s="41">
        <v>0</v>
      </c>
      <c r="AR112" s="43">
        <v>0</v>
      </c>
      <c r="AS112" s="41">
        <v>0</v>
      </c>
      <c r="AT112" s="41">
        <v>0</v>
      </c>
      <c r="AU112" s="41">
        <v>0</v>
      </c>
      <c r="AV112" s="43">
        <v>0</v>
      </c>
      <c r="AW112" s="41">
        <v>0</v>
      </c>
      <c r="AX112" s="41">
        <v>0</v>
      </c>
      <c r="AY112" s="41">
        <v>0</v>
      </c>
      <c r="AZ112" s="207">
        <v>0</v>
      </c>
    </row>
    <row r="113" spans="1:52" x14ac:dyDescent="0.35">
      <c r="A113" t="s">
        <v>144</v>
      </c>
      <c r="B113" t="s">
        <v>93</v>
      </c>
      <c r="C113" s="4" t="s">
        <v>145</v>
      </c>
      <c r="D113" s="4" t="s">
        <v>361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9"/>
      <c r="AC113" s="40">
        <f>[2]H2_NGSR!$H$39*'Inputs by region H2'!L$6+[2]H2_NGSR!$H$37*'Inputs by region H2'!L$8</f>
        <v>44.633142857142865</v>
      </c>
      <c r="AD113" s="41">
        <v>0</v>
      </c>
      <c r="AE113" s="41">
        <v>0</v>
      </c>
      <c r="AF113" s="43">
        <v>0</v>
      </c>
      <c r="AG113" s="41">
        <v>0</v>
      </c>
      <c r="AH113" s="41">
        <v>0</v>
      </c>
      <c r="AI113" s="41">
        <v>0</v>
      </c>
      <c r="AJ113" s="43">
        <v>0</v>
      </c>
      <c r="AK113" s="41">
        <v>0</v>
      </c>
      <c r="AL113" s="41">
        <v>0</v>
      </c>
      <c r="AM113" s="41">
        <v>0</v>
      </c>
      <c r="AN113" s="43">
        <v>0</v>
      </c>
      <c r="AO113" s="41">
        <v>0</v>
      </c>
      <c r="AP113" s="41">
        <v>0</v>
      </c>
      <c r="AQ113" s="41">
        <v>0</v>
      </c>
      <c r="AR113" s="43">
        <v>0</v>
      </c>
      <c r="AS113" s="41">
        <v>0</v>
      </c>
      <c r="AT113" s="41">
        <v>0</v>
      </c>
      <c r="AU113" s="41">
        <v>0</v>
      </c>
      <c r="AV113" s="43">
        <v>0</v>
      </c>
      <c r="AW113" s="41">
        <v>0</v>
      </c>
      <c r="AX113" s="41">
        <v>0</v>
      </c>
      <c r="AY113" s="41">
        <v>0</v>
      </c>
      <c r="AZ113" s="207">
        <v>0</v>
      </c>
    </row>
    <row r="114" spans="1:52" x14ac:dyDescent="0.35">
      <c r="A114" t="s">
        <v>183</v>
      </c>
      <c r="B114" t="s">
        <v>93</v>
      </c>
      <c r="C114" s="4" t="s">
        <v>145</v>
      </c>
      <c r="D114" s="4" t="s">
        <v>362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9"/>
      <c r="AC114" s="41">
        <v>0</v>
      </c>
      <c r="AD114" s="41">
        <f>[2]H2_ELE!$H$39*'Inputs by region H2'!L$11</f>
        <v>0</v>
      </c>
      <c r="AE114" s="41">
        <v>0</v>
      </c>
      <c r="AF114" s="43">
        <v>0</v>
      </c>
      <c r="AG114" s="41">
        <v>0</v>
      </c>
      <c r="AH114" s="41">
        <v>0</v>
      </c>
      <c r="AI114" s="41">
        <v>0</v>
      </c>
      <c r="AJ114" s="43">
        <v>0</v>
      </c>
      <c r="AK114" s="41">
        <v>0</v>
      </c>
      <c r="AL114" s="41">
        <v>0</v>
      </c>
      <c r="AM114" s="41">
        <v>0</v>
      </c>
      <c r="AN114" s="43">
        <v>0</v>
      </c>
      <c r="AO114" s="41">
        <v>0</v>
      </c>
      <c r="AP114" s="41">
        <v>0</v>
      </c>
      <c r="AQ114" s="41">
        <v>0</v>
      </c>
      <c r="AR114" s="43">
        <v>0</v>
      </c>
      <c r="AS114" s="41">
        <v>0</v>
      </c>
      <c r="AT114" s="41">
        <v>0</v>
      </c>
      <c r="AU114" s="41">
        <v>0</v>
      </c>
      <c r="AV114" s="43">
        <v>0</v>
      </c>
      <c r="AW114" s="41">
        <v>0</v>
      </c>
      <c r="AX114" s="41">
        <v>0</v>
      </c>
      <c r="AY114" s="41">
        <v>0</v>
      </c>
      <c r="AZ114" s="207">
        <v>0</v>
      </c>
    </row>
    <row r="115" spans="1:52" x14ac:dyDescent="0.35">
      <c r="A115" t="s">
        <v>172</v>
      </c>
      <c r="B115" t="s">
        <v>93</v>
      </c>
      <c r="C115" s="4" t="s">
        <v>145</v>
      </c>
      <c r="D115" s="4" t="s">
        <v>363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9"/>
      <c r="AC115" s="40">
        <f>[2]H2_NGSR!$H$38*'Inputs by region H2'!L$7</f>
        <v>0.3673348440311186</v>
      </c>
      <c r="AD115" s="41">
        <v>0</v>
      </c>
      <c r="AE115" s="41">
        <v>0</v>
      </c>
      <c r="AF115" s="43">
        <v>0</v>
      </c>
      <c r="AG115" s="41">
        <v>0</v>
      </c>
      <c r="AH115" s="41">
        <v>0</v>
      </c>
      <c r="AI115" s="41">
        <v>0</v>
      </c>
      <c r="AJ115" s="43">
        <v>0</v>
      </c>
      <c r="AK115" s="41">
        <v>0</v>
      </c>
      <c r="AL115" s="41">
        <v>0</v>
      </c>
      <c r="AM115" s="41">
        <v>0</v>
      </c>
      <c r="AN115" s="43">
        <v>0</v>
      </c>
      <c r="AO115" s="41">
        <v>0</v>
      </c>
      <c r="AP115" s="41">
        <v>0</v>
      </c>
      <c r="AQ115" s="41">
        <v>0</v>
      </c>
      <c r="AR115" s="43">
        <v>0</v>
      </c>
      <c r="AS115" s="41">
        <v>0</v>
      </c>
      <c r="AT115" s="41">
        <v>0</v>
      </c>
      <c r="AU115" s="41">
        <v>0</v>
      </c>
      <c r="AV115" s="43">
        <v>0</v>
      </c>
      <c r="AW115" s="41">
        <v>0</v>
      </c>
      <c r="AX115" s="41">
        <v>0</v>
      </c>
      <c r="AY115" s="41">
        <v>0</v>
      </c>
      <c r="AZ115" s="207">
        <v>0</v>
      </c>
    </row>
    <row r="116" spans="1:52" x14ac:dyDescent="0.35">
      <c r="A116" t="s">
        <v>174</v>
      </c>
      <c r="B116" t="s">
        <v>93</v>
      </c>
      <c r="C116" s="4" t="s">
        <v>145</v>
      </c>
      <c r="D116" s="4" t="s">
        <v>175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9"/>
      <c r="AC116" s="41">
        <v>0</v>
      </c>
      <c r="AD116" s="40">
        <f>[2]H2_ELE!$H$37*'Inputs by region H2'!L$9</f>
        <v>1.4980971667560324E-2</v>
      </c>
      <c r="AE116" s="41">
        <v>0</v>
      </c>
      <c r="AF116" s="43">
        <v>0</v>
      </c>
      <c r="AG116" s="41">
        <v>0</v>
      </c>
      <c r="AH116" s="41">
        <v>0</v>
      </c>
      <c r="AI116" s="41">
        <v>0</v>
      </c>
      <c r="AJ116" s="43">
        <v>0</v>
      </c>
      <c r="AK116" s="41">
        <v>0</v>
      </c>
      <c r="AL116" s="41">
        <v>0</v>
      </c>
      <c r="AM116" s="41">
        <v>0</v>
      </c>
      <c r="AN116" s="43">
        <v>0</v>
      </c>
      <c r="AO116" s="41">
        <v>0</v>
      </c>
      <c r="AP116" s="41">
        <v>0</v>
      </c>
      <c r="AQ116" s="41">
        <v>0</v>
      </c>
      <c r="AR116" s="43">
        <v>0</v>
      </c>
      <c r="AS116" s="41">
        <v>0</v>
      </c>
      <c r="AT116" s="41">
        <v>0</v>
      </c>
      <c r="AU116" s="41">
        <v>0</v>
      </c>
      <c r="AV116" s="43">
        <v>0</v>
      </c>
      <c r="AW116" s="41">
        <v>0</v>
      </c>
      <c r="AX116" s="41">
        <v>0</v>
      </c>
      <c r="AY116" s="41">
        <v>0</v>
      </c>
      <c r="AZ116" s="207">
        <v>0</v>
      </c>
    </row>
    <row r="117" spans="1:52" x14ac:dyDescent="0.35">
      <c r="A117" t="s">
        <v>176</v>
      </c>
      <c r="B117" t="s">
        <v>93</v>
      </c>
      <c r="C117" s="4" t="s">
        <v>145</v>
      </c>
      <c r="D117" s="4" t="s">
        <v>177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9"/>
      <c r="AC117" s="41">
        <v>0</v>
      </c>
      <c r="AD117" s="40">
        <f>[2]H2_ELE!$H$38*'Inputs by region H2'!L$10</f>
        <v>4.3405477873147885E-2</v>
      </c>
      <c r="AE117" s="41">
        <v>0</v>
      </c>
      <c r="AF117" s="43">
        <v>0</v>
      </c>
      <c r="AG117" s="41">
        <v>0</v>
      </c>
      <c r="AH117" s="41">
        <v>0</v>
      </c>
      <c r="AI117" s="41">
        <v>0</v>
      </c>
      <c r="AJ117" s="43">
        <v>0</v>
      </c>
      <c r="AK117" s="41">
        <v>0</v>
      </c>
      <c r="AL117" s="41">
        <v>0</v>
      </c>
      <c r="AM117" s="41">
        <v>0</v>
      </c>
      <c r="AN117" s="43">
        <v>0</v>
      </c>
      <c r="AO117" s="41">
        <v>0</v>
      </c>
      <c r="AP117" s="41">
        <v>0</v>
      </c>
      <c r="AQ117" s="41">
        <v>0</v>
      </c>
      <c r="AR117" s="43">
        <v>0</v>
      </c>
      <c r="AS117" s="41">
        <v>0</v>
      </c>
      <c r="AT117" s="41">
        <v>0</v>
      </c>
      <c r="AU117" s="41">
        <v>0</v>
      </c>
      <c r="AV117" s="43">
        <v>0</v>
      </c>
      <c r="AW117" s="41">
        <v>0</v>
      </c>
      <c r="AX117" s="41">
        <v>0</v>
      </c>
      <c r="AY117" s="41">
        <v>0</v>
      </c>
      <c r="AZ117" s="207">
        <v>0</v>
      </c>
    </row>
    <row r="118" spans="1:52" x14ac:dyDescent="0.35">
      <c r="A118" t="s">
        <v>178</v>
      </c>
      <c r="B118" t="s">
        <v>93</v>
      </c>
      <c r="C118" s="4" t="s">
        <v>145</v>
      </c>
      <c r="D118" s="4" t="s">
        <v>179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9"/>
      <c r="AC118" s="41">
        <v>0</v>
      </c>
      <c r="AD118" s="40">
        <f>[2]H2_ELE!$H$42*'Inputs by region H2'!L$13</f>
        <v>2.1237093113781802E-2</v>
      </c>
      <c r="AE118" s="41">
        <v>0</v>
      </c>
      <c r="AF118" s="43">
        <v>0</v>
      </c>
      <c r="AG118" s="41">
        <v>0</v>
      </c>
      <c r="AH118" s="41">
        <v>0</v>
      </c>
      <c r="AI118" s="41">
        <v>0</v>
      </c>
      <c r="AJ118" s="43">
        <v>0</v>
      </c>
      <c r="AK118" s="41">
        <v>0</v>
      </c>
      <c r="AL118" s="41">
        <v>0</v>
      </c>
      <c r="AM118" s="41">
        <v>0</v>
      </c>
      <c r="AN118" s="43">
        <v>0</v>
      </c>
      <c r="AO118" s="41">
        <v>0</v>
      </c>
      <c r="AP118" s="41">
        <v>0</v>
      </c>
      <c r="AQ118" s="41">
        <v>0</v>
      </c>
      <c r="AR118" s="43">
        <v>0</v>
      </c>
      <c r="AS118" s="41">
        <v>0</v>
      </c>
      <c r="AT118" s="41">
        <v>0</v>
      </c>
      <c r="AU118" s="41">
        <v>0</v>
      </c>
      <c r="AV118" s="43">
        <v>0</v>
      </c>
      <c r="AW118" s="41">
        <v>0</v>
      </c>
      <c r="AX118" s="41">
        <v>0</v>
      </c>
      <c r="AY118" s="41">
        <v>0</v>
      </c>
      <c r="AZ118" s="207">
        <v>0</v>
      </c>
    </row>
    <row r="119" spans="1:52" x14ac:dyDescent="0.35">
      <c r="A119" t="s">
        <v>180</v>
      </c>
      <c r="B119" t="s">
        <v>93</v>
      </c>
      <c r="C119" s="4" t="s">
        <v>181</v>
      </c>
      <c r="D119" s="4" t="s">
        <v>182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9"/>
      <c r="AC119" s="41">
        <v>0</v>
      </c>
      <c r="AD119" s="41">
        <v>0</v>
      </c>
      <c r="AE119" s="41">
        <f>[2]H2_NGSR!$H$44*'Inputs by region H2'!L$14</f>
        <v>0</v>
      </c>
      <c r="AF119" s="43">
        <f>[2]H2_ELE!$H$47*'Inputs by region H2'!L$14</f>
        <v>0</v>
      </c>
      <c r="AG119" s="41">
        <v>0</v>
      </c>
      <c r="AH119" s="41">
        <v>0</v>
      </c>
      <c r="AI119" s="41">
        <v>0</v>
      </c>
      <c r="AJ119" s="43">
        <v>0</v>
      </c>
      <c r="AK119" s="41">
        <v>0</v>
      </c>
      <c r="AL119" s="41">
        <v>0</v>
      </c>
      <c r="AM119" s="41">
        <v>0</v>
      </c>
      <c r="AN119" s="43">
        <v>0</v>
      </c>
      <c r="AO119" s="41">
        <v>0</v>
      </c>
      <c r="AP119" s="41">
        <v>0</v>
      </c>
      <c r="AQ119" s="41">
        <v>0</v>
      </c>
      <c r="AR119" s="43">
        <v>0</v>
      </c>
      <c r="AS119" s="41">
        <v>0</v>
      </c>
      <c r="AT119" s="41">
        <v>0</v>
      </c>
      <c r="AU119" s="41">
        <v>0</v>
      </c>
      <c r="AV119" s="43">
        <v>0</v>
      </c>
      <c r="AW119" s="41">
        <v>0</v>
      </c>
      <c r="AX119" s="41">
        <v>0</v>
      </c>
      <c r="AY119" s="41">
        <v>0</v>
      </c>
      <c r="AZ119" s="207">
        <v>0</v>
      </c>
    </row>
    <row r="120" spans="1:52" x14ac:dyDescent="0.35">
      <c r="A120" t="s">
        <v>197</v>
      </c>
      <c r="B120" t="s">
        <v>93</v>
      </c>
      <c r="C120" s="4" t="s">
        <v>181</v>
      </c>
      <c r="D120" s="4" t="s">
        <v>198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9"/>
      <c r="AC120" s="41">
        <f>[2]H2_NGSR!$H$40*'Inputs by region H2'!L$15</f>
        <v>0</v>
      </c>
      <c r="AD120" s="41">
        <f>[2]H2_ELE!$H$43*'Inputs by region H2'!L$15</f>
        <v>0</v>
      </c>
      <c r="AE120" s="41">
        <f>[2]H2_NGSR!$H$45*'Inputs by region H2'!L$15</f>
        <v>0</v>
      </c>
      <c r="AF120" s="43">
        <f>[2]H2_ELE!$H$48*'Inputs by region H2'!L$15</f>
        <v>0</v>
      </c>
      <c r="AG120" s="41">
        <v>0</v>
      </c>
      <c r="AH120" s="41">
        <v>0</v>
      </c>
      <c r="AI120" s="41">
        <v>0</v>
      </c>
      <c r="AJ120" s="43">
        <v>0</v>
      </c>
      <c r="AK120" s="41">
        <v>0</v>
      </c>
      <c r="AL120" s="41">
        <v>0</v>
      </c>
      <c r="AM120" s="41">
        <v>0</v>
      </c>
      <c r="AN120" s="43">
        <v>0</v>
      </c>
      <c r="AO120" s="41">
        <v>0</v>
      </c>
      <c r="AP120" s="41">
        <v>0</v>
      </c>
      <c r="AQ120" s="41">
        <v>0</v>
      </c>
      <c r="AR120" s="43">
        <v>0</v>
      </c>
      <c r="AS120" s="41">
        <v>0</v>
      </c>
      <c r="AT120" s="41">
        <v>0</v>
      </c>
      <c r="AU120" s="41">
        <v>0</v>
      </c>
      <c r="AV120" s="43">
        <v>0</v>
      </c>
      <c r="AW120" s="41">
        <v>0</v>
      </c>
      <c r="AX120" s="41">
        <v>0</v>
      </c>
      <c r="AY120" s="41">
        <v>0</v>
      </c>
      <c r="AZ120" s="207">
        <v>0</v>
      </c>
    </row>
    <row r="121" spans="1:52" x14ac:dyDescent="0.35">
      <c r="A121" t="s">
        <v>364</v>
      </c>
      <c r="B121" t="s">
        <v>93</v>
      </c>
      <c r="C121" s="4" t="s">
        <v>181</v>
      </c>
      <c r="D121" s="4" t="s">
        <v>200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9"/>
      <c r="AC121" s="41">
        <f>[2]H2_NGSR!$H$40*'Inputs by region H2'!L$16</f>
        <v>0</v>
      </c>
      <c r="AD121" s="41">
        <f>[2]H2_ELE!$H$43*'Inputs by region H2'!L$16</f>
        <v>0</v>
      </c>
      <c r="AE121" s="41">
        <f>[2]H2_NGSR!$H$45*'Inputs by region H2'!L$16</f>
        <v>0</v>
      </c>
      <c r="AF121" s="43">
        <f>[2]H2_ELE!$H$48*'Inputs by region H2'!L$16</f>
        <v>0</v>
      </c>
      <c r="AG121" s="41">
        <v>0</v>
      </c>
      <c r="AH121" s="41">
        <v>0</v>
      </c>
      <c r="AI121" s="41">
        <v>0</v>
      </c>
      <c r="AJ121" s="43">
        <v>0</v>
      </c>
      <c r="AK121" s="41">
        <v>0</v>
      </c>
      <c r="AL121" s="41">
        <v>0</v>
      </c>
      <c r="AM121" s="41">
        <v>0</v>
      </c>
      <c r="AN121" s="43">
        <v>0</v>
      </c>
      <c r="AO121" s="41">
        <v>0</v>
      </c>
      <c r="AP121" s="41">
        <v>0</v>
      </c>
      <c r="AQ121" s="41">
        <v>0</v>
      </c>
      <c r="AR121" s="43">
        <v>0</v>
      </c>
      <c r="AS121" s="41">
        <v>0</v>
      </c>
      <c r="AT121" s="41">
        <v>0</v>
      </c>
      <c r="AU121" s="41">
        <v>0</v>
      </c>
      <c r="AV121" s="43">
        <v>0</v>
      </c>
      <c r="AW121" s="41">
        <v>0</v>
      </c>
      <c r="AX121" s="41">
        <v>0</v>
      </c>
      <c r="AY121" s="41">
        <v>0</v>
      </c>
      <c r="AZ121" s="207">
        <v>0</v>
      </c>
    </row>
    <row r="122" spans="1:52" x14ac:dyDescent="0.35">
      <c r="A122" t="s">
        <v>201</v>
      </c>
      <c r="B122" t="s">
        <v>93</v>
      </c>
      <c r="C122" s="4" t="s">
        <v>181</v>
      </c>
      <c r="D122" s="4" t="s">
        <v>202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9"/>
      <c r="AC122" s="41">
        <f>[2]H2_NGSR!$H$40*'Inputs by region H2'!L$17</f>
        <v>0</v>
      </c>
      <c r="AD122" s="41">
        <f>[2]H2_ELE!$H$43*'Inputs by region H2'!L$17</f>
        <v>0</v>
      </c>
      <c r="AE122" s="41">
        <f>[2]H2_NGSR!$H$45*'Inputs by region H2'!L$17</f>
        <v>0</v>
      </c>
      <c r="AF122" s="43">
        <f>[2]H2_ELE!$H$48*'Inputs by region H2'!L$17</f>
        <v>0</v>
      </c>
      <c r="AG122" s="41">
        <v>0</v>
      </c>
      <c r="AH122" s="41">
        <v>0</v>
      </c>
      <c r="AI122" s="41">
        <v>0</v>
      </c>
      <c r="AJ122" s="43">
        <v>0</v>
      </c>
      <c r="AK122" s="41">
        <v>0</v>
      </c>
      <c r="AL122" s="41">
        <v>0</v>
      </c>
      <c r="AM122" s="41">
        <v>0</v>
      </c>
      <c r="AN122" s="43">
        <v>0</v>
      </c>
      <c r="AO122" s="41">
        <v>0</v>
      </c>
      <c r="AP122" s="41">
        <v>0</v>
      </c>
      <c r="AQ122" s="41">
        <v>0</v>
      </c>
      <c r="AR122" s="43">
        <v>0</v>
      </c>
      <c r="AS122" s="41">
        <v>0</v>
      </c>
      <c r="AT122" s="41">
        <v>0</v>
      </c>
      <c r="AU122" s="41">
        <v>0</v>
      </c>
      <c r="AV122" s="43">
        <v>0</v>
      </c>
      <c r="AW122" s="41">
        <v>0</v>
      </c>
      <c r="AX122" s="41">
        <v>0</v>
      </c>
      <c r="AY122" s="41">
        <v>0</v>
      </c>
      <c r="AZ122" s="207">
        <v>0</v>
      </c>
    </row>
    <row r="123" spans="1:52" ht="15" thickBot="1" x14ac:dyDescent="0.4">
      <c r="A123" t="s">
        <v>193</v>
      </c>
      <c r="B123" t="s">
        <v>93</v>
      </c>
      <c r="C123" s="4" t="s">
        <v>145</v>
      </c>
      <c r="D123" s="4" t="s">
        <v>194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9"/>
      <c r="AC123" s="44">
        <v>0</v>
      </c>
      <c r="AD123" s="45">
        <f>[2]H2_ELE!$H$41*'Inputs by region H2'!L$18</f>
        <v>8.7987828585017833E-3</v>
      </c>
      <c r="AE123" s="45">
        <f>[2]H2_NGSR!$H$43*'Inputs by region H2'!L$18</f>
        <v>96918.827586206913</v>
      </c>
      <c r="AF123" s="46">
        <v>0</v>
      </c>
      <c r="AG123" s="44">
        <v>0</v>
      </c>
      <c r="AH123" s="44">
        <v>0</v>
      </c>
      <c r="AI123" s="44">
        <v>0</v>
      </c>
      <c r="AJ123" s="46">
        <v>0</v>
      </c>
      <c r="AK123" s="44">
        <v>0</v>
      </c>
      <c r="AL123" s="44">
        <v>0</v>
      </c>
      <c r="AM123" s="44">
        <v>0</v>
      </c>
      <c r="AN123" s="46">
        <v>0</v>
      </c>
      <c r="AO123" s="44">
        <v>0</v>
      </c>
      <c r="AP123" s="44">
        <v>0</v>
      </c>
      <c r="AQ123" s="44">
        <v>0</v>
      </c>
      <c r="AR123" s="46">
        <v>0</v>
      </c>
      <c r="AS123" s="44">
        <v>0</v>
      </c>
      <c r="AT123" s="44">
        <v>0</v>
      </c>
      <c r="AU123" s="44">
        <v>0</v>
      </c>
      <c r="AV123" s="46">
        <v>0</v>
      </c>
      <c r="AW123" s="44">
        <v>0</v>
      </c>
      <c r="AX123" s="44">
        <v>0</v>
      </c>
      <c r="AY123" s="44">
        <v>0</v>
      </c>
      <c r="AZ123" s="210">
        <v>0</v>
      </c>
    </row>
    <row r="124" spans="1:52" x14ac:dyDescent="0.35">
      <c r="A124" t="s">
        <v>365</v>
      </c>
      <c r="B124" t="s">
        <v>73</v>
      </c>
      <c r="C124" s="4" t="s">
        <v>145</v>
      </c>
      <c r="D124" s="4" t="s">
        <v>72</v>
      </c>
      <c r="E124" s="50"/>
      <c r="F124" s="50"/>
      <c r="G124" s="38"/>
      <c r="H124" s="38"/>
      <c r="I124" s="211"/>
      <c r="J124" s="212"/>
      <c r="K124" s="212"/>
      <c r="L124" s="212"/>
      <c r="M124" s="212"/>
      <c r="Q124" s="38"/>
      <c r="S124"/>
      <c r="U124"/>
      <c r="AC124" s="47">
        <v>0</v>
      </c>
      <c r="AD124" s="47">
        <v>0</v>
      </c>
      <c r="AE124" s="48">
        <f>[2]H2_NGSR!H51+[2]H2_NGSR!H52</f>
        <v>411204.38121101406</v>
      </c>
      <c r="AF124" s="49">
        <v>0</v>
      </c>
      <c r="AG124" s="47">
        <v>0</v>
      </c>
      <c r="AH124" s="47">
        <v>0</v>
      </c>
      <c r="AI124" s="47">
        <v>0</v>
      </c>
      <c r="AJ124" s="49">
        <v>0</v>
      </c>
      <c r="AK124" s="47">
        <v>0</v>
      </c>
      <c r="AL124" s="47">
        <v>0</v>
      </c>
      <c r="AM124" s="47">
        <v>0</v>
      </c>
      <c r="AN124" s="49">
        <v>0</v>
      </c>
      <c r="AO124" s="47">
        <v>0</v>
      </c>
      <c r="AP124" s="47">
        <v>0</v>
      </c>
      <c r="AQ124" s="47">
        <v>0</v>
      </c>
      <c r="AR124" s="49">
        <v>0</v>
      </c>
      <c r="AS124" s="47">
        <v>0</v>
      </c>
      <c r="AT124" s="47">
        <v>0</v>
      </c>
      <c r="AU124" s="47">
        <v>0</v>
      </c>
      <c r="AV124" s="49">
        <v>0</v>
      </c>
      <c r="AW124" s="47">
        <v>0</v>
      </c>
      <c r="AX124" s="47">
        <v>0</v>
      </c>
      <c r="AY124" s="47">
        <v>0</v>
      </c>
      <c r="AZ124" s="213">
        <v>0</v>
      </c>
    </row>
    <row r="125" spans="1:52" x14ac:dyDescent="0.35">
      <c r="A125" t="s">
        <v>203</v>
      </c>
      <c r="B125" t="s">
        <v>73</v>
      </c>
      <c r="C125" s="4" t="s">
        <v>145</v>
      </c>
      <c r="D125" s="4" t="s">
        <v>203</v>
      </c>
      <c r="E125" s="50"/>
      <c r="F125" s="50"/>
      <c r="G125" s="38"/>
      <c r="H125" s="38"/>
      <c r="I125" s="211"/>
      <c r="J125" s="76"/>
      <c r="K125" s="212"/>
      <c r="L125" s="212"/>
      <c r="M125" s="212"/>
      <c r="Q125" s="38"/>
      <c r="S125" s="77"/>
      <c r="U125"/>
      <c r="AC125" s="47">
        <v>0</v>
      </c>
      <c r="AD125" s="47">
        <v>0</v>
      </c>
      <c r="AE125" s="48">
        <f>[2]H2_NGSR!H53</f>
        <v>478.56880830000011</v>
      </c>
      <c r="AF125" s="49">
        <v>0</v>
      </c>
      <c r="AG125" s="47">
        <v>0</v>
      </c>
      <c r="AH125" s="47">
        <v>0</v>
      </c>
      <c r="AI125" s="47">
        <v>0</v>
      </c>
      <c r="AJ125" s="49">
        <v>0</v>
      </c>
      <c r="AK125" s="47">
        <v>0</v>
      </c>
      <c r="AL125" s="47">
        <v>0</v>
      </c>
      <c r="AM125" s="47">
        <v>0</v>
      </c>
      <c r="AN125" s="49">
        <v>0</v>
      </c>
      <c r="AO125" s="47">
        <v>0</v>
      </c>
      <c r="AP125" s="47">
        <v>0</v>
      </c>
      <c r="AQ125" s="47">
        <v>0</v>
      </c>
      <c r="AR125" s="49">
        <v>0</v>
      </c>
      <c r="AS125" s="47">
        <v>0</v>
      </c>
      <c r="AT125" s="47">
        <v>0</v>
      </c>
      <c r="AU125" s="47">
        <v>0</v>
      </c>
      <c r="AV125" s="49">
        <v>0</v>
      </c>
      <c r="AW125" s="47">
        <v>0</v>
      </c>
      <c r="AX125" s="47">
        <v>0</v>
      </c>
      <c r="AY125" s="47">
        <v>0</v>
      </c>
      <c r="AZ125" s="213">
        <v>0</v>
      </c>
    </row>
    <row r="126" spans="1:52" x14ac:dyDescent="0.35">
      <c r="A126" t="s">
        <v>204</v>
      </c>
      <c r="B126" t="s">
        <v>73</v>
      </c>
      <c r="C126" s="4" t="s">
        <v>145</v>
      </c>
      <c r="D126" s="4" t="s">
        <v>204</v>
      </c>
      <c r="E126" s="50"/>
      <c r="F126" s="50"/>
      <c r="G126" s="38"/>
      <c r="H126" s="38"/>
      <c r="I126" s="211"/>
      <c r="J126" s="76"/>
      <c r="K126" s="212"/>
      <c r="L126" s="212"/>
      <c r="M126" s="212"/>
      <c r="Q126" s="38"/>
      <c r="S126" s="77"/>
      <c r="U126"/>
      <c r="AC126" s="47">
        <v>0</v>
      </c>
      <c r="AD126" s="47">
        <v>0</v>
      </c>
      <c r="AE126" s="48">
        <f>[2]H2_NGSR!H54</f>
        <v>0.85230420000000007</v>
      </c>
      <c r="AF126" s="49">
        <v>0</v>
      </c>
      <c r="AG126" s="47">
        <v>0</v>
      </c>
      <c r="AH126" s="47">
        <v>0</v>
      </c>
      <c r="AI126" s="47">
        <v>0</v>
      </c>
      <c r="AJ126" s="49">
        <v>0</v>
      </c>
      <c r="AK126" s="47">
        <v>0</v>
      </c>
      <c r="AL126" s="47">
        <v>0</v>
      </c>
      <c r="AM126" s="47">
        <v>0</v>
      </c>
      <c r="AN126" s="49">
        <v>0</v>
      </c>
      <c r="AO126" s="47">
        <v>0</v>
      </c>
      <c r="AP126" s="47">
        <v>0</v>
      </c>
      <c r="AQ126" s="47">
        <v>0</v>
      </c>
      <c r="AR126" s="49">
        <v>0</v>
      </c>
      <c r="AS126" s="47">
        <v>0</v>
      </c>
      <c r="AT126" s="47">
        <v>0</v>
      </c>
      <c r="AU126" s="47">
        <v>0</v>
      </c>
      <c r="AV126" s="49">
        <v>0</v>
      </c>
      <c r="AW126" s="47">
        <v>0</v>
      </c>
      <c r="AX126" s="47">
        <v>0</v>
      </c>
      <c r="AY126" s="47">
        <v>0</v>
      </c>
      <c r="AZ126" s="213">
        <v>0</v>
      </c>
    </row>
    <row r="127" spans="1:52" ht="15" thickBot="1" x14ac:dyDescent="0.4"/>
    <row r="128" spans="1:52" ht="15" thickBot="1" x14ac:dyDescent="0.4">
      <c r="E128" s="51">
        <f t="shared" ref="E128:AB128" si="2">SUM(E28:E51)</f>
        <v>1</v>
      </c>
      <c r="F128" s="52">
        <f t="shared" si="2"/>
        <v>1</v>
      </c>
      <c r="G128" s="53">
        <f t="shared" si="2"/>
        <v>44288370</v>
      </c>
      <c r="H128" s="52">
        <f t="shared" si="2"/>
        <v>5200</v>
      </c>
      <c r="I128" s="52">
        <f t="shared" si="2"/>
        <v>0</v>
      </c>
      <c r="J128" s="52">
        <f t="shared" si="2"/>
        <v>0</v>
      </c>
      <c r="K128" s="52">
        <f t="shared" si="2"/>
        <v>0</v>
      </c>
      <c r="L128" s="52">
        <f t="shared" si="2"/>
        <v>0</v>
      </c>
      <c r="M128" s="52">
        <f t="shared" si="2"/>
        <v>0</v>
      </c>
      <c r="N128" s="52">
        <f t="shared" si="2"/>
        <v>0</v>
      </c>
      <c r="O128" s="52">
        <f t="shared" si="2"/>
        <v>0</v>
      </c>
      <c r="P128" s="52">
        <f t="shared" si="2"/>
        <v>0</v>
      </c>
      <c r="Q128" s="52">
        <f t="shared" si="2"/>
        <v>0</v>
      </c>
      <c r="R128" s="52">
        <f t="shared" si="2"/>
        <v>0</v>
      </c>
      <c r="S128" s="52">
        <f t="shared" si="2"/>
        <v>0</v>
      </c>
      <c r="T128" s="52">
        <f t="shared" si="2"/>
        <v>0</v>
      </c>
      <c r="U128" s="52">
        <f t="shared" si="2"/>
        <v>0</v>
      </c>
      <c r="V128" s="52">
        <f t="shared" si="2"/>
        <v>0</v>
      </c>
      <c r="W128" s="52">
        <f t="shared" si="2"/>
        <v>0</v>
      </c>
      <c r="X128" s="52">
        <f t="shared" si="2"/>
        <v>0</v>
      </c>
      <c r="Y128" s="52">
        <f t="shared" si="2"/>
        <v>0</v>
      </c>
      <c r="Z128" s="52">
        <f t="shared" si="2"/>
        <v>0</v>
      </c>
      <c r="AA128" s="52">
        <f t="shared" si="2"/>
        <v>0</v>
      </c>
      <c r="AB128" s="214">
        <f t="shared" si="2"/>
        <v>0</v>
      </c>
    </row>
    <row r="129" spans="1:58" x14ac:dyDescent="0.35">
      <c r="E129" s="50"/>
      <c r="F129" s="50"/>
      <c r="G129" s="38"/>
      <c r="H129" s="38"/>
      <c r="I129" s="211"/>
      <c r="J129" s="76"/>
      <c r="K129" s="212"/>
      <c r="L129" s="212"/>
      <c r="M129" s="212"/>
      <c r="Q129" s="38"/>
      <c r="S129" s="77"/>
      <c r="U129"/>
    </row>
    <row r="130" spans="1:58" s="4" customFormat="1" x14ac:dyDescent="0.35">
      <c r="A130" s="15" t="s">
        <v>358</v>
      </c>
      <c r="D130" s="19" t="s">
        <v>135</v>
      </c>
      <c r="E130" s="38" t="str" cm="1">
        <f t="array" ref="E130:AZ130">TRANSPOSE(D133:D180)</f>
        <v>SR</v>
      </c>
      <c r="F130" s="38" t="str">
        <v>ELE</v>
      </c>
      <c r="G130" s="38" t="str">
        <v>SR_H2</v>
      </c>
      <c r="H130" s="38" t="str">
        <v>ELE_H2</v>
      </c>
      <c r="I130" s="76" t="str">
        <v>SR</v>
      </c>
      <c r="J130" s="215" t="str">
        <v>ELE</v>
      </c>
      <c r="K130" s="76" t="str">
        <v>SR_H2</v>
      </c>
      <c r="L130" s="76" t="str">
        <v>ELE_H2</v>
      </c>
      <c r="M130" s="216" t="str">
        <v>SR</v>
      </c>
      <c r="N130" s="4" t="str">
        <v>ELE</v>
      </c>
      <c r="O130" s="4" t="str">
        <v>SR_H2</v>
      </c>
      <c r="P130" s="4" t="str">
        <v>ELE_H2</v>
      </c>
      <c r="Q130" s="38" t="str">
        <v>SR</v>
      </c>
      <c r="R130" s="4" t="str">
        <v>ELE</v>
      </c>
      <c r="S130" s="4" t="str">
        <v>SR_H2</v>
      </c>
      <c r="T130" s="4" t="str">
        <v>ELE_H2</v>
      </c>
      <c r="U130" s="4" t="str">
        <v>SR</v>
      </c>
      <c r="V130" s="4" t="str">
        <v>ELE</v>
      </c>
      <c r="W130" s="4" t="str">
        <v>SR_H2</v>
      </c>
      <c r="X130" s="4" t="str">
        <v>ELE_H2</v>
      </c>
      <c r="Y130" s="4" t="str">
        <v>SR</v>
      </c>
      <c r="Z130" s="4" t="str">
        <v>ELE</v>
      </c>
      <c r="AA130" s="4" t="str">
        <v>SR_H2</v>
      </c>
      <c r="AB130" s="17" t="str">
        <v>ELE_H2</v>
      </c>
      <c r="AC130" s="4" t="str">
        <v>M_SR</v>
      </c>
      <c r="AD130" s="4" t="str">
        <v>M_ELE</v>
      </c>
      <c r="AE130" s="4" t="str">
        <v>SR_H2_P</v>
      </c>
      <c r="AF130" s="4" t="str">
        <v>ELE_H2_P</v>
      </c>
      <c r="AG130" s="4" t="str">
        <v>M_SR</v>
      </c>
      <c r="AH130" s="4" t="str">
        <v>M_ELE</v>
      </c>
      <c r="AI130" s="4" t="str">
        <v>SR_H2_P</v>
      </c>
      <c r="AJ130" s="4" t="str">
        <v>ELE_H2_P</v>
      </c>
      <c r="AK130" s="4" t="str">
        <v>M_SR</v>
      </c>
      <c r="AL130" s="4" t="str">
        <v>M_ELE</v>
      </c>
      <c r="AM130" s="4" t="str">
        <v>SR_H2_P</v>
      </c>
      <c r="AN130" s="4" t="str">
        <v>ELE_H2_P</v>
      </c>
      <c r="AO130" s="4" t="str">
        <v>M_SR</v>
      </c>
      <c r="AP130" s="4" t="str">
        <v>M_ELE</v>
      </c>
      <c r="AQ130" s="4" t="str">
        <v>SR_H2_P</v>
      </c>
      <c r="AR130" s="4" t="str">
        <v>ELE_H2_P</v>
      </c>
      <c r="AS130" s="4" t="str">
        <v>M_SR</v>
      </c>
      <c r="AT130" s="4" t="str">
        <v>M_ELE</v>
      </c>
      <c r="AU130" s="4" t="str">
        <v>SR_H2_P</v>
      </c>
      <c r="AV130" s="4" t="str">
        <v>ELE_H2_P</v>
      </c>
      <c r="AW130" s="4" t="str">
        <v>M_SR</v>
      </c>
      <c r="AX130" s="4" t="str">
        <v>M_ELE</v>
      </c>
      <c r="AY130" s="4" t="str">
        <v>SR_H2_P</v>
      </c>
      <c r="AZ130" s="17" t="str">
        <v>ELE_H2_P</v>
      </c>
      <c r="BA130" t="s">
        <v>359</v>
      </c>
      <c r="BB130" t="s">
        <v>359</v>
      </c>
      <c r="BC130" t="s">
        <v>359</v>
      </c>
      <c r="BD130" t="s">
        <v>359</v>
      </c>
      <c r="BE130" t="s">
        <v>359</v>
      </c>
      <c r="BF130" t="s">
        <v>359</v>
      </c>
    </row>
    <row r="131" spans="1:58" s="4" customFormat="1" x14ac:dyDescent="0.35">
      <c r="D131" s="19" t="s">
        <v>136</v>
      </c>
      <c r="E131" s="38" t="str" cm="1">
        <f t="array" ref="E131:AZ131">TRANSPOSE(B133:B180)</f>
        <v>EU27</v>
      </c>
      <c r="F131" s="38" t="str">
        <v>EU27</v>
      </c>
      <c r="G131" s="38" t="str">
        <v>EU27</v>
      </c>
      <c r="H131" s="38" t="str">
        <v>EU27</v>
      </c>
      <c r="I131" s="211" t="str">
        <v>China</v>
      </c>
      <c r="J131" s="217" t="str">
        <v>China</v>
      </c>
      <c r="K131" s="211" t="str">
        <v>China</v>
      </c>
      <c r="L131" s="211" t="str">
        <v>China</v>
      </c>
      <c r="M131" s="212" t="str">
        <v>USA</v>
      </c>
      <c r="N131" s="4" t="str">
        <v>USA</v>
      </c>
      <c r="O131" s="4" t="str">
        <v>USA</v>
      </c>
      <c r="P131" s="4" t="str">
        <v>USA</v>
      </c>
      <c r="Q131" s="38" t="str">
        <v>India</v>
      </c>
      <c r="R131" s="4" t="str">
        <v>India</v>
      </c>
      <c r="S131" s="4" t="str">
        <v>India</v>
      </c>
      <c r="T131" s="216" t="str">
        <v>India</v>
      </c>
      <c r="U131" s="4" t="str">
        <v>Russia</v>
      </c>
      <c r="V131" s="4" t="str">
        <v>Russia</v>
      </c>
      <c r="W131" s="4" t="str">
        <v>Russia</v>
      </c>
      <c r="X131" s="4" t="str">
        <v>Russia</v>
      </c>
      <c r="Y131" s="4" t="str">
        <v>RoW</v>
      </c>
      <c r="Z131" s="4" t="str">
        <v>RoW</v>
      </c>
      <c r="AA131" s="4" t="str">
        <v>RoW</v>
      </c>
      <c r="AB131" s="17" t="str">
        <v>RoW</v>
      </c>
      <c r="AC131" s="4" t="str">
        <v>EU27</v>
      </c>
      <c r="AD131" s="4" t="str">
        <v>EU27</v>
      </c>
      <c r="AE131" s="4" t="str">
        <v>EU27</v>
      </c>
      <c r="AF131" s="4" t="str">
        <v>EU27</v>
      </c>
      <c r="AG131" s="4" t="str">
        <v>China</v>
      </c>
      <c r="AH131" s="4" t="str">
        <v>China</v>
      </c>
      <c r="AI131" s="4" t="str">
        <v>China</v>
      </c>
      <c r="AJ131" s="4" t="str">
        <v>China</v>
      </c>
      <c r="AK131" s="4" t="str">
        <v>USA</v>
      </c>
      <c r="AL131" s="4" t="str">
        <v>USA</v>
      </c>
      <c r="AM131" s="4" t="str">
        <v>USA</v>
      </c>
      <c r="AN131" s="4" t="str">
        <v>USA</v>
      </c>
      <c r="AO131" s="4" t="str">
        <v>India</v>
      </c>
      <c r="AP131" s="4" t="str">
        <v>India</v>
      </c>
      <c r="AQ131" s="4" t="str">
        <v>India</v>
      </c>
      <c r="AR131" s="4" t="str">
        <v>India</v>
      </c>
      <c r="AS131" s="4" t="str">
        <v>Russia</v>
      </c>
      <c r="AT131" s="4" t="str">
        <v>Russia</v>
      </c>
      <c r="AU131" s="4" t="str">
        <v>Russia</v>
      </c>
      <c r="AV131" s="4" t="str">
        <v>Russia</v>
      </c>
      <c r="AW131" s="4" t="str">
        <v>RoW</v>
      </c>
      <c r="AX131" s="4" t="str">
        <v>RoW</v>
      </c>
      <c r="AY131" s="4" t="str">
        <v>RoW</v>
      </c>
      <c r="AZ131" s="17" t="str">
        <v>RoW</v>
      </c>
      <c r="BA131" s="4" t="s">
        <v>73</v>
      </c>
      <c r="BB131" s="4" t="s">
        <v>88</v>
      </c>
      <c r="BC131" s="4" t="s">
        <v>90</v>
      </c>
      <c r="BD131" s="4" t="s">
        <v>91</v>
      </c>
      <c r="BE131" s="4" t="s">
        <v>92</v>
      </c>
      <c r="BF131" s="4" t="s">
        <v>93</v>
      </c>
    </row>
    <row r="132" spans="1:58" s="4" customFormat="1" x14ac:dyDescent="0.35">
      <c r="A132" s="18" t="s">
        <v>137</v>
      </c>
      <c r="B132" s="18" t="s">
        <v>136</v>
      </c>
      <c r="C132" s="19" t="s">
        <v>138</v>
      </c>
      <c r="E132" s="38" t="str" cm="1">
        <f t="array" ref="E132:AZ132">TRANSPOSE(C133:C180)</f>
        <v>no.</v>
      </c>
      <c r="F132" s="38" t="str">
        <v>no.</v>
      </c>
      <c r="G132" s="38" t="str">
        <v>kgH2</v>
      </c>
      <c r="H132" s="38" t="str">
        <v>kgH2</v>
      </c>
      <c r="I132" s="211" t="str">
        <v>no.</v>
      </c>
      <c r="J132" s="217" t="str">
        <v>no.</v>
      </c>
      <c r="K132" s="211" t="str">
        <v>kgH2</v>
      </c>
      <c r="L132" s="211" t="str">
        <v>kgH2</v>
      </c>
      <c r="M132" s="212" t="str">
        <v>no.</v>
      </c>
      <c r="N132" s="4" t="str">
        <v>no.</v>
      </c>
      <c r="O132" s="4" t="str">
        <v>kgH2</v>
      </c>
      <c r="P132" s="4" t="str">
        <v>kgH2</v>
      </c>
      <c r="Q132" s="38" t="str">
        <v>no.</v>
      </c>
      <c r="R132" s="4" t="str">
        <v>no.</v>
      </c>
      <c r="S132" s="4" t="str">
        <v>kgH2</v>
      </c>
      <c r="T132" s="4" t="str">
        <v>kgH2</v>
      </c>
      <c r="U132" s="4" t="str">
        <v>no.</v>
      </c>
      <c r="V132" s="4" t="str">
        <v>no.</v>
      </c>
      <c r="W132" s="4" t="str">
        <v>kgH2</v>
      </c>
      <c r="X132" s="4" t="str">
        <v>kgH2</v>
      </c>
      <c r="Y132" s="4" t="str">
        <v>no.</v>
      </c>
      <c r="Z132" s="4" t="str">
        <v>no.</v>
      </c>
      <c r="AA132" s="4" t="str">
        <v>kgH2</v>
      </c>
      <c r="AB132" s="17" t="str">
        <v>kgH2</v>
      </c>
      <c r="AC132" s="4" t="str">
        <v>no.</v>
      </c>
      <c r="AD132" s="4" t="str">
        <v>no.</v>
      </c>
      <c r="AE132" s="4" t="str">
        <v>kgH2</v>
      </c>
      <c r="AF132" s="4" t="str">
        <v>kgH2</v>
      </c>
      <c r="AG132" s="4" t="str">
        <v>no.</v>
      </c>
      <c r="AH132" s="4" t="str">
        <v>no.</v>
      </c>
      <c r="AI132" s="4" t="str">
        <v>kgH2</v>
      </c>
      <c r="AJ132" s="4" t="str">
        <v>kgH2</v>
      </c>
      <c r="AK132" s="4" t="str">
        <v>no.</v>
      </c>
      <c r="AL132" s="4" t="str">
        <v>no.</v>
      </c>
      <c r="AM132" s="4" t="str">
        <v>kgH2</v>
      </c>
      <c r="AN132" s="4" t="str">
        <v>kgH2</v>
      </c>
      <c r="AO132" s="4" t="str">
        <v>no.</v>
      </c>
      <c r="AP132" s="4" t="str">
        <v>no.</v>
      </c>
      <c r="AQ132" s="4" t="str">
        <v>kgH2</v>
      </c>
      <c r="AR132" s="4" t="str">
        <v>kgH2</v>
      </c>
      <c r="AS132" s="4" t="str">
        <v>no.</v>
      </c>
      <c r="AT132" s="4" t="str">
        <v>no.</v>
      </c>
      <c r="AU132" s="4" t="str">
        <v>kgH2</v>
      </c>
      <c r="AV132" s="4" t="str">
        <v>kgH2</v>
      </c>
      <c r="AW132" s="4" t="str">
        <v>no.</v>
      </c>
      <c r="AX132" s="4" t="str">
        <v>no.</v>
      </c>
      <c r="AY132" s="4" t="str">
        <v>kgH2</v>
      </c>
      <c r="AZ132" s="17" t="str">
        <v>kgH2</v>
      </c>
    </row>
    <row r="133" spans="1:58" x14ac:dyDescent="0.35">
      <c r="A133" t="s">
        <v>139</v>
      </c>
      <c r="B133" t="s">
        <v>73</v>
      </c>
      <c r="C133" s="4" t="s">
        <v>140</v>
      </c>
      <c r="D133" s="4" t="s">
        <v>141</v>
      </c>
      <c r="E133" s="50"/>
      <c r="F133" s="50"/>
      <c r="G133" s="38"/>
      <c r="H133" s="38"/>
      <c r="I133" s="211"/>
      <c r="J133" s="217"/>
      <c r="K133" s="211"/>
      <c r="L133" s="211"/>
      <c r="M133" s="212"/>
      <c r="Q133" s="38"/>
      <c r="S133" s="218"/>
      <c r="U133"/>
      <c r="AC133" s="54" cm="1">
        <f t="array" ref="AC133:AF136">MMULT(AC4:AF7,MINVERSE(_xlfn.MUNIT(4)*BH28:BH31))</f>
        <v>0</v>
      </c>
      <c r="AD133" s="54">
        <v>0</v>
      </c>
      <c r="AE133" s="55">
        <v>2.2579291132186622E-8</v>
      </c>
      <c r="AF133" s="219">
        <v>0</v>
      </c>
      <c r="AG133" s="54">
        <v>0</v>
      </c>
      <c r="AH133" s="54">
        <v>0</v>
      </c>
      <c r="AI133" s="54">
        <v>0</v>
      </c>
      <c r="AJ133" s="219">
        <v>0</v>
      </c>
      <c r="AK133" s="54">
        <v>0</v>
      </c>
      <c r="AL133" s="54">
        <v>0</v>
      </c>
      <c r="AM133" s="54">
        <v>0</v>
      </c>
      <c r="AN133" s="219">
        <v>0</v>
      </c>
      <c r="AO133" s="54">
        <v>0</v>
      </c>
      <c r="AP133" s="54">
        <v>0</v>
      </c>
      <c r="AQ133" s="54">
        <v>0</v>
      </c>
      <c r="AR133" s="219">
        <v>0</v>
      </c>
      <c r="AS133" s="54">
        <v>0</v>
      </c>
      <c r="AT133" s="54">
        <v>0</v>
      </c>
      <c r="AU133" s="54">
        <v>0</v>
      </c>
      <c r="AV133" s="219">
        <v>0</v>
      </c>
      <c r="AW133" s="54">
        <v>0</v>
      </c>
      <c r="AX133" s="54">
        <v>0</v>
      </c>
      <c r="AY133" s="54">
        <v>0</v>
      </c>
      <c r="AZ133" s="56">
        <v>0</v>
      </c>
      <c r="BA133" s="182">
        <f>BA4</f>
        <v>0</v>
      </c>
      <c r="BB133" s="183">
        <v>0</v>
      </c>
      <c r="BC133" s="183">
        <v>0</v>
      </c>
      <c r="BD133" s="183">
        <v>0</v>
      </c>
      <c r="BE133" s="183">
        <v>0</v>
      </c>
      <c r="BF133" s="23">
        <v>0</v>
      </c>
    </row>
    <row r="134" spans="1:58" x14ac:dyDescent="0.35">
      <c r="A134" t="s">
        <v>142</v>
      </c>
      <c r="B134" t="s">
        <v>73</v>
      </c>
      <c r="C134" s="4" t="s">
        <v>140</v>
      </c>
      <c r="D134" s="4" t="s">
        <v>143</v>
      </c>
      <c r="E134" s="50"/>
      <c r="F134" s="50"/>
      <c r="G134" s="38"/>
      <c r="H134" s="38"/>
      <c r="I134" s="212"/>
      <c r="J134" s="76"/>
      <c r="K134" s="76"/>
      <c r="L134" s="212"/>
      <c r="M134" s="212"/>
      <c r="Q134" s="38"/>
      <c r="S134" s="77"/>
      <c r="U134"/>
      <c r="AC134" s="54">
        <v>0</v>
      </c>
      <c r="AD134" s="54">
        <v>0</v>
      </c>
      <c r="AE134" s="54">
        <v>0</v>
      </c>
      <c r="AF134" s="220">
        <v>1.9230769230769231E-4</v>
      </c>
      <c r="AG134" s="54">
        <v>0</v>
      </c>
      <c r="AH134" s="54">
        <v>0</v>
      </c>
      <c r="AI134" s="54">
        <v>0</v>
      </c>
      <c r="AJ134" s="219">
        <v>0</v>
      </c>
      <c r="AK134" s="54">
        <v>0</v>
      </c>
      <c r="AL134" s="54">
        <v>0</v>
      </c>
      <c r="AM134" s="54">
        <v>0</v>
      </c>
      <c r="AN134" s="219">
        <v>0</v>
      </c>
      <c r="AO134" s="54">
        <v>0</v>
      </c>
      <c r="AP134" s="54">
        <v>0</v>
      </c>
      <c r="AQ134" s="54">
        <v>0</v>
      </c>
      <c r="AR134" s="219">
        <v>0</v>
      </c>
      <c r="AS134" s="54">
        <v>0</v>
      </c>
      <c r="AT134" s="54">
        <v>0</v>
      </c>
      <c r="AU134" s="54">
        <v>0</v>
      </c>
      <c r="AV134" s="219">
        <v>0</v>
      </c>
      <c r="AW134" s="54">
        <v>0</v>
      </c>
      <c r="AX134" s="54">
        <v>0</v>
      </c>
      <c r="AY134" s="54">
        <v>0</v>
      </c>
      <c r="AZ134" s="56">
        <v>0</v>
      </c>
      <c r="BA134" s="182">
        <f t="shared" ref="BA134:BA136" si="3">BA5</f>
        <v>0</v>
      </c>
      <c r="BB134" s="183">
        <v>0</v>
      </c>
      <c r="BC134" s="183">
        <v>0</v>
      </c>
      <c r="BD134" s="183">
        <v>0</v>
      </c>
      <c r="BE134" s="183">
        <v>0</v>
      </c>
      <c r="BF134" s="23">
        <v>0</v>
      </c>
    </row>
    <row r="135" spans="1:58" x14ac:dyDescent="0.35">
      <c r="A135" t="s">
        <v>147</v>
      </c>
      <c r="B135" t="s">
        <v>73</v>
      </c>
      <c r="C135" s="4" t="s">
        <v>148</v>
      </c>
      <c r="D135" s="4" t="s">
        <v>149</v>
      </c>
      <c r="E135" s="50"/>
      <c r="F135" s="50"/>
      <c r="G135" s="50"/>
      <c r="H135" s="50"/>
      <c r="I135" s="212"/>
      <c r="J135" s="212"/>
      <c r="K135" s="76"/>
      <c r="L135" s="212"/>
      <c r="M135" s="212"/>
      <c r="Q135" s="50"/>
      <c r="S135" s="77"/>
      <c r="AC135" s="54">
        <v>0</v>
      </c>
      <c r="AD135" s="54">
        <v>0</v>
      </c>
      <c r="AE135" s="54">
        <v>0</v>
      </c>
      <c r="AF135" s="219">
        <v>0</v>
      </c>
      <c r="AG135" s="54">
        <v>0</v>
      </c>
      <c r="AH135" s="54">
        <v>0</v>
      </c>
      <c r="AI135" s="54">
        <v>0</v>
      </c>
      <c r="AJ135" s="219">
        <v>0</v>
      </c>
      <c r="AK135" s="54">
        <v>0</v>
      </c>
      <c r="AL135" s="54">
        <v>0</v>
      </c>
      <c r="AM135" s="54">
        <v>0</v>
      </c>
      <c r="AN135" s="219">
        <v>0</v>
      </c>
      <c r="AO135" s="54">
        <v>0</v>
      </c>
      <c r="AP135" s="54">
        <v>0</v>
      </c>
      <c r="AQ135" s="54">
        <v>0</v>
      </c>
      <c r="AR135" s="219">
        <v>0</v>
      </c>
      <c r="AS135" s="54">
        <v>0</v>
      </c>
      <c r="AT135" s="54">
        <v>0</v>
      </c>
      <c r="AU135" s="54">
        <v>0</v>
      </c>
      <c r="AV135" s="219">
        <v>0</v>
      </c>
      <c r="AW135" s="54">
        <v>0</v>
      </c>
      <c r="AX135" s="54">
        <v>0</v>
      </c>
      <c r="AY135" s="54">
        <v>0</v>
      </c>
      <c r="AZ135" s="56">
        <v>0</v>
      </c>
      <c r="BA135" s="184">
        <f t="shared" si="3"/>
        <v>17505.475963799996</v>
      </c>
      <c r="BB135" s="183">
        <v>0</v>
      </c>
      <c r="BC135" s="183">
        <v>0</v>
      </c>
      <c r="BD135" s="183">
        <v>0</v>
      </c>
      <c r="BE135" s="183">
        <v>0</v>
      </c>
      <c r="BF135" s="23">
        <v>0</v>
      </c>
    </row>
    <row r="136" spans="1:58" ht="15" thickBot="1" x14ac:dyDescent="0.4">
      <c r="A136" t="s">
        <v>150</v>
      </c>
      <c r="B136" t="s">
        <v>73</v>
      </c>
      <c r="C136" s="4" t="s">
        <v>148</v>
      </c>
      <c r="D136" s="4" t="s">
        <v>151</v>
      </c>
      <c r="E136" s="50"/>
      <c r="F136" s="50"/>
      <c r="G136" s="50"/>
      <c r="H136" s="50"/>
      <c r="I136" s="212"/>
      <c r="J136" s="212"/>
      <c r="K136" s="76"/>
      <c r="L136" s="212"/>
      <c r="M136" s="212"/>
      <c r="Q136" s="50"/>
      <c r="AC136" s="221">
        <v>0</v>
      </c>
      <c r="AD136" s="221">
        <v>0</v>
      </c>
      <c r="AE136" s="221">
        <v>0</v>
      </c>
      <c r="AF136" s="222">
        <v>0</v>
      </c>
      <c r="AG136" s="221">
        <v>0</v>
      </c>
      <c r="AH136" s="221">
        <v>0</v>
      </c>
      <c r="AI136" s="221">
        <v>0</v>
      </c>
      <c r="AJ136" s="222">
        <v>0</v>
      </c>
      <c r="AK136" s="221">
        <v>0</v>
      </c>
      <c r="AL136" s="221">
        <v>0</v>
      </c>
      <c r="AM136" s="221">
        <v>0</v>
      </c>
      <c r="AN136" s="222">
        <v>0</v>
      </c>
      <c r="AO136" s="221">
        <v>0</v>
      </c>
      <c r="AP136" s="221">
        <v>0</v>
      </c>
      <c r="AQ136" s="221">
        <v>0</v>
      </c>
      <c r="AR136" s="222">
        <v>0</v>
      </c>
      <c r="AS136" s="221">
        <v>0</v>
      </c>
      <c r="AT136" s="221">
        <v>0</v>
      </c>
      <c r="AU136" s="221">
        <v>0</v>
      </c>
      <c r="AV136" s="222">
        <v>0</v>
      </c>
      <c r="AW136" s="221">
        <v>0</v>
      </c>
      <c r="AX136" s="221">
        <v>0</v>
      </c>
      <c r="AY136" s="221">
        <v>0</v>
      </c>
      <c r="AZ136" s="223">
        <v>0</v>
      </c>
      <c r="BA136" s="189">
        <f t="shared" si="3"/>
        <v>5200</v>
      </c>
      <c r="BB136" s="190">
        <v>0</v>
      </c>
      <c r="BC136" s="190">
        <v>0</v>
      </c>
      <c r="BD136" s="190">
        <v>0</v>
      </c>
      <c r="BE136" s="190">
        <v>0</v>
      </c>
      <c r="BF136" s="191">
        <v>0</v>
      </c>
    </row>
    <row r="137" spans="1:58" x14ac:dyDescent="0.35">
      <c r="A137" t="s">
        <v>139</v>
      </c>
      <c r="B137" t="s">
        <v>88</v>
      </c>
      <c r="C137" s="4" t="s">
        <v>140</v>
      </c>
      <c r="D137" s="4" t="s">
        <v>141</v>
      </c>
      <c r="E137" s="50"/>
      <c r="F137" s="50"/>
      <c r="G137" s="50"/>
      <c r="H137" s="50"/>
      <c r="I137" s="212"/>
      <c r="J137" s="212"/>
      <c r="K137" s="76"/>
      <c r="L137" s="212"/>
      <c r="M137" s="212"/>
      <c r="Q137" s="50"/>
      <c r="AC137" s="54">
        <v>0</v>
      </c>
      <c r="AD137" s="54">
        <v>0</v>
      </c>
      <c r="AE137" s="54">
        <v>0</v>
      </c>
      <c r="AF137" s="219">
        <v>0</v>
      </c>
      <c r="AG137" s="54">
        <v>0</v>
      </c>
      <c r="AH137" s="54">
        <v>0</v>
      </c>
      <c r="AI137" s="54">
        <v>0</v>
      </c>
      <c r="AJ137" s="219">
        <v>0</v>
      </c>
      <c r="AK137" s="54">
        <v>0</v>
      </c>
      <c r="AL137" s="54">
        <v>0</v>
      </c>
      <c r="AM137" s="54">
        <v>0</v>
      </c>
      <c r="AN137" s="219">
        <v>0</v>
      </c>
      <c r="AO137" s="54">
        <v>0</v>
      </c>
      <c r="AP137" s="54">
        <v>0</v>
      </c>
      <c r="AQ137" s="54">
        <v>0</v>
      </c>
      <c r="AR137" s="219">
        <v>0</v>
      </c>
      <c r="AS137" s="54">
        <v>0</v>
      </c>
      <c r="AT137" s="54">
        <v>0</v>
      </c>
      <c r="AU137" s="54">
        <v>0</v>
      </c>
      <c r="AV137" s="219">
        <v>0</v>
      </c>
      <c r="AW137" s="54">
        <v>0</v>
      </c>
      <c r="AX137" s="54">
        <v>0</v>
      </c>
      <c r="AY137" s="54">
        <v>0</v>
      </c>
      <c r="AZ137" s="56">
        <v>0</v>
      </c>
      <c r="BA137" s="182">
        <v>0</v>
      </c>
      <c r="BB137" s="183">
        <v>0</v>
      </c>
      <c r="BC137" s="183">
        <v>0</v>
      </c>
      <c r="BD137" s="183">
        <v>0</v>
      </c>
      <c r="BE137" s="183">
        <v>0</v>
      </c>
      <c r="BF137" s="23">
        <v>0</v>
      </c>
    </row>
    <row r="138" spans="1:58" x14ac:dyDescent="0.35">
      <c r="A138" t="s">
        <v>142</v>
      </c>
      <c r="B138" t="s">
        <v>88</v>
      </c>
      <c r="C138" s="4" t="s">
        <v>140</v>
      </c>
      <c r="D138" s="4" t="s">
        <v>143</v>
      </c>
      <c r="E138" s="50"/>
      <c r="F138" s="50"/>
      <c r="G138" s="50"/>
      <c r="H138" s="50"/>
      <c r="I138" s="212"/>
      <c r="J138" s="212"/>
      <c r="K138" s="76"/>
      <c r="L138" s="212"/>
      <c r="M138" s="212"/>
      <c r="Q138" s="50"/>
      <c r="AC138" s="54">
        <v>0</v>
      </c>
      <c r="AD138" s="54">
        <v>0</v>
      </c>
      <c r="AE138" s="54">
        <v>0</v>
      </c>
      <c r="AF138" s="219">
        <v>0</v>
      </c>
      <c r="AG138" s="54">
        <v>0</v>
      </c>
      <c r="AH138" s="54">
        <v>0</v>
      </c>
      <c r="AI138" s="54">
        <v>0</v>
      </c>
      <c r="AJ138" s="219">
        <v>0</v>
      </c>
      <c r="AK138" s="54">
        <v>0</v>
      </c>
      <c r="AL138" s="54">
        <v>0</v>
      </c>
      <c r="AM138" s="54">
        <v>0</v>
      </c>
      <c r="AN138" s="219">
        <v>0</v>
      </c>
      <c r="AO138" s="54">
        <v>0</v>
      </c>
      <c r="AP138" s="54">
        <v>0</v>
      </c>
      <c r="AQ138" s="54">
        <v>0</v>
      </c>
      <c r="AR138" s="219">
        <v>0</v>
      </c>
      <c r="AS138" s="54">
        <v>0</v>
      </c>
      <c r="AT138" s="54">
        <v>0</v>
      </c>
      <c r="AU138" s="54">
        <v>0</v>
      </c>
      <c r="AV138" s="219">
        <v>0</v>
      </c>
      <c r="AW138" s="54">
        <v>0</v>
      </c>
      <c r="AX138" s="54">
        <v>0</v>
      </c>
      <c r="AY138" s="54">
        <v>0</v>
      </c>
      <c r="AZ138" s="56">
        <v>0</v>
      </c>
      <c r="BA138" s="182">
        <v>0</v>
      </c>
      <c r="BB138" s="183">
        <v>0</v>
      </c>
      <c r="BC138" s="183">
        <v>0</v>
      </c>
      <c r="BD138" s="183">
        <v>0</v>
      </c>
      <c r="BE138" s="183">
        <v>0</v>
      </c>
      <c r="BF138" s="23">
        <v>0</v>
      </c>
    </row>
    <row r="139" spans="1:58" x14ac:dyDescent="0.35">
      <c r="A139" t="s">
        <v>147</v>
      </c>
      <c r="B139" t="s">
        <v>88</v>
      </c>
      <c r="C139" s="4" t="s">
        <v>148</v>
      </c>
      <c r="D139" s="4" t="s">
        <v>149</v>
      </c>
      <c r="E139" s="50"/>
      <c r="F139" s="50"/>
      <c r="G139" s="50"/>
      <c r="H139" s="50"/>
      <c r="I139" s="212"/>
      <c r="J139" s="212"/>
      <c r="K139" s="76"/>
      <c r="L139" s="212"/>
      <c r="M139" s="212"/>
      <c r="Q139" s="50"/>
      <c r="AC139" s="54">
        <v>0</v>
      </c>
      <c r="AD139" s="54">
        <v>0</v>
      </c>
      <c r="AE139" s="54">
        <v>0</v>
      </c>
      <c r="AF139" s="219">
        <v>0</v>
      </c>
      <c r="AG139" s="54">
        <v>0</v>
      </c>
      <c r="AH139" s="54">
        <v>0</v>
      </c>
      <c r="AI139" s="54">
        <v>0</v>
      </c>
      <c r="AJ139" s="219">
        <v>0</v>
      </c>
      <c r="AK139" s="54">
        <v>0</v>
      </c>
      <c r="AL139" s="54">
        <v>0</v>
      </c>
      <c r="AM139" s="54">
        <v>0</v>
      </c>
      <c r="AN139" s="219">
        <v>0</v>
      </c>
      <c r="AO139" s="54">
        <v>0</v>
      </c>
      <c r="AP139" s="54">
        <v>0</v>
      </c>
      <c r="AQ139" s="54">
        <v>0</v>
      </c>
      <c r="AR139" s="219">
        <v>0</v>
      </c>
      <c r="AS139" s="54">
        <v>0</v>
      </c>
      <c r="AT139" s="54">
        <v>0</v>
      </c>
      <c r="AU139" s="54">
        <v>0</v>
      </c>
      <c r="AV139" s="219">
        <v>0</v>
      </c>
      <c r="AW139" s="54">
        <v>0</v>
      </c>
      <c r="AX139" s="54">
        <v>0</v>
      </c>
      <c r="AY139" s="54">
        <v>0</v>
      </c>
      <c r="AZ139" s="56">
        <v>0</v>
      </c>
      <c r="BA139" s="182">
        <v>0</v>
      </c>
      <c r="BB139" s="183">
        <v>0</v>
      </c>
      <c r="BC139" s="183">
        <v>0</v>
      </c>
      <c r="BD139" s="183">
        <v>0</v>
      </c>
      <c r="BE139" s="183">
        <v>0</v>
      </c>
      <c r="BF139" s="23">
        <v>0</v>
      </c>
    </row>
    <row r="140" spans="1:58" ht="15" thickBot="1" x14ac:dyDescent="0.4">
      <c r="A140" t="s">
        <v>150</v>
      </c>
      <c r="B140" t="s">
        <v>88</v>
      </c>
      <c r="C140" s="4" t="s">
        <v>148</v>
      </c>
      <c r="D140" s="4" t="s">
        <v>151</v>
      </c>
      <c r="E140" s="50"/>
      <c r="F140" s="50"/>
      <c r="G140" s="50"/>
      <c r="H140" s="50"/>
      <c r="I140" s="212"/>
      <c r="J140" s="212"/>
      <c r="K140" s="76"/>
      <c r="L140" s="212"/>
      <c r="M140" s="212"/>
      <c r="Q140" s="50"/>
      <c r="AC140" s="221">
        <v>0</v>
      </c>
      <c r="AD140" s="221">
        <v>0</v>
      </c>
      <c r="AE140" s="221">
        <v>0</v>
      </c>
      <c r="AF140" s="222">
        <v>0</v>
      </c>
      <c r="AG140" s="221">
        <v>0</v>
      </c>
      <c r="AH140" s="221">
        <v>0</v>
      </c>
      <c r="AI140" s="221">
        <v>0</v>
      </c>
      <c r="AJ140" s="222">
        <v>0</v>
      </c>
      <c r="AK140" s="221">
        <v>0</v>
      </c>
      <c r="AL140" s="221">
        <v>0</v>
      </c>
      <c r="AM140" s="221">
        <v>0</v>
      </c>
      <c r="AN140" s="222">
        <v>0</v>
      </c>
      <c r="AO140" s="221">
        <v>0</v>
      </c>
      <c r="AP140" s="221">
        <v>0</v>
      </c>
      <c r="AQ140" s="221">
        <v>0</v>
      </c>
      <c r="AR140" s="222">
        <v>0</v>
      </c>
      <c r="AS140" s="221">
        <v>0</v>
      </c>
      <c r="AT140" s="221">
        <v>0</v>
      </c>
      <c r="AU140" s="221">
        <v>0</v>
      </c>
      <c r="AV140" s="222">
        <v>0</v>
      </c>
      <c r="AW140" s="221">
        <v>0</v>
      </c>
      <c r="AX140" s="221">
        <v>0</v>
      </c>
      <c r="AY140" s="221">
        <v>0</v>
      </c>
      <c r="AZ140" s="223">
        <v>0</v>
      </c>
      <c r="BA140" s="189">
        <v>0</v>
      </c>
      <c r="BB140" s="190">
        <v>0</v>
      </c>
      <c r="BC140" s="190">
        <v>0</v>
      </c>
      <c r="BD140" s="190">
        <v>0</v>
      </c>
      <c r="BE140" s="190">
        <v>0</v>
      </c>
      <c r="BF140" s="191">
        <v>0</v>
      </c>
    </row>
    <row r="141" spans="1:58" x14ac:dyDescent="0.35">
      <c r="A141" t="s">
        <v>139</v>
      </c>
      <c r="B141" t="s">
        <v>90</v>
      </c>
      <c r="C141" s="4" t="s">
        <v>140</v>
      </c>
      <c r="D141" s="4" t="s">
        <v>141</v>
      </c>
      <c r="E141" s="50"/>
      <c r="F141" s="50"/>
      <c r="G141" s="50"/>
      <c r="H141" s="50"/>
      <c r="I141" s="212"/>
      <c r="J141" s="212"/>
      <c r="K141" s="76"/>
      <c r="L141" s="212"/>
      <c r="M141" s="212"/>
      <c r="Q141" s="50"/>
      <c r="AC141" s="54">
        <v>0</v>
      </c>
      <c r="AD141" s="54">
        <v>0</v>
      </c>
      <c r="AE141" s="54">
        <v>0</v>
      </c>
      <c r="AF141" s="219">
        <v>0</v>
      </c>
      <c r="AG141" s="54">
        <v>0</v>
      </c>
      <c r="AH141" s="54">
        <v>0</v>
      </c>
      <c r="AI141" s="54">
        <v>0</v>
      </c>
      <c r="AJ141" s="219">
        <v>0</v>
      </c>
      <c r="AK141" s="54">
        <v>0</v>
      </c>
      <c r="AL141" s="54">
        <v>0</v>
      </c>
      <c r="AM141" s="54">
        <v>0</v>
      </c>
      <c r="AN141" s="219">
        <v>0</v>
      </c>
      <c r="AO141" s="54">
        <v>0</v>
      </c>
      <c r="AP141" s="54">
        <v>0</v>
      </c>
      <c r="AQ141" s="54">
        <v>0</v>
      </c>
      <c r="AR141" s="219">
        <v>0</v>
      </c>
      <c r="AS141" s="54">
        <v>0</v>
      </c>
      <c r="AT141" s="54">
        <v>0</v>
      </c>
      <c r="AU141" s="54">
        <v>0</v>
      </c>
      <c r="AV141" s="219">
        <v>0</v>
      </c>
      <c r="AW141" s="54">
        <v>0</v>
      </c>
      <c r="AX141" s="54">
        <v>0</v>
      </c>
      <c r="AY141" s="54">
        <v>0</v>
      </c>
      <c r="AZ141" s="56">
        <v>0</v>
      </c>
      <c r="BA141" s="182">
        <v>0</v>
      </c>
      <c r="BB141" s="183">
        <v>0</v>
      </c>
      <c r="BC141" s="183">
        <v>0</v>
      </c>
      <c r="BD141" s="183">
        <v>0</v>
      </c>
      <c r="BE141" s="183">
        <v>0</v>
      </c>
      <c r="BF141" s="23">
        <v>0</v>
      </c>
    </row>
    <row r="142" spans="1:58" x14ac:dyDescent="0.35">
      <c r="A142" t="s">
        <v>142</v>
      </c>
      <c r="B142" t="s">
        <v>90</v>
      </c>
      <c r="C142" s="4" t="s">
        <v>140</v>
      </c>
      <c r="D142" s="4" t="s">
        <v>143</v>
      </c>
      <c r="E142" s="50"/>
      <c r="F142" s="50"/>
      <c r="G142" s="50"/>
      <c r="H142" s="50"/>
      <c r="I142" s="212"/>
      <c r="J142" s="212"/>
      <c r="K142" s="76"/>
      <c r="L142" s="212"/>
      <c r="M142" s="212"/>
      <c r="Q142" s="50"/>
      <c r="AC142" s="54">
        <v>0</v>
      </c>
      <c r="AD142" s="54">
        <v>0</v>
      </c>
      <c r="AE142" s="54">
        <v>0</v>
      </c>
      <c r="AF142" s="219">
        <v>0</v>
      </c>
      <c r="AG142" s="54">
        <v>0</v>
      </c>
      <c r="AH142" s="54">
        <v>0</v>
      </c>
      <c r="AI142" s="54">
        <v>0</v>
      </c>
      <c r="AJ142" s="219">
        <v>0</v>
      </c>
      <c r="AK142" s="54">
        <v>0</v>
      </c>
      <c r="AL142" s="54">
        <v>0</v>
      </c>
      <c r="AM142" s="54">
        <v>0</v>
      </c>
      <c r="AN142" s="219">
        <v>0</v>
      </c>
      <c r="AO142" s="54">
        <v>0</v>
      </c>
      <c r="AP142" s="54">
        <v>0</v>
      </c>
      <c r="AQ142" s="54">
        <v>0</v>
      </c>
      <c r="AR142" s="219">
        <v>0</v>
      </c>
      <c r="AS142" s="54">
        <v>0</v>
      </c>
      <c r="AT142" s="54">
        <v>0</v>
      </c>
      <c r="AU142" s="54">
        <v>0</v>
      </c>
      <c r="AV142" s="219">
        <v>0</v>
      </c>
      <c r="AW142" s="54">
        <v>0</v>
      </c>
      <c r="AX142" s="54">
        <v>0</v>
      </c>
      <c r="AY142" s="54">
        <v>0</v>
      </c>
      <c r="AZ142" s="56">
        <v>0</v>
      </c>
      <c r="BA142" s="182">
        <v>0</v>
      </c>
      <c r="BB142" s="183">
        <v>0</v>
      </c>
      <c r="BC142" s="183">
        <v>0</v>
      </c>
      <c r="BD142" s="183">
        <v>0</v>
      </c>
      <c r="BE142" s="183">
        <v>0</v>
      </c>
      <c r="BF142" s="23">
        <v>0</v>
      </c>
    </row>
    <row r="143" spans="1:58" x14ac:dyDescent="0.35">
      <c r="A143" t="s">
        <v>147</v>
      </c>
      <c r="B143" t="s">
        <v>90</v>
      </c>
      <c r="C143" s="4" t="s">
        <v>148</v>
      </c>
      <c r="D143" s="4" t="s">
        <v>149</v>
      </c>
      <c r="E143" s="50"/>
      <c r="F143" s="50"/>
      <c r="G143" s="50"/>
      <c r="H143" s="50"/>
      <c r="I143" s="212"/>
      <c r="J143" s="212"/>
      <c r="K143" s="76"/>
      <c r="L143" s="212"/>
      <c r="M143" s="212"/>
      <c r="Q143" s="50"/>
      <c r="AC143" s="54">
        <v>0</v>
      </c>
      <c r="AD143" s="54">
        <v>0</v>
      </c>
      <c r="AE143" s="54">
        <v>0</v>
      </c>
      <c r="AF143" s="219">
        <v>0</v>
      </c>
      <c r="AG143" s="54">
        <v>0</v>
      </c>
      <c r="AH143" s="54">
        <v>0</v>
      </c>
      <c r="AI143" s="54">
        <v>0</v>
      </c>
      <c r="AJ143" s="219">
        <v>0</v>
      </c>
      <c r="AK143" s="54">
        <v>0</v>
      </c>
      <c r="AL143" s="54">
        <v>0</v>
      </c>
      <c r="AM143" s="54">
        <v>0</v>
      </c>
      <c r="AN143" s="219">
        <v>0</v>
      </c>
      <c r="AO143" s="54">
        <v>0</v>
      </c>
      <c r="AP143" s="54">
        <v>0</v>
      </c>
      <c r="AQ143" s="54">
        <v>0</v>
      </c>
      <c r="AR143" s="219">
        <v>0</v>
      </c>
      <c r="AS143" s="54">
        <v>0</v>
      </c>
      <c r="AT143" s="54">
        <v>0</v>
      </c>
      <c r="AU143" s="54">
        <v>0</v>
      </c>
      <c r="AV143" s="219">
        <v>0</v>
      </c>
      <c r="AW143" s="54">
        <v>0</v>
      </c>
      <c r="AX143" s="54">
        <v>0</v>
      </c>
      <c r="AY143" s="54">
        <v>0</v>
      </c>
      <c r="AZ143" s="56">
        <v>0</v>
      </c>
      <c r="BA143" s="182">
        <v>0</v>
      </c>
      <c r="BB143" s="183">
        <v>0</v>
      </c>
      <c r="BC143" s="183">
        <v>0</v>
      </c>
      <c r="BD143" s="183">
        <v>0</v>
      </c>
      <c r="BE143" s="183">
        <v>0</v>
      </c>
      <c r="BF143" s="23">
        <v>0</v>
      </c>
    </row>
    <row r="144" spans="1:58" ht="15" thickBot="1" x14ac:dyDescent="0.4">
      <c r="A144" t="s">
        <v>150</v>
      </c>
      <c r="B144" t="s">
        <v>90</v>
      </c>
      <c r="C144" s="4" t="s">
        <v>148</v>
      </c>
      <c r="D144" s="4" t="s">
        <v>151</v>
      </c>
      <c r="E144" s="50"/>
      <c r="F144" s="50"/>
      <c r="G144" s="50"/>
      <c r="H144" s="50"/>
      <c r="I144" s="212"/>
      <c r="J144" s="212"/>
      <c r="K144" s="76"/>
      <c r="L144" s="212"/>
      <c r="M144" s="212"/>
      <c r="Q144" s="50"/>
      <c r="AC144" s="221">
        <v>0</v>
      </c>
      <c r="AD144" s="221">
        <v>0</v>
      </c>
      <c r="AE144" s="221">
        <v>0</v>
      </c>
      <c r="AF144" s="222">
        <v>0</v>
      </c>
      <c r="AG144" s="221">
        <v>0</v>
      </c>
      <c r="AH144" s="221">
        <v>0</v>
      </c>
      <c r="AI144" s="221">
        <v>0</v>
      </c>
      <c r="AJ144" s="222">
        <v>0</v>
      </c>
      <c r="AK144" s="221">
        <v>0</v>
      </c>
      <c r="AL144" s="221">
        <v>0</v>
      </c>
      <c r="AM144" s="221">
        <v>0</v>
      </c>
      <c r="AN144" s="222">
        <v>0</v>
      </c>
      <c r="AO144" s="221">
        <v>0</v>
      </c>
      <c r="AP144" s="221">
        <v>0</v>
      </c>
      <c r="AQ144" s="221">
        <v>0</v>
      </c>
      <c r="AR144" s="222">
        <v>0</v>
      </c>
      <c r="AS144" s="221">
        <v>0</v>
      </c>
      <c r="AT144" s="221">
        <v>0</v>
      </c>
      <c r="AU144" s="221">
        <v>0</v>
      </c>
      <c r="AV144" s="222">
        <v>0</v>
      </c>
      <c r="AW144" s="221">
        <v>0</v>
      </c>
      <c r="AX144" s="221">
        <v>0</v>
      </c>
      <c r="AY144" s="221">
        <v>0</v>
      </c>
      <c r="AZ144" s="223">
        <v>0</v>
      </c>
      <c r="BA144" s="189">
        <v>0</v>
      </c>
      <c r="BB144" s="190">
        <v>0</v>
      </c>
      <c r="BC144" s="190">
        <v>0</v>
      </c>
      <c r="BD144" s="190">
        <v>0</v>
      </c>
      <c r="BE144" s="190">
        <v>0</v>
      </c>
      <c r="BF144" s="191">
        <v>0</v>
      </c>
    </row>
    <row r="145" spans="1:58" x14ac:dyDescent="0.35">
      <c r="A145" t="s">
        <v>139</v>
      </c>
      <c r="B145" t="s">
        <v>91</v>
      </c>
      <c r="C145" s="4" t="s">
        <v>140</v>
      </c>
      <c r="D145" s="4" t="s">
        <v>141</v>
      </c>
      <c r="E145" s="50"/>
      <c r="F145" s="50"/>
      <c r="G145" s="50"/>
      <c r="H145" s="50"/>
      <c r="I145" s="212"/>
      <c r="J145" s="212"/>
      <c r="K145" s="76"/>
      <c r="L145" s="212"/>
      <c r="M145" s="212"/>
      <c r="Q145" s="50"/>
      <c r="AC145" s="54">
        <v>0</v>
      </c>
      <c r="AD145" s="54">
        <v>0</v>
      </c>
      <c r="AE145" s="54">
        <v>0</v>
      </c>
      <c r="AF145" s="219">
        <v>0</v>
      </c>
      <c r="AG145" s="54">
        <v>0</v>
      </c>
      <c r="AH145" s="54">
        <v>0</v>
      </c>
      <c r="AI145" s="54">
        <v>0</v>
      </c>
      <c r="AJ145" s="219">
        <v>0</v>
      </c>
      <c r="AK145" s="54">
        <v>0</v>
      </c>
      <c r="AL145" s="54">
        <v>0</v>
      </c>
      <c r="AM145" s="54">
        <v>0</v>
      </c>
      <c r="AN145" s="219">
        <v>0</v>
      </c>
      <c r="AO145" s="54">
        <v>0</v>
      </c>
      <c r="AP145" s="54">
        <v>0</v>
      </c>
      <c r="AQ145" s="54">
        <v>0</v>
      </c>
      <c r="AR145" s="219">
        <v>0</v>
      </c>
      <c r="AS145" s="54">
        <v>0</v>
      </c>
      <c r="AT145" s="54">
        <v>0</v>
      </c>
      <c r="AU145" s="54">
        <v>0</v>
      </c>
      <c r="AV145" s="219">
        <v>0</v>
      </c>
      <c r="AW145" s="54">
        <v>0</v>
      </c>
      <c r="AX145" s="54">
        <v>0</v>
      </c>
      <c r="AY145" s="54">
        <v>0</v>
      </c>
      <c r="AZ145" s="56">
        <v>0</v>
      </c>
      <c r="BA145" s="182">
        <v>0</v>
      </c>
      <c r="BB145" s="183">
        <v>0</v>
      </c>
      <c r="BC145" s="183">
        <v>0</v>
      </c>
      <c r="BD145" s="183">
        <v>0</v>
      </c>
      <c r="BE145" s="183">
        <v>0</v>
      </c>
      <c r="BF145" s="23">
        <v>0</v>
      </c>
    </row>
    <row r="146" spans="1:58" x14ac:dyDescent="0.35">
      <c r="A146" t="s">
        <v>142</v>
      </c>
      <c r="B146" t="s">
        <v>91</v>
      </c>
      <c r="C146" s="4" t="s">
        <v>140</v>
      </c>
      <c r="D146" s="4" t="s">
        <v>143</v>
      </c>
      <c r="E146" s="50"/>
      <c r="F146" s="50"/>
      <c r="G146" s="50"/>
      <c r="H146" s="50"/>
      <c r="I146" s="212"/>
      <c r="J146" s="212"/>
      <c r="K146" s="76"/>
      <c r="L146" s="212"/>
      <c r="M146" s="212"/>
      <c r="Q146" s="50"/>
      <c r="AC146" s="54">
        <v>0</v>
      </c>
      <c r="AD146" s="54">
        <v>0</v>
      </c>
      <c r="AE146" s="54">
        <v>0</v>
      </c>
      <c r="AF146" s="219">
        <v>0</v>
      </c>
      <c r="AG146" s="54">
        <v>0</v>
      </c>
      <c r="AH146" s="54">
        <v>0</v>
      </c>
      <c r="AI146" s="54">
        <v>0</v>
      </c>
      <c r="AJ146" s="219">
        <v>0</v>
      </c>
      <c r="AK146" s="54">
        <v>0</v>
      </c>
      <c r="AL146" s="54">
        <v>0</v>
      </c>
      <c r="AM146" s="54">
        <v>0</v>
      </c>
      <c r="AN146" s="219">
        <v>0</v>
      </c>
      <c r="AO146" s="54">
        <v>0</v>
      </c>
      <c r="AP146" s="54">
        <v>0</v>
      </c>
      <c r="AQ146" s="54">
        <v>0</v>
      </c>
      <c r="AR146" s="219">
        <v>0</v>
      </c>
      <c r="AS146" s="54">
        <v>0</v>
      </c>
      <c r="AT146" s="54">
        <v>0</v>
      </c>
      <c r="AU146" s="54">
        <v>0</v>
      </c>
      <c r="AV146" s="219">
        <v>0</v>
      </c>
      <c r="AW146" s="54">
        <v>0</v>
      </c>
      <c r="AX146" s="54">
        <v>0</v>
      </c>
      <c r="AY146" s="54">
        <v>0</v>
      </c>
      <c r="AZ146" s="56">
        <v>0</v>
      </c>
      <c r="BA146" s="182">
        <v>0</v>
      </c>
      <c r="BB146" s="183">
        <v>0</v>
      </c>
      <c r="BC146" s="183">
        <v>0</v>
      </c>
      <c r="BD146" s="183">
        <v>0</v>
      </c>
      <c r="BE146" s="183">
        <v>0</v>
      </c>
      <c r="BF146" s="23">
        <v>0</v>
      </c>
    </row>
    <row r="147" spans="1:58" x14ac:dyDescent="0.35">
      <c r="A147" t="s">
        <v>147</v>
      </c>
      <c r="B147" t="s">
        <v>91</v>
      </c>
      <c r="C147" s="4" t="s">
        <v>148</v>
      </c>
      <c r="D147" s="4" t="s">
        <v>149</v>
      </c>
      <c r="E147" s="50"/>
      <c r="F147" s="50"/>
      <c r="G147" s="50"/>
      <c r="H147" s="50"/>
      <c r="I147" s="212"/>
      <c r="J147" s="212"/>
      <c r="K147" s="76"/>
      <c r="L147" s="212"/>
      <c r="M147" s="212"/>
      <c r="Q147" s="50"/>
      <c r="AC147" s="54">
        <v>0</v>
      </c>
      <c r="AD147" s="54">
        <v>0</v>
      </c>
      <c r="AE147" s="54">
        <v>0</v>
      </c>
      <c r="AF147" s="219">
        <v>0</v>
      </c>
      <c r="AG147" s="54">
        <v>0</v>
      </c>
      <c r="AH147" s="54">
        <v>0</v>
      </c>
      <c r="AI147" s="54">
        <v>0</v>
      </c>
      <c r="AJ147" s="219">
        <v>0</v>
      </c>
      <c r="AK147" s="54">
        <v>0</v>
      </c>
      <c r="AL147" s="54">
        <v>0</v>
      </c>
      <c r="AM147" s="54">
        <v>0</v>
      </c>
      <c r="AN147" s="219">
        <v>0</v>
      </c>
      <c r="AO147" s="54">
        <v>0</v>
      </c>
      <c r="AP147" s="54">
        <v>0</v>
      </c>
      <c r="AQ147" s="54">
        <v>0</v>
      </c>
      <c r="AR147" s="219">
        <v>0</v>
      </c>
      <c r="AS147" s="54">
        <v>0</v>
      </c>
      <c r="AT147" s="54">
        <v>0</v>
      </c>
      <c r="AU147" s="54">
        <v>0</v>
      </c>
      <c r="AV147" s="219">
        <v>0</v>
      </c>
      <c r="AW147" s="54">
        <v>0</v>
      </c>
      <c r="AX147" s="54">
        <v>0</v>
      </c>
      <c r="AY147" s="54">
        <v>0</v>
      </c>
      <c r="AZ147" s="56">
        <v>0</v>
      </c>
      <c r="BA147" s="182">
        <v>0</v>
      </c>
      <c r="BB147" s="183">
        <v>0</v>
      </c>
      <c r="BC147" s="183">
        <v>0</v>
      </c>
      <c r="BD147" s="183">
        <v>0</v>
      </c>
      <c r="BE147" s="183">
        <v>0</v>
      </c>
      <c r="BF147" s="23">
        <v>0</v>
      </c>
    </row>
    <row r="148" spans="1:58" ht="15" thickBot="1" x14ac:dyDescent="0.4">
      <c r="A148" t="s">
        <v>150</v>
      </c>
      <c r="B148" t="s">
        <v>91</v>
      </c>
      <c r="C148" s="4" t="s">
        <v>148</v>
      </c>
      <c r="D148" s="4" t="s">
        <v>151</v>
      </c>
      <c r="E148" s="50"/>
      <c r="F148" s="50"/>
      <c r="G148" s="50"/>
      <c r="H148" s="50"/>
      <c r="I148" s="212"/>
      <c r="J148" s="212"/>
      <c r="K148" s="76"/>
      <c r="L148" s="212"/>
      <c r="M148" s="212"/>
      <c r="Q148" s="50"/>
      <c r="AC148" s="221">
        <v>0</v>
      </c>
      <c r="AD148" s="221">
        <v>0</v>
      </c>
      <c r="AE148" s="221">
        <v>0</v>
      </c>
      <c r="AF148" s="222">
        <v>0</v>
      </c>
      <c r="AG148" s="221">
        <v>0</v>
      </c>
      <c r="AH148" s="221">
        <v>0</v>
      </c>
      <c r="AI148" s="221">
        <v>0</v>
      </c>
      <c r="AJ148" s="222">
        <v>0</v>
      </c>
      <c r="AK148" s="221">
        <v>0</v>
      </c>
      <c r="AL148" s="221">
        <v>0</v>
      </c>
      <c r="AM148" s="221">
        <v>0</v>
      </c>
      <c r="AN148" s="222">
        <v>0</v>
      </c>
      <c r="AO148" s="221">
        <v>0</v>
      </c>
      <c r="AP148" s="221">
        <v>0</v>
      </c>
      <c r="AQ148" s="221">
        <v>0</v>
      </c>
      <c r="AR148" s="222">
        <v>0</v>
      </c>
      <c r="AS148" s="221">
        <v>0</v>
      </c>
      <c r="AT148" s="221">
        <v>0</v>
      </c>
      <c r="AU148" s="221">
        <v>0</v>
      </c>
      <c r="AV148" s="222">
        <v>0</v>
      </c>
      <c r="AW148" s="221">
        <v>0</v>
      </c>
      <c r="AX148" s="221">
        <v>0</v>
      </c>
      <c r="AY148" s="221">
        <v>0</v>
      </c>
      <c r="AZ148" s="223">
        <v>0</v>
      </c>
      <c r="BA148" s="189">
        <v>0</v>
      </c>
      <c r="BB148" s="190">
        <v>0</v>
      </c>
      <c r="BC148" s="190">
        <v>0</v>
      </c>
      <c r="BD148" s="190">
        <v>0</v>
      </c>
      <c r="BE148" s="190">
        <v>0</v>
      </c>
      <c r="BF148" s="191">
        <v>0</v>
      </c>
    </row>
    <row r="149" spans="1:58" x14ac:dyDescent="0.35">
      <c r="A149" t="s">
        <v>139</v>
      </c>
      <c r="B149" t="s">
        <v>92</v>
      </c>
      <c r="C149" s="4" t="s">
        <v>140</v>
      </c>
      <c r="D149" s="4" t="s">
        <v>141</v>
      </c>
      <c r="E149" s="50"/>
      <c r="F149" s="50"/>
      <c r="G149" s="50"/>
      <c r="H149" s="50"/>
      <c r="I149" s="212"/>
      <c r="J149" s="212"/>
      <c r="K149" s="76"/>
      <c r="L149" s="212"/>
      <c r="M149" s="212"/>
      <c r="Q149" s="50"/>
      <c r="AC149" s="54">
        <v>0</v>
      </c>
      <c r="AD149" s="54">
        <v>0</v>
      </c>
      <c r="AE149" s="54">
        <v>0</v>
      </c>
      <c r="AF149" s="219">
        <v>0</v>
      </c>
      <c r="AG149" s="54">
        <v>0</v>
      </c>
      <c r="AH149" s="54">
        <v>0</v>
      </c>
      <c r="AI149" s="54">
        <v>0</v>
      </c>
      <c r="AJ149" s="219">
        <v>0</v>
      </c>
      <c r="AK149" s="54">
        <v>0</v>
      </c>
      <c r="AL149" s="54">
        <v>0</v>
      </c>
      <c r="AM149" s="54">
        <v>0</v>
      </c>
      <c r="AN149" s="219">
        <v>0</v>
      </c>
      <c r="AO149" s="54">
        <v>0</v>
      </c>
      <c r="AP149" s="54">
        <v>0</v>
      </c>
      <c r="AQ149" s="54">
        <v>0</v>
      </c>
      <c r="AR149" s="219">
        <v>0</v>
      </c>
      <c r="AS149" s="54">
        <v>0</v>
      </c>
      <c r="AT149" s="54">
        <v>0</v>
      </c>
      <c r="AU149" s="54">
        <v>0</v>
      </c>
      <c r="AV149" s="219">
        <v>0</v>
      </c>
      <c r="AW149" s="54">
        <v>0</v>
      </c>
      <c r="AX149" s="54">
        <v>0</v>
      </c>
      <c r="AY149" s="54">
        <v>0</v>
      </c>
      <c r="AZ149" s="56">
        <v>0</v>
      </c>
      <c r="BA149" s="182">
        <v>0</v>
      </c>
      <c r="BB149" s="183">
        <v>0</v>
      </c>
      <c r="BC149" s="183">
        <v>0</v>
      </c>
      <c r="BD149" s="183">
        <v>0</v>
      </c>
      <c r="BE149" s="183">
        <v>0</v>
      </c>
      <c r="BF149" s="23">
        <v>0</v>
      </c>
    </row>
    <row r="150" spans="1:58" x14ac:dyDescent="0.35">
      <c r="A150" t="s">
        <v>142</v>
      </c>
      <c r="B150" t="s">
        <v>92</v>
      </c>
      <c r="C150" s="4" t="s">
        <v>140</v>
      </c>
      <c r="D150" s="4" t="s">
        <v>143</v>
      </c>
      <c r="E150" s="50"/>
      <c r="F150" s="50"/>
      <c r="G150" s="50"/>
      <c r="H150" s="50"/>
      <c r="I150" s="212"/>
      <c r="J150" s="212"/>
      <c r="K150" s="76"/>
      <c r="L150" s="212"/>
      <c r="M150" s="212"/>
      <c r="Q150" s="50"/>
      <c r="AC150" s="54">
        <v>0</v>
      </c>
      <c r="AD150" s="54">
        <v>0</v>
      </c>
      <c r="AE150" s="54">
        <v>0</v>
      </c>
      <c r="AF150" s="219">
        <v>0</v>
      </c>
      <c r="AG150" s="54">
        <v>0</v>
      </c>
      <c r="AH150" s="54">
        <v>0</v>
      </c>
      <c r="AI150" s="54">
        <v>0</v>
      </c>
      <c r="AJ150" s="219">
        <v>0</v>
      </c>
      <c r="AK150" s="54">
        <v>0</v>
      </c>
      <c r="AL150" s="54">
        <v>0</v>
      </c>
      <c r="AM150" s="54">
        <v>0</v>
      </c>
      <c r="AN150" s="219">
        <v>0</v>
      </c>
      <c r="AO150" s="54">
        <v>0</v>
      </c>
      <c r="AP150" s="54">
        <v>0</v>
      </c>
      <c r="AQ150" s="54">
        <v>0</v>
      </c>
      <c r="AR150" s="219">
        <v>0</v>
      </c>
      <c r="AS150" s="54">
        <v>0</v>
      </c>
      <c r="AT150" s="54">
        <v>0</v>
      </c>
      <c r="AU150" s="54">
        <v>0</v>
      </c>
      <c r="AV150" s="219">
        <v>0</v>
      </c>
      <c r="AW150" s="54">
        <v>0</v>
      </c>
      <c r="AX150" s="54">
        <v>0</v>
      </c>
      <c r="AY150" s="54">
        <v>0</v>
      </c>
      <c r="AZ150" s="56">
        <v>0</v>
      </c>
      <c r="BA150" s="182">
        <v>0</v>
      </c>
      <c r="BB150" s="183">
        <v>0</v>
      </c>
      <c r="BC150" s="183">
        <v>0</v>
      </c>
      <c r="BD150" s="183">
        <v>0</v>
      </c>
      <c r="BE150" s="183">
        <v>0</v>
      </c>
      <c r="BF150" s="23">
        <v>0</v>
      </c>
    </row>
    <row r="151" spans="1:58" x14ac:dyDescent="0.35">
      <c r="A151" t="s">
        <v>147</v>
      </c>
      <c r="B151" t="s">
        <v>92</v>
      </c>
      <c r="C151" s="4" t="s">
        <v>148</v>
      </c>
      <c r="D151" s="4" t="s">
        <v>149</v>
      </c>
      <c r="E151" s="50"/>
      <c r="F151" s="50"/>
      <c r="G151" s="50"/>
      <c r="H151" s="50"/>
      <c r="I151" s="212"/>
      <c r="J151" s="212"/>
      <c r="K151" s="76"/>
      <c r="L151" s="212"/>
      <c r="M151" s="212"/>
      <c r="Q151" s="50"/>
      <c r="AC151" s="54">
        <v>0</v>
      </c>
      <c r="AD151" s="54">
        <v>0</v>
      </c>
      <c r="AE151" s="54">
        <v>0</v>
      </c>
      <c r="AF151" s="219">
        <v>0</v>
      </c>
      <c r="AG151" s="54">
        <v>0</v>
      </c>
      <c r="AH151" s="54">
        <v>0</v>
      </c>
      <c r="AI151" s="54">
        <v>0</v>
      </c>
      <c r="AJ151" s="219">
        <v>0</v>
      </c>
      <c r="AK151" s="54">
        <v>0</v>
      </c>
      <c r="AL151" s="54">
        <v>0</v>
      </c>
      <c r="AM151" s="54">
        <v>0</v>
      </c>
      <c r="AN151" s="219">
        <v>0</v>
      </c>
      <c r="AO151" s="54">
        <v>0</v>
      </c>
      <c r="AP151" s="54">
        <v>0</v>
      </c>
      <c r="AQ151" s="54">
        <v>0</v>
      </c>
      <c r="AR151" s="219">
        <v>0</v>
      </c>
      <c r="AS151" s="54">
        <v>0</v>
      </c>
      <c r="AT151" s="54">
        <v>0</v>
      </c>
      <c r="AU151" s="54">
        <v>0</v>
      </c>
      <c r="AV151" s="219">
        <v>0</v>
      </c>
      <c r="AW151" s="54">
        <v>0</v>
      </c>
      <c r="AX151" s="54">
        <v>0</v>
      </c>
      <c r="AY151" s="54">
        <v>0</v>
      </c>
      <c r="AZ151" s="56">
        <v>0</v>
      </c>
      <c r="BA151" s="182">
        <v>0</v>
      </c>
      <c r="BB151" s="183">
        <v>0</v>
      </c>
      <c r="BC151" s="183">
        <v>0</v>
      </c>
      <c r="BD151" s="183">
        <v>0</v>
      </c>
      <c r="BE151" s="183">
        <v>0</v>
      </c>
      <c r="BF151" s="23">
        <v>0</v>
      </c>
    </row>
    <row r="152" spans="1:58" ht="15" thickBot="1" x14ac:dyDescent="0.4">
      <c r="A152" t="s">
        <v>150</v>
      </c>
      <c r="B152" t="s">
        <v>92</v>
      </c>
      <c r="C152" s="4" t="s">
        <v>148</v>
      </c>
      <c r="D152" s="4" t="s">
        <v>151</v>
      </c>
      <c r="L152" s="224"/>
      <c r="AC152" s="221">
        <v>0</v>
      </c>
      <c r="AD152" s="221">
        <v>0</v>
      </c>
      <c r="AE152" s="221">
        <v>0</v>
      </c>
      <c r="AF152" s="222">
        <v>0</v>
      </c>
      <c r="AG152" s="221">
        <v>0</v>
      </c>
      <c r="AH152" s="221">
        <v>0</v>
      </c>
      <c r="AI152" s="221">
        <v>0</v>
      </c>
      <c r="AJ152" s="222">
        <v>0</v>
      </c>
      <c r="AK152" s="221">
        <v>0</v>
      </c>
      <c r="AL152" s="221">
        <v>0</v>
      </c>
      <c r="AM152" s="221">
        <v>0</v>
      </c>
      <c r="AN152" s="222">
        <v>0</v>
      </c>
      <c r="AO152" s="221">
        <v>0</v>
      </c>
      <c r="AP152" s="221">
        <v>0</v>
      </c>
      <c r="AQ152" s="221">
        <v>0</v>
      </c>
      <c r="AR152" s="222">
        <v>0</v>
      </c>
      <c r="AS152" s="221">
        <v>0</v>
      </c>
      <c r="AT152" s="221">
        <v>0</v>
      </c>
      <c r="AU152" s="221">
        <v>0</v>
      </c>
      <c r="AV152" s="222">
        <v>0</v>
      </c>
      <c r="AW152" s="221">
        <v>0</v>
      </c>
      <c r="AX152" s="221">
        <v>0</v>
      </c>
      <c r="AY152" s="221">
        <v>0</v>
      </c>
      <c r="AZ152" s="223">
        <v>0</v>
      </c>
      <c r="BA152" s="189">
        <v>0</v>
      </c>
      <c r="BB152" s="190">
        <v>0</v>
      </c>
      <c r="BC152" s="190">
        <v>0</v>
      </c>
      <c r="BD152" s="190">
        <v>0</v>
      </c>
      <c r="BE152" s="190">
        <v>0</v>
      </c>
      <c r="BF152" s="191">
        <v>0</v>
      </c>
    </row>
    <row r="153" spans="1:58" x14ac:dyDescent="0.35">
      <c r="A153" t="s">
        <v>139</v>
      </c>
      <c r="B153" t="s">
        <v>93</v>
      </c>
      <c r="C153" s="4" t="s">
        <v>140</v>
      </c>
      <c r="D153" s="4" t="s">
        <v>141</v>
      </c>
      <c r="E153" s="76"/>
      <c r="F153" s="76"/>
      <c r="G153" s="76"/>
      <c r="H153" s="76"/>
      <c r="I153" s="76"/>
      <c r="J153" s="76"/>
      <c r="L153" s="225"/>
      <c r="AC153" s="54">
        <v>0</v>
      </c>
      <c r="AD153" s="54">
        <v>0</v>
      </c>
      <c r="AE153" s="54">
        <v>0</v>
      </c>
      <c r="AF153" s="219">
        <v>0</v>
      </c>
      <c r="AG153" s="54">
        <v>0</v>
      </c>
      <c r="AH153" s="54">
        <v>0</v>
      </c>
      <c r="AI153" s="54">
        <v>0</v>
      </c>
      <c r="AJ153" s="219">
        <v>0</v>
      </c>
      <c r="AK153" s="54">
        <v>0</v>
      </c>
      <c r="AL153" s="54">
        <v>0</v>
      </c>
      <c r="AM153" s="54">
        <v>0</v>
      </c>
      <c r="AN153" s="219">
        <v>0</v>
      </c>
      <c r="AO153" s="54">
        <v>0</v>
      </c>
      <c r="AP153" s="54">
        <v>0</v>
      </c>
      <c r="AQ153" s="54">
        <v>0</v>
      </c>
      <c r="AR153" s="219">
        <v>0</v>
      </c>
      <c r="AS153" s="54">
        <v>0</v>
      </c>
      <c r="AT153" s="54">
        <v>0</v>
      </c>
      <c r="AU153" s="54">
        <v>0</v>
      </c>
      <c r="AV153" s="219">
        <v>0</v>
      </c>
      <c r="AW153" s="54">
        <v>0</v>
      </c>
      <c r="AX153" s="54">
        <v>0</v>
      </c>
      <c r="AY153" s="54">
        <v>0</v>
      </c>
      <c r="AZ153" s="56">
        <v>0</v>
      </c>
      <c r="BA153" s="182">
        <v>0</v>
      </c>
      <c r="BB153" s="183">
        <v>0</v>
      </c>
      <c r="BC153" s="183">
        <v>0</v>
      </c>
      <c r="BD153" s="183">
        <v>0</v>
      </c>
      <c r="BE153" s="183">
        <v>0</v>
      </c>
      <c r="BF153" s="23">
        <v>0</v>
      </c>
    </row>
    <row r="154" spans="1:58" x14ac:dyDescent="0.35">
      <c r="A154" t="s">
        <v>142</v>
      </c>
      <c r="B154" t="s">
        <v>93</v>
      </c>
      <c r="C154" s="4" t="s">
        <v>140</v>
      </c>
      <c r="D154" s="4" t="s">
        <v>143</v>
      </c>
      <c r="E154" s="76"/>
      <c r="F154" s="76"/>
      <c r="G154" s="76"/>
      <c r="H154" s="76"/>
      <c r="I154" s="76"/>
      <c r="J154" s="76"/>
      <c r="L154" s="225"/>
      <c r="AC154" s="54">
        <v>0</v>
      </c>
      <c r="AD154" s="54">
        <v>0</v>
      </c>
      <c r="AE154" s="54">
        <v>0</v>
      </c>
      <c r="AF154" s="219">
        <v>0</v>
      </c>
      <c r="AG154" s="54">
        <v>0</v>
      </c>
      <c r="AH154" s="54">
        <v>0</v>
      </c>
      <c r="AI154" s="54">
        <v>0</v>
      </c>
      <c r="AJ154" s="219">
        <v>0</v>
      </c>
      <c r="AK154" s="54">
        <v>0</v>
      </c>
      <c r="AL154" s="54">
        <v>0</v>
      </c>
      <c r="AM154" s="54">
        <v>0</v>
      </c>
      <c r="AN154" s="219">
        <v>0</v>
      </c>
      <c r="AO154" s="54">
        <v>0</v>
      </c>
      <c r="AP154" s="54">
        <v>0</v>
      </c>
      <c r="AQ154" s="54">
        <v>0</v>
      </c>
      <c r="AR154" s="219">
        <v>0</v>
      </c>
      <c r="AS154" s="54">
        <v>0</v>
      </c>
      <c r="AT154" s="54">
        <v>0</v>
      </c>
      <c r="AU154" s="54">
        <v>0</v>
      </c>
      <c r="AV154" s="219">
        <v>0</v>
      </c>
      <c r="AW154" s="54">
        <v>0</v>
      </c>
      <c r="AX154" s="54">
        <v>0</v>
      </c>
      <c r="AY154" s="54">
        <v>0</v>
      </c>
      <c r="AZ154" s="56">
        <v>0</v>
      </c>
      <c r="BA154" s="182">
        <v>0</v>
      </c>
      <c r="BB154" s="183">
        <v>0</v>
      </c>
      <c r="BC154" s="183">
        <v>0</v>
      </c>
      <c r="BD154" s="183">
        <v>0</v>
      </c>
      <c r="BE154" s="183">
        <v>0</v>
      </c>
      <c r="BF154" s="23">
        <v>0</v>
      </c>
    </row>
    <row r="155" spans="1:58" x14ac:dyDescent="0.35">
      <c r="A155" t="s">
        <v>147</v>
      </c>
      <c r="B155" t="s">
        <v>93</v>
      </c>
      <c r="C155" s="4" t="s">
        <v>148</v>
      </c>
      <c r="D155" s="4" t="s">
        <v>149</v>
      </c>
      <c r="E155" s="4"/>
      <c r="F155" s="4"/>
      <c r="G155" s="4"/>
      <c r="H155" s="4"/>
      <c r="I155" s="4"/>
      <c r="J155" s="4"/>
      <c r="K155" s="4"/>
      <c r="L155" s="4"/>
      <c r="AC155" s="54">
        <v>0</v>
      </c>
      <c r="AD155" s="54">
        <v>0</v>
      </c>
      <c r="AE155" s="54">
        <v>0</v>
      </c>
      <c r="AF155" s="219">
        <v>0</v>
      </c>
      <c r="AG155" s="54">
        <v>0</v>
      </c>
      <c r="AH155" s="54">
        <v>0</v>
      </c>
      <c r="AI155" s="54">
        <v>0</v>
      </c>
      <c r="AJ155" s="219">
        <v>0</v>
      </c>
      <c r="AK155" s="54">
        <v>0</v>
      </c>
      <c r="AL155" s="54">
        <v>0</v>
      </c>
      <c r="AM155" s="54">
        <v>0</v>
      </c>
      <c r="AN155" s="219">
        <v>0</v>
      </c>
      <c r="AO155" s="54">
        <v>0</v>
      </c>
      <c r="AP155" s="54">
        <v>0</v>
      </c>
      <c r="AQ155" s="54">
        <v>0</v>
      </c>
      <c r="AR155" s="219">
        <v>0</v>
      </c>
      <c r="AS155" s="54">
        <v>0</v>
      </c>
      <c r="AT155" s="54">
        <v>0</v>
      </c>
      <c r="AU155" s="54">
        <v>0</v>
      </c>
      <c r="AV155" s="219">
        <v>0</v>
      </c>
      <c r="AW155" s="54">
        <v>0</v>
      </c>
      <c r="AX155" s="54">
        <v>0</v>
      </c>
      <c r="AY155" s="54">
        <v>0</v>
      </c>
      <c r="AZ155" s="56">
        <v>0</v>
      </c>
      <c r="BA155" s="182">
        <v>0</v>
      </c>
      <c r="BB155" s="183">
        <v>0</v>
      </c>
      <c r="BC155" s="183">
        <v>0</v>
      </c>
      <c r="BD155" s="183">
        <v>0</v>
      </c>
      <c r="BE155" s="183">
        <v>0</v>
      </c>
      <c r="BF155" s="23">
        <v>0</v>
      </c>
    </row>
    <row r="156" spans="1:58" s="7" customFormat="1" x14ac:dyDescent="0.35">
      <c r="A156" s="7" t="s">
        <v>150</v>
      </c>
      <c r="B156" s="7" t="s">
        <v>93</v>
      </c>
      <c r="C156" s="6" t="s">
        <v>148</v>
      </c>
      <c r="D156" s="6" t="s">
        <v>151</v>
      </c>
      <c r="E156" s="60"/>
      <c r="F156" s="60"/>
      <c r="G156" s="60"/>
      <c r="H156" s="60"/>
      <c r="I156" s="226"/>
      <c r="J156" s="226"/>
      <c r="K156" s="227"/>
      <c r="L156" s="226"/>
      <c r="M156" s="194"/>
      <c r="N156" s="6"/>
      <c r="O156" s="6"/>
      <c r="S156" s="6"/>
      <c r="U156" s="6"/>
      <c r="AB156" s="28"/>
      <c r="AC156" s="58">
        <v>0</v>
      </c>
      <c r="AD156" s="58">
        <v>0</v>
      </c>
      <c r="AE156" s="58">
        <v>0</v>
      </c>
      <c r="AF156" s="228">
        <v>0</v>
      </c>
      <c r="AG156" s="58">
        <v>0</v>
      </c>
      <c r="AH156" s="58">
        <v>0</v>
      </c>
      <c r="AI156" s="58">
        <v>0</v>
      </c>
      <c r="AJ156" s="228">
        <v>0</v>
      </c>
      <c r="AK156" s="58">
        <v>0</v>
      </c>
      <c r="AL156" s="58">
        <v>0</v>
      </c>
      <c r="AM156" s="58">
        <v>0</v>
      </c>
      <c r="AN156" s="228">
        <v>0</v>
      </c>
      <c r="AO156" s="58">
        <v>0</v>
      </c>
      <c r="AP156" s="58">
        <v>0</v>
      </c>
      <c r="AQ156" s="58">
        <v>0</v>
      </c>
      <c r="AR156" s="228">
        <v>0</v>
      </c>
      <c r="AS156" s="58">
        <v>0</v>
      </c>
      <c r="AT156" s="58">
        <v>0</v>
      </c>
      <c r="AU156" s="58">
        <v>0</v>
      </c>
      <c r="AV156" s="228">
        <v>0</v>
      </c>
      <c r="AW156" s="58">
        <v>0</v>
      </c>
      <c r="AX156" s="58">
        <v>0</v>
      </c>
      <c r="AY156" s="58">
        <v>0</v>
      </c>
      <c r="AZ156" s="59">
        <v>0</v>
      </c>
      <c r="BA156" s="196">
        <v>0</v>
      </c>
      <c r="BB156" s="197">
        <v>0</v>
      </c>
      <c r="BC156" s="197">
        <v>0</v>
      </c>
      <c r="BD156" s="197">
        <v>0</v>
      </c>
      <c r="BE156" s="197">
        <v>0</v>
      </c>
      <c r="BF156" s="31">
        <v>0</v>
      </c>
    </row>
    <row r="157" spans="1:58" x14ac:dyDescent="0.35">
      <c r="A157" t="s">
        <v>152</v>
      </c>
      <c r="B157" t="s">
        <v>73</v>
      </c>
      <c r="C157" s="4" t="s">
        <v>140</v>
      </c>
      <c r="D157" s="4" t="s">
        <v>153</v>
      </c>
      <c r="E157" s="61" cm="1">
        <f t="array" ref="E157:H160">MMULT(E28:H31,MINVERSE(_xlfn.MUNIT(4)*BH4:BH7))</f>
        <v>1</v>
      </c>
      <c r="F157" s="61">
        <v>0</v>
      </c>
      <c r="G157" s="61">
        <v>0</v>
      </c>
      <c r="H157" s="229">
        <v>0</v>
      </c>
      <c r="I157" s="233">
        <v>0</v>
      </c>
      <c r="J157" s="233">
        <v>0</v>
      </c>
      <c r="K157" s="233">
        <v>0</v>
      </c>
      <c r="L157" s="234">
        <v>0</v>
      </c>
      <c r="M157" s="233">
        <v>0</v>
      </c>
      <c r="N157" s="233">
        <v>0</v>
      </c>
      <c r="O157" s="233">
        <v>0</v>
      </c>
      <c r="P157" s="234">
        <v>0</v>
      </c>
      <c r="Q157" s="233">
        <v>0</v>
      </c>
      <c r="R157" s="233">
        <v>0</v>
      </c>
      <c r="S157" s="233">
        <v>0</v>
      </c>
      <c r="T157" s="234">
        <v>0</v>
      </c>
      <c r="U157" s="233">
        <v>0</v>
      </c>
      <c r="V157" s="233">
        <v>0</v>
      </c>
      <c r="W157" s="233">
        <v>0</v>
      </c>
      <c r="X157" s="234">
        <v>0</v>
      </c>
      <c r="Y157" s="233">
        <v>0</v>
      </c>
      <c r="Z157" s="233">
        <v>0</v>
      </c>
      <c r="AA157" s="233">
        <v>0</v>
      </c>
      <c r="AB157" s="235">
        <v>0</v>
      </c>
    </row>
    <row r="158" spans="1:58" x14ac:dyDescent="0.35">
      <c r="A158" t="s">
        <v>154</v>
      </c>
      <c r="B158" t="s">
        <v>73</v>
      </c>
      <c r="C158" s="4" t="s">
        <v>140</v>
      </c>
      <c r="D158" s="4" t="s">
        <v>155</v>
      </c>
      <c r="E158" s="61">
        <v>0</v>
      </c>
      <c r="F158" s="61">
        <v>1</v>
      </c>
      <c r="G158" s="61">
        <v>0</v>
      </c>
      <c r="H158" s="230">
        <v>0</v>
      </c>
      <c r="I158" s="233">
        <v>0</v>
      </c>
      <c r="J158" s="233">
        <v>0</v>
      </c>
      <c r="K158" s="233">
        <v>0</v>
      </c>
      <c r="L158" s="236">
        <v>0</v>
      </c>
      <c r="M158" s="233">
        <v>0</v>
      </c>
      <c r="N158" s="233">
        <v>0</v>
      </c>
      <c r="O158" s="233">
        <v>0</v>
      </c>
      <c r="P158" s="236">
        <v>0</v>
      </c>
      <c r="Q158" s="233">
        <v>0</v>
      </c>
      <c r="R158" s="233">
        <v>0</v>
      </c>
      <c r="S158" s="233">
        <v>0</v>
      </c>
      <c r="T158" s="236">
        <v>0</v>
      </c>
      <c r="U158" s="233">
        <v>0</v>
      </c>
      <c r="V158" s="233">
        <v>0</v>
      </c>
      <c r="W158" s="233">
        <v>0</v>
      </c>
      <c r="X158" s="236">
        <v>0</v>
      </c>
      <c r="Y158" s="233">
        <v>0</v>
      </c>
      <c r="Z158" s="233">
        <v>0</v>
      </c>
      <c r="AA158" s="233">
        <v>0</v>
      </c>
      <c r="AB158" s="235">
        <v>0</v>
      </c>
    </row>
    <row r="159" spans="1:58" x14ac:dyDescent="0.35">
      <c r="A159" t="s">
        <v>168</v>
      </c>
      <c r="B159" t="s">
        <v>73</v>
      </c>
      <c r="C159" s="4" t="s">
        <v>148</v>
      </c>
      <c r="D159" s="4" t="s">
        <v>169</v>
      </c>
      <c r="E159" s="61">
        <v>0</v>
      </c>
      <c r="F159" s="61">
        <v>0</v>
      </c>
      <c r="G159" s="61">
        <v>2529.9723407455476</v>
      </c>
      <c r="H159" s="230">
        <v>0</v>
      </c>
      <c r="I159" s="233">
        <v>0</v>
      </c>
      <c r="J159" s="233">
        <v>0</v>
      </c>
      <c r="K159" s="233">
        <v>0</v>
      </c>
      <c r="L159" s="236">
        <v>0</v>
      </c>
      <c r="M159" s="233">
        <v>0</v>
      </c>
      <c r="N159" s="233">
        <v>0</v>
      </c>
      <c r="O159" s="233">
        <v>0</v>
      </c>
      <c r="P159" s="236">
        <v>0</v>
      </c>
      <c r="Q159" s="233">
        <v>0</v>
      </c>
      <c r="R159" s="233">
        <v>0</v>
      </c>
      <c r="S159" s="233">
        <v>0</v>
      </c>
      <c r="T159" s="236">
        <v>0</v>
      </c>
      <c r="U159" s="233">
        <v>0</v>
      </c>
      <c r="V159" s="233">
        <v>0</v>
      </c>
      <c r="W159" s="233">
        <v>0</v>
      </c>
      <c r="X159" s="236">
        <v>0</v>
      </c>
      <c r="Y159" s="233">
        <v>0</v>
      </c>
      <c r="Z159" s="233">
        <v>0</v>
      </c>
      <c r="AA159" s="233">
        <v>0</v>
      </c>
      <c r="AB159" s="235">
        <v>0</v>
      </c>
    </row>
    <row r="160" spans="1:58" ht="15" thickBot="1" x14ac:dyDescent="0.4">
      <c r="A160" t="s">
        <v>170</v>
      </c>
      <c r="B160" t="s">
        <v>73</v>
      </c>
      <c r="C160" s="4" t="s">
        <v>148</v>
      </c>
      <c r="D160" s="4" t="s">
        <v>171</v>
      </c>
      <c r="E160" s="231">
        <v>0</v>
      </c>
      <c r="F160" s="231">
        <v>0</v>
      </c>
      <c r="G160" s="231">
        <v>0</v>
      </c>
      <c r="H160" s="232">
        <v>1</v>
      </c>
      <c r="I160" s="237">
        <v>0</v>
      </c>
      <c r="J160" s="237">
        <v>0</v>
      </c>
      <c r="K160" s="237">
        <v>0</v>
      </c>
      <c r="L160" s="238">
        <v>0</v>
      </c>
      <c r="M160" s="237">
        <v>0</v>
      </c>
      <c r="N160" s="237">
        <v>0</v>
      </c>
      <c r="O160" s="237">
        <v>0</v>
      </c>
      <c r="P160" s="238">
        <v>0</v>
      </c>
      <c r="Q160" s="237">
        <v>0</v>
      </c>
      <c r="R160" s="237">
        <v>0</v>
      </c>
      <c r="S160" s="237">
        <v>0</v>
      </c>
      <c r="T160" s="238">
        <v>0</v>
      </c>
      <c r="U160" s="237">
        <v>0</v>
      </c>
      <c r="V160" s="237">
        <v>0</v>
      </c>
      <c r="W160" s="237">
        <v>0</v>
      </c>
      <c r="X160" s="238">
        <v>0</v>
      </c>
      <c r="Y160" s="237">
        <v>0</v>
      </c>
      <c r="Z160" s="237">
        <v>0</v>
      </c>
      <c r="AA160" s="237">
        <v>0</v>
      </c>
      <c r="AB160" s="239">
        <v>0</v>
      </c>
    </row>
    <row r="161" spans="1:52" x14ac:dyDescent="0.35">
      <c r="A161" t="s">
        <v>152</v>
      </c>
      <c r="B161" t="s">
        <v>88</v>
      </c>
      <c r="C161" s="4" t="s">
        <v>140</v>
      </c>
      <c r="D161" s="4" t="s">
        <v>153</v>
      </c>
      <c r="E161" s="233">
        <v>0</v>
      </c>
      <c r="F161" s="233">
        <v>0</v>
      </c>
      <c r="G161" s="233">
        <v>0</v>
      </c>
      <c r="H161" s="236">
        <v>0</v>
      </c>
      <c r="I161" s="233">
        <v>0</v>
      </c>
      <c r="J161" s="233">
        <v>0</v>
      </c>
      <c r="K161" s="233">
        <v>0</v>
      </c>
      <c r="L161" s="236">
        <v>0</v>
      </c>
      <c r="M161" s="233">
        <v>0</v>
      </c>
      <c r="N161" s="233">
        <v>0</v>
      </c>
      <c r="O161" s="233">
        <v>0</v>
      </c>
      <c r="P161" s="236">
        <v>0</v>
      </c>
      <c r="Q161" s="233">
        <v>0</v>
      </c>
      <c r="R161" s="233">
        <v>0</v>
      </c>
      <c r="S161" s="233">
        <v>0</v>
      </c>
      <c r="T161" s="236">
        <v>0</v>
      </c>
      <c r="U161" s="233">
        <v>0</v>
      </c>
      <c r="V161" s="233">
        <v>0</v>
      </c>
      <c r="W161" s="233">
        <v>0</v>
      </c>
      <c r="X161" s="236">
        <v>0</v>
      </c>
      <c r="Y161" s="233">
        <v>0</v>
      </c>
      <c r="Z161" s="233">
        <v>0</v>
      </c>
      <c r="AA161" s="233">
        <v>0</v>
      </c>
      <c r="AB161" s="235">
        <v>0</v>
      </c>
    </row>
    <row r="162" spans="1:52" x14ac:dyDescent="0.35">
      <c r="A162" t="s">
        <v>154</v>
      </c>
      <c r="B162" t="s">
        <v>88</v>
      </c>
      <c r="C162" s="4" t="s">
        <v>140</v>
      </c>
      <c r="D162" s="4" t="s">
        <v>155</v>
      </c>
      <c r="E162" s="233">
        <v>0</v>
      </c>
      <c r="F162" s="233">
        <v>0</v>
      </c>
      <c r="G162" s="233">
        <v>0</v>
      </c>
      <c r="H162" s="236">
        <v>0</v>
      </c>
      <c r="I162" s="233">
        <v>0</v>
      </c>
      <c r="J162" s="233">
        <v>0</v>
      </c>
      <c r="K162" s="233">
        <v>0</v>
      </c>
      <c r="L162" s="236">
        <v>0</v>
      </c>
      <c r="M162" s="233">
        <v>0</v>
      </c>
      <c r="N162" s="233">
        <v>0</v>
      </c>
      <c r="O162" s="233">
        <v>0</v>
      </c>
      <c r="P162" s="236">
        <v>0</v>
      </c>
      <c r="Q162" s="233">
        <v>0</v>
      </c>
      <c r="R162" s="233">
        <v>0</v>
      </c>
      <c r="S162" s="233">
        <v>0</v>
      </c>
      <c r="T162" s="236">
        <v>0</v>
      </c>
      <c r="U162" s="233">
        <v>0</v>
      </c>
      <c r="V162" s="233">
        <v>0</v>
      </c>
      <c r="W162" s="233">
        <v>0</v>
      </c>
      <c r="X162" s="236">
        <v>0</v>
      </c>
      <c r="Y162" s="233">
        <v>0</v>
      </c>
      <c r="Z162" s="233">
        <v>0</v>
      </c>
      <c r="AA162" s="233">
        <v>0</v>
      </c>
      <c r="AB162" s="235">
        <v>0</v>
      </c>
    </row>
    <row r="163" spans="1:52" x14ac:dyDescent="0.35">
      <c r="A163" t="s">
        <v>168</v>
      </c>
      <c r="B163" t="s">
        <v>88</v>
      </c>
      <c r="C163" s="4" t="s">
        <v>148</v>
      </c>
      <c r="D163" s="4" t="s">
        <v>169</v>
      </c>
      <c r="E163" s="233">
        <v>0</v>
      </c>
      <c r="F163" s="233">
        <v>0</v>
      </c>
      <c r="G163" s="233">
        <v>0</v>
      </c>
      <c r="H163" s="236">
        <v>0</v>
      </c>
      <c r="I163" s="233">
        <v>0</v>
      </c>
      <c r="J163" s="233">
        <v>0</v>
      </c>
      <c r="K163" s="233">
        <v>0</v>
      </c>
      <c r="L163" s="236">
        <v>0</v>
      </c>
      <c r="M163" s="233">
        <v>0</v>
      </c>
      <c r="N163" s="233">
        <v>0</v>
      </c>
      <c r="O163" s="233">
        <v>0</v>
      </c>
      <c r="P163" s="236">
        <v>0</v>
      </c>
      <c r="Q163" s="233">
        <v>0</v>
      </c>
      <c r="R163" s="233">
        <v>0</v>
      </c>
      <c r="S163" s="233">
        <v>0</v>
      </c>
      <c r="T163" s="236">
        <v>0</v>
      </c>
      <c r="U163" s="233">
        <v>0</v>
      </c>
      <c r="V163" s="233">
        <v>0</v>
      </c>
      <c r="W163" s="233">
        <v>0</v>
      </c>
      <c r="X163" s="236">
        <v>0</v>
      </c>
      <c r="Y163" s="233">
        <v>0</v>
      </c>
      <c r="Z163" s="233">
        <v>0</v>
      </c>
      <c r="AA163" s="233">
        <v>0</v>
      </c>
      <c r="AB163" s="235">
        <v>0</v>
      </c>
    </row>
    <row r="164" spans="1:52" ht="15" thickBot="1" x14ac:dyDescent="0.4">
      <c r="A164" t="s">
        <v>170</v>
      </c>
      <c r="B164" t="s">
        <v>88</v>
      </c>
      <c r="C164" s="4" t="s">
        <v>148</v>
      </c>
      <c r="D164" s="4" t="s">
        <v>171</v>
      </c>
      <c r="E164" s="240">
        <v>0</v>
      </c>
      <c r="F164" s="240">
        <v>0</v>
      </c>
      <c r="G164" s="240">
        <v>0</v>
      </c>
      <c r="H164" s="241">
        <v>0</v>
      </c>
      <c r="I164" s="240">
        <v>0</v>
      </c>
      <c r="J164" s="240">
        <v>0</v>
      </c>
      <c r="K164" s="240">
        <v>0</v>
      </c>
      <c r="L164" s="241">
        <v>0</v>
      </c>
      <c r="M164" s="240">
        <v>0</v>
      </c>
      <c r="N164" s="240">
        <v>0</v>
      </c>
      <c r="O164" s="240">
        <v>0</v>
      </c>
      <c r="P164" s="241">
        <v>0</v>
      </c>
      <c r="Q164" s="240">
        <v>0</v>
      </c>
      <c r="R164" s="240">
        <v>0</v>
      </c>
      <c r="S164" s="240">
        <v>0</v>
      </c>
      <c r="T164" s="241">
        <v>0</v>
      </c>
      <c r="U164" s="240">
        <v>0</v>
      </c>
      <c r="V164" s="240">
        <v>0</v>
      </c>
      <c r="W164" s="240">
        <v>0</v>
      </c>
      <c r="X164" s="241">
        <v>0</v>
      </c>
      <c r="Y164" s="240">
        <v>0</v>
      </c>
      <c r="Z164" s="240">
        <v>0</v>
      </c>
      <c r="AA164" s="240">
        <v>0</v>
      </c>
      <c r="AB164" s="242">
        <v>0</v>
      </c>
    </row>
    <row r="165" spans="1:52" x14ac:dyDescent="0.35">
      <c r="A165" t="s">
        <v>152</v>
      </c>
      <c r="B165" t="s">
        <v>90</v>
      </c>
      <c r="C165" s="4" t="s">
        <v>140</v>
      </c>
      <c r="D165" s="4" t="s">
        <v>153</v>
      </c>
      <c r="E165" s="233">
        <v>0</v>
      </c>
      <c r="F165" s="233">
        <v>0</v>
      </c>
      <c r="G165" s="233">
        <v>0</v>
      </c>
      <c r="H165" s="236">
        <v>0</v>
      </c>
      <c r="I165" s="233">
        <v>0</v>
      </c>
      <c r="J165" s="233">
        <v>0</v>
      </c>
      <c r="K165" s="233">
        <v>0</v>
      </c>
      <c r="L165" s="236">
        <v>0</v>
      </c>
      <c r="M165" s="233">
        <v>0</v>
      </c>
      <c r="N165" s="233">
        <v>0</v>
      </c>
      <c r="O165" s="233">
        <v>0</v>
      </c>
      <c r="P165" s="236">
        <v>0</v>
      </c>
      <c r="Q165" s="233">
        <v>0</v>
      </c>
      <c r="R165" s="233">
        <v>0</v>
      </c>
      <c r="S165" s="233">
        <v>0</v>
      </c>
      <c r="T165" s="236">
        <v>0</v>
      </c>
      <c r="U165" s="233">
        <v>0</v>
      </c>
      <c r="V165" s="233">
        <v>0</v>
      </c>
      <c r="W165" s="233">
        <v>0</v>
      </c>
      <c r="X165" s="236">
        <v>0</v>
      </c>
      <c r="Y165" s="233">
        <v>0</v>
      </c>
      <c r="Z165" s="233">
        <v>0</v>
      </c>
      <c r="AA165" s="233">
        <v>0</v>
      </c>
      <c r="AB165" s="235">
        <v>0</v>
      </c>
    </row>
    <row r="166" spans="1:52" x14ac:dyDescent="0.35">
      <c r="A166" t="s">
        <v>154</v>
      </c>
      <c r="B166" t="s">
        <v>90</v>
      </c>
      <c r="C166" s="4" t="s">
        <v>140</v>
      </c>
      <c r="D166" s="4" t="s">
        <v>155</v>
      </c>
      <c r="E166" s="233">
        <v>0</v>
      </c>
      <c r="F166" s="233">
        <v>0</v>
      </c>
      <c r="G166" s="233">
        <v>0</v>
      </c>
      <c r="H166" s="236">
        <v>0</v>
      </c>
      <c r="I166" s="233">
        <v>0</v>
      </c>
      <c r="J166" s="233">
        <v>0</v>
      </c>
      <c r="K166" s="233">
        <v>0</v>
      </c>
      <c r="L166" s="236">
        <v>0</v>
      </c>
      <c r="M166" s="233">
        <v>0</v>
      </c>
      <c r="N166" s="233">
        <v>0</v>
      </c>
      <c r="O166" s="233">
        <v>0</v>
      </c>
      <c r="P166" s="236">
        <v>0</v>
      </c>
      <c r="Q166" s="233">
        <v>0</v>
      </c>
      <c r="R166" s="233">
        <v>0</v>
      </c>
      <c r="S166" s="233">
        <v>0</v>
      </c>
      <c r="T166" s="236">
        <v>0</v>
      </c>
      <c r="U166" s="233">
        <v>0</v>
      </c>
      <c r="V166" s="233">
        <v>0</v>
      </c>
      <c r="W166" s="233">
        <v>0</v>
      </c>
      <c r="X166" s="236">
        <v>0</v>
      </c>
      <c r="Y166" s="233">
        <v>0</v>
      </c>
      <c r="Z166" s="233">
        <v>0</v>
      </c>
      <c r="AA166" s="233">
        <v>0</v>
      </c>
      <c r="AB166" s="235">
        <v>0</v>
      </c>
    </row>
    <row r="167" spans="1:52" x14ac:dyDescent="0.35">
      <c r="A167" t="s">
        <v>168</v>
      </c>
      <c r="B167" t="s">
        <v>90</v>
      </c>
      <c r="C167" s="4" t="s">
        <v>148</v>
      </c>
      <c r="D167" s="4" t="s">
        <v>169</v>
      </c>
      <c r="E167" s="233">
        <v>0</v>
      </c>
      <c r="F167" s="233">
        <v>0</v>
      </c>
      <c r="G167" s="233">
        <v>0</v>
      </c>
      <c r="H167" s="236">
        <v>0</v>
      </c>
      <c r="I167" s="233">
        <v>0</v>
      </c>
      <c r="J167" s="233">
        <v>0</v>
      </c>
      <c r="K167" s="233">
        <v>0</v>
      </c>
      <c r="L167" s="236">
        <v>0</v>
      </c>
      <c r="M167" s="233">
        <v>0</v>
      </c>
      <c r="N167" s="233">
        <v>0</v>
      </c>
      <c r="O167" s="233">
        <v>0</v>
      </c>
      <c r="P167" s="236">
        <v>0</v>
      </c>
      <c r="Q167" s="233">
        <v>0</v>
      </c>
      <c r="R167" s="233">
        <v>0</v>
      </c>
      <c r="S167" s="233">
        <v>0</v>
      </c>
      <c r="T167" s="236">
        <v>0</v>
      </c>
      <c r="U167" s="233">
        <v>0</v>
      </c>
      <c r="V167" s="233">
        <v>0</v>
      </c>
      <c r="W167" s="233">
        <v>0</v>
      </c>
      <c r="X167" s="236">
        <v>0</v>
      </c>
      <c r="Y167" s="233">
        <v>0</v>
      </c>
      <c r="Z167" s="233">
        <v>0</v>
      </c>
      <c r="AA167" s="233">
        <v>0</v>
      </c>
      <c r="AB167" s="235">
        <v>0</v>
      </c>
    </row>
    <row r="168" spans="1:52" ht="15" thickBot="1" x14ac:dyDescent="0.4">
      <c r="A168" t="s">
        <v>170</v>
      </c>
      <c r="B168" t="s">
        <v>90</v>
      </c>
      <c r="C168" s="4" t="s">
        <v>148</v>
      </c>
      <c r="D168" s="4" t="s">
        <v>171</v>
      </c>
      <c r="E168" s="240">
        <v>0</v>
      </c>
      <c r="F168" s="240">
        <v>0</v>
      </c>
      <c r="G168" s="240">
        <v>0</v>
      </c>
      <c r="H168" s="241">
        <v>0</v>
      </c>
      <c r="I168" s="240">
        <v>0</v>
      </c>
      <c r="J168" s="240">
        <v>0</v>
      </c>
      <c r="K168" s="240">
        <v>0</v>
      </c>
      <c r="L168" s="241">
        <v>0</v>
      </c>
      <c r="M168" s="240">
        <v>0</v>
      </c>
      <c r="N168" s="240">
        <v>0</v>
      </c>
      <c r="O168" s="240">
        <v>0</v>
      </c>
      <c r="P168" s="241">
        <v>0</v>
      </c>
      <c r="Q168" s="240">
        <v>0</v>
      </c>
      <c r="R168" s="240">
        <v>0</v>
      </c>
      <c r="S168" s="240">
        <v>0</v>
      </c>
      <c r="T168" s="241">
        <v>0</v>
      </c>
      <c r="U168" s="240">
        <v>0</v>
      </c>
      <c r="V168" s="240">
        <v>0</v>
      </c>
      <c r="W168" s="240">
        <v>0</v>
      </c>
      <c r="X168" s="241">
        <v>0</v>
      </c>
      <c r="Y168" s="240">
        <v>0</v>
      </c>
      <c r="Z168" s="240">
        <v>0</v>
      </c>
      <c r="AA168" s="240">
        <v>0</v>
      </c>
      <c r="AB168" s="242">
        <v>0</v>
      </c>
    </row>
    <row r="169" spans="1:52" x14ac:dyDescent="0.35">
      <c r="A169" t="s">
        <v>152</v>
      </c>
      <c r="B169" t="s">
        <v>91</v>
      </c>
      <c r="C169" s="4" t="s">
        <v>140</v>
      </c>
      <c r="D169" s="4" t="s">
        <v>153</v>
      </c>
      <c r="E169" s="233">
        <v>0</v>
      </c>
      <c r="F169" s="233">
        <v>0</v>
      </c>
      <c r="G169" s="233">
        <v>0</v>
      </c>
      <c r="H169" s="236">
        <v>0</v>
      </c>
      <c r="I169" s="233">
        <v>0</v>
      </c>
      <c r="J169" s="233">
        <v>0</v>
      </c>
      <c r="K169" s="233">
        <v>0</v>
      </c>
      <c r="L169" s="236">
        <v>0</v>
      </c>
      <c r="M169" s="233">
        <v>0</v>
      </c>
      <c r="N169" s="233">
        <v>0</v>
      </c>
      <c r="O169" s="233">
        <v>0</v>
      </c>
      <c r="P169" s="236">
        <v>0</v>
      </c>
      <c r="Q169" s="233">
        <v>0</v>
      </c>
      <c r="R169" s="233">
        <v>0</v>
      </c>
      <c r="S169" s="233">
        <v>0</v>
      </c>
      <c r="T169" s="236">
        <v>0</v>
      </c>
      <c r="U169" s="233">
        <v>0</v>
      </c>
      <c r="V169" s="233">
        <v>0</v>
      </c>
      <c r="W169" s="233">
        <v>0</v>
      </c>
      <c r="X169" s="236">
        <v>0</v>
      </c>
      <c r="Y169" s="233">
        <v>0</v>
      </c>
      <c r="Z169" s="233">
        <v>0</v>
      </c>
      <c r="AA169" s="233">
        <v>0</v>
      </c>
      <c r="AB169" s="235">
        <v>0</v>
      </c>
    </row>
    <row r="170" spans="1:52" x14ac:dyDescent="0.35">
      <c r="A170" t="s">
        <v>154</v>
      </c>
      <c r="B170" t="s">
        <v>91</v>
      </c>
      <c r="C170" s="4" t="s">
        <v>140</v>
      </c>
      <c r="D170" s="4" t="s">
        <v>155</v>
      </c>
      <c r="E170" s="233">
        <v>0</v>
      </c>
      <c r="F170" s="233">
        <v>0</v>
      </c>
      <c r="G170" s="233">
        <v>0</v>
      </c>
      <c r="H170" s="236">
        <v>0</v>
      </c>
      <c r="I170" s="233">
        <v>0</v>
      </c>
      <c r="J170" s="233">
        <v>0</v>
      </c>
      <c r="K170" s="233">
        <v>0</v>
      </c>
      <c r="L170" s="236">
        <v>0</v>
      </c>
      <c r="M170" s="233">
        <v>0</v>
      </c>
      <c r="N170" s="233">
        <v>0</v>
      </c>
      <c r="O170" s="233">
        <v>0</v>
      </c>
      <c r="P170" s="236">
        <v>0</v>
      </c>
      <c r="Q170" s="233">
        <v>0</v>
      </c>
      <c r="R170" s="233">
        <v>0</v>
      </c>
      <c r="S170" s="233">
        <v>0</v>
      </c>
      <c r="T170" s="236">
        <v>0</v>
      </c>
      <c r="U170" s="233">
        <v>0</v>
      </c>
      <c r="V170" s="233">
        <v>0</v>
      </c>
      <c r="W170" s="233">
        <v>0</v>
      </c>
      <c r="X170" s="236">
        <v>0</v>
      </c>
      <c r="Y170" s="233">
        <v>0</v>
      </c>
      <c r="Z170" s="233">
        <v>0</v>
      </c>
      <c r="AA170" s="233">
        <v>0</v>
      </c>
      <c r="AB170" s="235">
        <v>0</v>
      </c>
    </row>
    <row r="171" spans="1:52" x14ac:dyDescent="0.35">
      <c r="A171" t="s">
        <v>168</v>
      </c>
      <c r="B171" t="s">
        <v>91</v>
      </c>
      <c r="C171" s="4" t="s">
        <v>148</v>
      </c>
      <c r="D171" s="4" t="s">
        <v>169</v>
      </c>
      <c r="E171" s="233">
        <v>0</v>
      </c>
      <c r="F171" s="233">
        <v>0</v>
      </c>
      <c r="G171" s="233">
        <v>0</v>
      </c>
      <c r="H171" s="236">
        <v>0</v>
      </c>
      <c r="I171" s="233">
        <v>0</v>
      </c>
      <c r="J171" s="233">
        <v>0</v>
      </c>
      <c r="K171" s="233">
        <v>0</v>
      </c>
      <c r="L171" s="236">
        <v>0</v>
      </c>
      <c r="M171" s="233">
        <v>0</v>
      </c>
      <c r="N171" s="233">
        <v>0</v>
      </c>
      <c r="O171" s="233">
        <v>0</v>
      </c>
      <c r="P171" s="236">
        <v>0</v>
      </c>
      <c r="Q171" s="233">
        <v>0</v>
      </c>
      <c r="R171" s="233">
        <v>0</v>
      </c>
      <c r="S171" s="233">
        <v>0</v>
      </c>
      <c r="T171" s="236">
        <v>0</v>
      </c>
      <c r="U171" s="233">
        <v>0</v>
      </c>
      <c r="V171" s="233">
        <v>0</v>
      </c>
      <c r="W171" s="233">
        <v>0</v>
      </c>
      <c r="X171" s="236">
        <v>0</v>
      </c>
      <c r="Y171" s="233">
        <v>0</v>
      </c>
      <c r="Z171" s="233">
        <v>0</v>
      </c>
      <c r="AA171" s="233">
        <v>0</v>
      </c>
      <c r="AB171" s="235">
        <v>0</v>
      </c>
    </row>
    <row r="172" spans="1:52" ht="15" thickBot="1" x14ac:dyDescent="0.4">
      <c r="A172" t="s">
        <v>170</v>
      </c>
      <c r="B172" t="s">
        <v>91</v>
      </c>
      <c r="C172" s="4" t="s">
        <v>148</v>
      </c>
      <c r="D172" s="4" t="s">
        <v>171</v>
      </c>
      <c r="E172" s="240">
        <v>0</v>
      </c>
      <c r="F172" s="240">
        <v>0</v>
      </c>
      <c r="G172" s="240">
        <v>0</v>
      </c>
      <c r="H172" s="241">
        <v>0</v>
      </c>
      <c r="I172" s="240">
        <v>0</v>
      </c>
      <c r="J172" s="240">
        <v>0</v>
      </c>
      <c r="K172" s="240">
        <v>0</v>
      </c>
      <c r="L172" s="241">
        <v>0</v>
      </c>
      <c r="M172" s="240">
        <v>0</v>
      </c>
      <c r="N172" s="240">
        <v>0</v>
      </c>
      <c r="O172" s="240">
        <v>0</v>
      </c>
      <c r="P172" s="241">
        <v>0</v>
      </c>
      <c r="Q172" s="240">
        <v>0</v>
      </c>
      <c r="R172" s="240">
        <v>0</v>
      </c>
      <c r="S172" s="240">
        <v>0</v>
      </c>
      <c r="T172" s="241">
        <v>0</v>
      </c>
      <c r="U172" s="240">
        <v>0</v>
      </c>
      <c r="V172" s="240">
        <v>0</v>
      </c>
      <c r="W172" s="240">
        <v>0</v>
      </c>
      <c r="X172" s="241">
        <v>0</v>
      </c>
      <c r="Y172" s="240">
        <v>0</v>
      </c>
      <c r="Z172" s="240">
        <v>0</v>
      </c>
      <c r="AA172" s="240">
        <v>0</v>
      </c>
      <c r="AB172" s="242">
        <v>0</v>
      </c>
    </row>
    <row r="173" spans="1:52" x14ac:dyDescent="0.35">
      <c r="A173" t="s">
        <v>152</v>
      </c>
      <c r="B173" t="s">
        <v>92</v>
      </c>
      <c r="C173" s="4" t="s">
        <v>140</v>
      </c>
      <c r="D173" s="4" t="s">
        <v>153</v>
      </c>
      <c r="E173" s="233">
        <v>0</v>
      </c>
      <c r="F173" s="233">
        <v>0</v>
      </c>
      <c r="G173" s="233">
        <v>0</v>
      </c>
      <c r="H173" s="236">
        <v>0</v>
      </c>
      <c r="I173" s="233">
        <v>0</v>
      </c>
      <c r="J173" s="233">
        <v>0</v>
      </c>
      <c r="K173" s="233">
        <v>0</v>
      </c>
      <c r="L173" s="236">
        <v>0</v>
      </c>
      <c r="M173" s="233">
        <v>0</v>
      </c>
      <c r="N173" s="233">
        <v>0</v>
      </c>
      <c r="O173" s="233">
        <v>0</v>
      </c>
      <c r="P173" s="236">
        <v>0</v>
      </c>
      <c r="Q173" s="233">
        <v>0</v>
      </c>
      <c r="R173" s="233">
        <v>0</v>
      </c>
      <c r="S173" s="233">
        <v>0</v>
      </c>
      <c r="T173" s="236">
        <v>0</v>
      </c>
      <c r="U173" s="233">
        <v>0</v>
      </c>
      <c r="V173" s="233">
        <v>0</v>
      </c>
      <c r="W173" s="233">
        <v>0</v>
      </c>
      <c r="X173" s="236">
        <v>0</v>
      </c>
      <c r="Y173" s="233">
        <v>0</v>
      </c>
      <c r="Z173" s="233">
        <v>0</v>
      </c>
      <c r="AA173" s="233">
        <v>0</v>
      </c>
      <c r="AB173" s="235">
        <v>0</v>
      </c>
    </row>
    <row r="174" spans="1:52" s="4" customFormat="1" x14ac:dyDescent="0.35">
      <c r="A174" t="s">
        <v>154</v>
      </c>
      <c r="B174" t="s">
        <v>92</v>
      </c>
      <c r="C174" s="4" t="s">
        <v>140</v>
      </c>
      <c r="D174" s="4" t="s">
        <v>155</v>
      </c>
      <c r="E174" s="233">
        <v>0</v>
      </c>
      <c r="F174" s="233">
        <v>0</v>
      </c>
      <c r="G174" s="233">
        <v>0</v>
      </c>
      <c r="H174" s="236">
        <v>0</v>
      </c>
      <c r="I174" s="233">
        <v>0</v>
      </c>
      <c r="J174" s="233">
        <v>0</v>
      </c>
      <c r="K174" s="233">
        <v>0</v>
      </c>
      <c r="L174" s="236">
        <v>0</v>
      </c>
      <c r="M174" s="233">
        <v>0</v>
      </c>
      <c r="N174" s="233">
        <v>0</v>
      </c>
      <c r="O174" s="233">
        <v>0</v>
      </c>
      <c r="P174" s="236">
        <v>0</v>
      </c>
      <c r="Q174" s="233">
        <v>0</v>
      </c>
      <c r="R174" s="233">
        <v>0</v>
      </c>
      <c r="S174" s="233">
        <v>0</v>
      </c>
      <c r="T174" s="236">
        <v>0</v>
      </c>
      <c r="U174" s="233">
        <v>0</v>
      </c>
      <c r="V174" s="233">
        <v>0</v>
      </c>
      <c r="W174" s="233">
        <v>0</v>
      </c>
      <c r="X174" s="236">
        <v>0</v>
      </c>
      <c r="Y174" s="233">
        <v>0</v>
      </c>
      <c r="Z174" s="233">
        <v>0</v>
      </c>
      <c r="AA174" s="233">
        <v>0</v>
      </c>
      <c r="AB174" s="235">
        <v>0</v>
      </c>
      <c r="AZ174" s="17"/>
    </row>
    <row r="175" spans="1:52" s="4" customFormat="1" x14ac:dyDescent="0.35">
      <c r="A175" t="s">
        <v>168</v>
      </c>
      <c r="B175" t="s">
        <v>92</v>
      </c>
      <c r="C175" s="4" t="s">
        <v>148</v>
      </c>
      <c r="D175" s="4" t="s">
        <v>169</v>
      </c>
      <c r="E175" s="233">
        <v>0</v>
      </c>
      <c r="F175" s="233">
        <v>0</v>
      </c>
      <c r="G175" s="233">
        <v>0</v>
      </c>
      <c r="H175" s="236">
        <v>0</v>
      </c>
      <c r="I175" s="233">
        <v>0</v>
      </c>
      <c r="J175" s="233">
        <v>0</v>
      </c>
      <c r="K175" s="233">
        <v>0</v>
      </c>
      <c r="L175" s="236">
        <v>0</v>
      </c>
      <c r="M175" s="233">
        <v>0</v>
      </c>
      <c r="N175" s="233">
        <v>0</v>
      </c>
      <c r="O175" s="233">
        <v>0</v>
      </c>
      <c r="P175" s="236">
        <v>0</v>
      </c>
      <c r="Q175" s="233">
        <v>0</v>
      </c>
      <c r="R175" s="233">
        <v>0</v>
      </c>
      <c r="S175" s="233">
        <v>0</v>
      </c>
      <c r="T175" s="236">
        <v>0</v>
      </c>
      <c r="U175" s="233">
        <v>0</v>
      </c>
      <c r="V175" s="233">
        <v>0</v>
      </c>
      <c r="W175" s="233">
        <v>0</v>
      </c>
      <c r="X175" s="236">
        <v>0</v>
      </c>
      <c r="Y175" s="233">
        <v>0</v>
      </c>
      <c r="Z175" s="233">
        <v>0</v>
      </c>
      <c r="AA175" s="233">
        <v>0</v>
      </c>
      <c r="AB175" s="235">
        <v>0</v>
      </c>
      <c r="AZ175" s="17"/>
    </row>
    <row r="176" spans="1:52" s="4" customFormat="1" ht="15" thickBot="1" x14ac:dyDescent="0.4">
      <c r="A176" t="s">
        <v>170</v>
      </c>
      <c r="B176" t="s">
        <v>92</v>
      </c>
      <c r="C176" s="4" t="s">
        <v>148</v>
      </c>
      <c r="D176" s="4" t="s">
        <v>171</v>
      </c>
      <c r="E176" s="240">
        <v>0</v>
      </c>
      <c r="F176" s="240">
        <v>0</v>
      </c>
      <c r="G176" s="240">
        <v>0</v>
      </c>
      <c r="H176" s="241">
        <v>0</v>
      </c>
      <c r="I176" s="240">
        <v>0</v>
      </c>
      <c r="J176" s="240">
        <v>0</v>
      </c>
      <c r="K176" s="240">
        <v>0</v>
      </c>
      <c r="L176" s="241">
        <v>0</v>
      </c>
      <c r="M176" s="240">
        <v>0</v>
      </c>
      <c r="N176" s="240">
        <v>0</v>
      </c>
      <c r="O176" s="240">
        <v>0</v>
      </c>
      <c r="P176" s="241">
        <v>0</v>
      </c>
      <c r="Q176" s="240">
        <v>0</v>
      </c>
      <c r="R176" s="240">
        <v>0</v>
      </c>
      <c r="S176" s="240">
        <v>0</v>
      </c>
      <c r="T176" s="241">
        <v>0</v>
      </c>
      <c r="U176" s="240">
        <v>0</v>
      </c>
      <c r="V176" s="240">
        <v>0</v>
      </c>
      <c r="W176" s="240">
        <v>0</v>
      </c>
      <c r="X176" s="241">
        <v>0</v>
      </c>
      <c r="Y176" s="240">
        <v>0</v>
      </c>
      <c r="Z176" s="240">
        <v>0</v>
      </c>
      <c r="AA176" s="240">
        <v>0</v>
      </c>
      <c r="AB176" s="242">
        <v>0</v>
      </c>
      <c r="AZ176" s="17"/>
    </row>
    <row r="177" spans="1:52" s="4" customFormat="1" x14ac:dyDescent="0.35">
      <c r="A177" t="s">
        <v>152</v>
      </c>
      <c r="B177" t="s">
        <v>93</v>
      </c>
      <c r="C177" s="4" t="s">
        <v>140</v>
      </c>
      <c r="D177" s="4" t="s">
        <v>153</v>
      </c>
      <c r="E177" s="233">
        <v>0</v>
      </c>
      <c r="F177" s="233">
        <v>0</v>
      </c>
      <c r="G177" s="233">
        <v>0</v>
      </c>
      <c r="H177" s="236">
        <v>0</v>
      </c>
      <c r="I177" s="233">
        <v>0</v>
      </c>
      <c r="J177" s="233">
        <v>0</v>
      </c>
      <c r="K177" s="233">
        <v>0</v>
      </c>
      <c r="L177" s="236">
        <v>0</v>
      </c>
      <c r="M177" s="233">
        <v>0</v>
      </c>
      <c r="N177" s="233">
        <v>0</v>
      </c>
      <c r="O177" s="233">
        <v>0</v>
      </c>
      <c r="P177" s="236">
        <v>0</v>
      </c>
      <c r="Q177" s="233">
        <v>0</v>
      </c>
      <c r="R177" s="233">
        <v>0</v>
      </c>
      <c r="S177" s="233">
        <v>0</v>
      </c>
      <c r="T177" s="236">
        <v>0</v>
      </c>
      <c r="U177" s="233">
        <v>0</v>
      </c>
      <c r="V177" s="233">
        <v>0</v>
      </c>
      <c r="W177" s="233">
        <v>0</v>
      </c>
      <c r="X177" s="236">
        <v>0</v>
      </c>
      <c r="Y177" s="233">
        <v>0</v>
      </c>
      <c r="Z177" s="233">
        <v>0</v>
      </c>
      <c r="AA177" s="233">
        <v>0</v>
      </c>
      <c r="AB177" s="235">
        <v>0</v>
      </c>
      <c r="AE177" s="76"/>
      <c r="AZ177" s="17"/>
    </row>
    <row r="178" spans="1:52" s="4" customFormat="1" x14ac:dyDescent="0.35">
      <c r="A178" t="s">
        <v>154</v>
      </c>
      <c r="B178" t="s">
        <v>93</v>
      </c>
      <c r="C178" s="4" t="s">
        <v>140</v>
      </c>
      <c r="D178" s="4" t="s">
        <v>155</v>
      </c>
      <c r="E178" s="233">
        <v>0</v>
      </c>
      <c r="F178" s="233">
        <v>0</v>
      </c>
      <c r="G178" s="233">
        <v>0</v>
      </c>
      <c r="H178" s="236">
        <v>0</v>
      </c>
      <c r="I178" s="233">
        <v>0</v>
      </c>
      <c r="J178" s="233">
        <v>0</v>
      </c>
      <c r="K178" s="233">
        <v>0</v>
      </c>
      <c r="L178" s="236">
        <v>0</v>
      </c>
      <c r="M178" s="233">
        <v>0</v>
      </c>
      <c r="N178" s="233">
        <v>0</v>
      </c>
      <c r="O178" s="233">
        <v>0</v>
      </c>
      <c r="P178" s="236">
        <v>0</v>
      </c>
      <c r="Q178" s="233">
        <v>0</v>
      </c>
      <c r="R178" s="233">
        <v>0</v>
      </c>
      <c r="S178" s="233">
        <v>0</v>
      </c>
      <c r="T178" s="236">
        <v>0</v>
      </c>
      <c r="U178" s="233">
        <v>0</v>
      </c>
      <c r="V178" s="233">
        <v>0</v>
      </c>
      <c r="W178" s="233">
        <v>0</v>
      </c>
      <c r="X178" s="236">
        <v>0</v>
      </c>
      <c r="Y178" s="233">
        <v>0</v>
      </c>
      <c r="Z178" s="233">
        <v>0</v>
      </c>
      <c r="AA178" s="233">
        <v>0</v>
      </c>
      <c r="AB178" s="235">
        <v>0</v>
      </c>
      <c r="AZ178" s="17"/>
    </row>
    <row r="179" spans="1:52" s="4" customFormat="1" x14ac:dyDescent="0.35">
      <c r="A179" t="s">
        <v>168</v>
      </c>
      <c r="B179" t="s">
        <v>93</v>
      </c>
      <c r="C179" s="4" t="s">
        <v>148</v>
      </c>
      <c r="D179" s="4" t="s">
        <v>169</v>
      </c>
      <c r="E179" s="233">
        <v>0</v>
      </c>
      <c r="F179" s="233">
        <v>0</v>
      </c>
      <c r="G179" s="233">
        <v>0</v>
      </c>
      <c r="H179" s="236">
        <v>0</v>
      </c>
      <c r="I179" s="233">
        <v>0</v>
      </c>
      <c r="J179" s="233">
        <v>0</v>
      </c>
      <c r="K179" s="233">
        <v>0</v>
      </c>
      <c r="L179" s="236">
        <v>0</v>
      </c>
      <c r="M179" s="233">
        <v>0</v>
      </c>
      <c r="N179" s="233">
        <v>0</v>
      </c>
      <c r="O179" s="233">
        <v>0</v>
      </c>
      <c r="P179" s="236">
        <v>0</v>
      </c>
      <c r="Q179" s="233">
        <v>0</v>
      </c>
      <c r="R179" s="233">
        <v>0</v>
      </c>
      <c r="S179" s="233">
        <v>0</v>
      </c>
      <c r="T179" s="236">
        <v>0</v>
      </c>
      <c r="U179" s="233">
        <v>0</v>
      </c>
      <c r="V179" s="233">
        <v>0</v>
      </c>
      <c r="W179" s="233">
        <v>0</v>
      </c>
      <c r="X179" s="236">
        <v>0</v>
      </c>
      <c r="Y179" s="233">
        <v>0</v>
      </c>
      <c r="Z179" s="233">
        <v>0</v>
      </c>
      <c r="AA179" s="233">
        <v>0</v>
      </c>
      <c r="AB179" s="235">
        <v>0</v>
      </c>
      <c r="AZ179" s="17"/>
    </row>
    <row r="180" spans="1:52" s="6" customFormat="1" x14ac:dyDescent="0.35">
      <c r="A180" s="7" t="s">
        <v>170</v>
      </c>
      <c r="B180" s="7" t="s">
        <v>93</v>
      </c>
      <c r="C180" s="6" t="s">
        <v>148</v>
      </c>
      <c r="D180" s="6" t="s">
        <v>171</v>
      </c>
      <c r="E180" s="243">
        <v>0</v>
      </c>
      <c r="F180" s="243">
        <v>0</v>
      </c>
      <c r="G180" s="243">
        <v>0</v>
      </c>
      <c r="H180" s="244">
        <v>0</v>
      </c>
      <c r="I180" s="243">
        <v>0</v>
      </c>
      <c r="J180" s="243">
        <v>0</v>
      </c>
      <c r="K180" s="243">
        <v>0</v>
      </c>
      <c r="L180" s="244">
        <v>0</v>
      </c>
      <c r="M180" s="243">
        <v>0</v>
      </c>
      <c r="N180" s="243">
        <v>0</v>
      </c>
      <c r="O180" s="243">
        <v>0</v>
      </c>
      <c r="P180" s="244">
        <v>0</v>
      </c>
      <c r="Q180" s="243">
        <v>0</v>
      </c>
      <c r="R180" s="243">
        <v>0</v>
      </c>
      <c r="S180" s="243">
        <v>0</v>
      </c>
      <c r="T180" s="244">
        <v>0</v>
      </c>
      <c r="U180" s="243">
        <v>0</v>
      </c>
      <c r="V180" s="243">
        <v>0</v>
      </c>
      <c r="W180" s="243">
        <v>0</v>
      </c>
      <c r="X180" s="244">
        <v>0</v>
      </c>
      <c r="Y180" s="243">
        <v>0</v>
      </c>
      <c r="Z180" s="243">
        <v>0</v>
      </c>
      <c r="AA180" s="243">
        <v>0</v>
      </c>
      <c r="AB180" s="245">
        <v>0</v>
      </c>
      <c r="AZ180" s="27"/>
    </row>
    <row r="181" spans="1:52" s="4" customFormat="1" x14ac:dyDescent="0.35">
      <c r="A181" t="s">
        <v>187</v>
      </c>
      <c r="B181" t="s">
        <v>73</v>
      </c>
      <c r="C181" s="4" t="s">
        <v>145</v>
      </c>
      <c r="D181" s="4" t="s">
        <v>188</v>
      </c>
      <c r="E181" s="50"/>
      <c r="F181" s="50"/>
      <c r="G181" s="50"/>
      <c r="H181" s="50"/>
      <c r="I181" s="50"/>
      <c r="J181" s="50"/>
      <c r="K181" s="50"/>
      <c r="L181" s="50"/>
      <c r="M181" s="50"/>
      <c r="P181"/>
      <c r="Q181"/>
      <c r="R181"/>
      <c r="T181"/>
      <c r="V181"/>
      <c r="AB181" s="17"/>
      <c r="AC181" s="65" cm="1">
        <f t="array" ref="AC181:AF252">MMULT(AC52:AF123,MINVERSE(_xlfn.MUNIT(4)*BH28:BH31))</f>
        <v>20.996100000000002</v>
      </c>
      <c r="AD181" s="65">
        <v>1.1932942595726979E-3</v>
      </c>
      <c r="AE181" s="66">
        <v>0</v>
      </c>
      <c r="AF181" s="67">
        <v>0</v>
      </c>
      <c r="AG181" s="66">
        <v>0</v>
      </c>
      <c r="AH181" s="66">
        <v>0</v>
      </c>
      <c r="AI181" s="66">
        <v>0</v>
      </c>
      <c r="AJ181" s="67">
        <v>0</v>
      </c>
      <c r="AK181" s="66">
        <v>0</v>
      </c>
      <c r="AL181" s="66">
        <v>0</v>
      </c>
      <c r="AM181" s="66">
        <v>0</v>
      </c>
      <c r="AN181" s="67">
        <v>0</v>
      </c>
      <c r="AO181" s="66">
        <v>0</v>
      </c>
      <c r="AP181" s="66">
        <v>0</v>
      </c>
      <c r="AQ181" s="66">
        <v>0</v>
      </c>
      <c r="AR181" s="67">
        <v>0</v>
      </c>
      <c r="AS181" s="66">
        <v>0</v>
      </c>
      <c r="AT181" s="66">
        <v>0</v>
      </c>
      <c r="AU181" s="66">
        <v>0</v>
      </c>
      <c r="AV181" s="67">
        <v>0</v>
      </c>
      <c r="AW181" s="66">
        <v>0</v>
      </c>
      <c r="AX181" s="66">
        <v>0</v>
      </c>
      <c r="AY181" s="66">
        <v>0</v>
      </c>
      <c r="AZ181" s="246">
        <v>0</v>
      </c>
    </row>
    <row r="182" spans="1:52" x14ac:dyDescent="0.35">
      <c r="A182" t="s">
        <v>144</v>
      </c>
      <c r="B182" t="s">
        <v>73</v>
      </c>
      <c r="C182" s="4" t="s">
        <v>145</v>
      </c>
      <c r="D182" s="4" t="s">
        <v>361</v>
      </c>
      <c r="AC182" s="65">
        <v>11.828571428571427</v>
      </c>
      <c r="AD182" s="66">
        <v>0</v>
      </c>
      <c r="AE182" s="66">
        <v>0</v>
      </c>
      <c r="AF182" s="68">
        <v>0</v>
      </c>
      <c r="AG182" s="66">
        <v>0</v>
      </c>
      <c r="AH182" s="66">
        <v>0</v>
      </c>
      <c r="AI182" s="66">
        <v>0</v>
      </c>
      <c r="AJ182" s="68">
        <v>0</v>
      </c>
      <c r="AK182" s="66">
        <v>0</v>
      </c>
      <c r="AL182" s="66">
        <v>0</v>
      </c>
      <c r="AM182" s="66">
        <v>0</v>
      </c>
      <c r="AN182" s="68">
        <v>0</v>
      </c>
      <c r="AO182" s="66">
        <v>0</v>
      </c>
      <c r="AP182" s="66">
        <v>0</v>
      </c>
      <c r="AQ182" s="66">
        <v>0</v>
      </c>
      <c r="AR182" s="68">
        <v>0</v>
      </c>
      <c r="AS182" s="66">
        <v>0</v>
      </c>
      <c r="AT182" s="66">
        <v>0</v>
      </c>
      <c r="AU182" s="66">
        <v>0</v>
      </c>
      <c r="AV182" s="68">
        <v>0</v>
      </c>
      <c r="AW182" s="66">
        <v>0</v>
      </c>
      <c r="AX182" s="66">
        <v>0</v>
      </c>
      <c r="AY182" s="66">
        <v>0</v>
      </c>
      <c r="AZ182" s="247">
        <v>0</v>
      </c>
    </row>
    <row r="183" spans="1:52" x14ac:dyDescent="0.35">
      <c r="A183" t="s">
        <v>183</v>
      </c>
      <c r="B183" t="s">
        <v>73</v>
      </c>
      <c r="C183" s="4" t="s">
        <v>145</v>
      </c>
      <c r="D183" s="4" t="s">
        <v>362</v>
      </c>
      <c r="AC183" s="66">
        <v>0</v>
      </c>
      <c r="AD183" s="65">
        <v>6.9749679999999994E-2</v>
      </c>
      <c r="AE183" s="66">
        <v>0</v>
      </c>
      <c r="AF183" s="68">
        <v>0</v>
      </c>
      <c r="AG183" s="66">
        <v>0</v>
      </c>
      <c r="AH183" s="66">
        <v>0</v>
      </c>
      <c r="AI183" s="66">
        <v>0</v>
      </c>
      <c r="AJ183" s="68">
        <v>0</v>
      </c>
      <c r="AK183" s="66">
        <v>0</v>
      </c>
      <c r="AL183" s="66">
        <v>0</v>
      </c>
      <c r="AM183" s="66">
        <v>0</v>
      </c>
      <c r="AN183" s="68">
        <v>0</v>
      </c>
      <c r="AO183" s="66">
        <v>0</v>
      </c>
      <c r="AP183" s="66">
        <v>0</v>
      </c>
      <c r="AQ183" s="66">
        <v>0</v>
      </c>
      <c r="AR183" s="68">
        <v>0</v>
      </c>
      <c r="AS183" s="66">
        <v>0</v>
      </c>
      <c r="AT183" s="66">
        <v>0</v>
      </c>
      <c r="AU183" s="66">
        <v>0</v>
      </c>
      <c r="AV183" s="68">
        <v>0</v>
      </c>
      <c r="AW183" s="66">
        <v>0</v>
      </c>
      <c r="AX183" s="66">
        <v>0</v>
      </c>
      <c r="AY183" s="66">
        <v>0</v>
      </c>
      <c r="AZ183" s="247">
        <v>0</v>
      </c>
    </row>
    <row r="184" spans="1:52" x14ac:dyDescent="0.35">
      <c r="A184" t="s">
        <v>172</v>
      </c>
      <c r="B184" t="s">
        <v>73</v>
      </c>
      <c r="C184" s="4" t="s">
        <v>145</v>
      </c>
      <c r="D184" s="4" t="s">
        <v>363</v>
      </c>
      <c r="AC184" s="65">
        <v>3.3421988920214002E-2</v>
      </c>
      <c r="AD184" s="66">
        <v>0</v>
      </c>
      <c r="AE184" s="66">
        <v>0</v>
      </c>
      <c r="AF184" s="68">
        <v>0</v>
      </c>
      <c r="AG184" s="66">
        <v>0</v>
      </c>
      <c r="AH184" s="66">
        <v>0</v>
      </c>
      <c r="AI184" s="66">
        <v>0</v>
      </c>
      <c r="AJ184" s="68">
        <v>0</v>
      </c>
      <c r="AK184" s="66">
        <v>0</v>
      </c>
      <c r="AL184" s="66">
        <v>0</v>
      </c>
      <c r="AM184" s="66">
        <v>0</v>
      </c>
      <c r="AN184" s="68">
        <v>0</v>
      </c>
      <c r="AO184" s="66">
        <v>0</v>
      </c>
      <c r="AP184" s="66">
        <v>0</v>
      </c>
      <c r="AQ184" s="66">
        <v>0</v>
      </c>
      <c r="AR184" s="68">
        <v>0</v>
      </c>
      <c r="AS184" s="66">
        <v>0</v>
      </c>
      <c r="AT184" s="66">
        <v>0</v>
      </c>
      <c r="AU184" s="66">
        <v>0</v>
      </c>
      <c r="AV184" s="68">
        <v>0</v>
      </c>
      <c r="AW184" s="66">
        <v>0</v>
      </c>
      <c r="AX184" s="66">
        <v>0</v>
      </c>
      <c r="AY184" s="66">
        <v>0</v>
      </c>
      <c r="AZ184" s="247">
        <v>0</v>
      </c>
    </row>
    <row r="185" spans="1:52" x14ac:dyDescent="0.35">
      <c r="A185" t="s">
        <v>174</v>
      </c>
      <c r="B185" t="s">
        <v>73</v>
      </c>
      <c r="C185" s="4" t="s">
        <v>145</v>
      </c>
      <c r="D185" s="4" t="s">
        <v>175</v>
      </c>
      <c r="AC185" s="66">
        <v>0</v>
      </c>
      <c r="AD185" s="248">
        <v>1.4582562144772118E-3</v>
      </c>
      <c r="AE185" s="66">
        <v>0</v>
      </c>
      <c r="AF185" s="68">
        <v>0</v>
      </c>
      <c r="AG185" s="66">
        <v>0</v>
      </c>
      <c r="AH185" s="66">
        <v>0</v>
      </c>
      <c r="AI185" s="66">
        <v>0</v>
      </c>
      <c r="AJ185" s="68">
        <v>0</v>
      </c>
      <c r="AK185" s="66">
        <v>0</v>
      </c>
      <c r="AL185" s="66">
        <v>0</v>
      </c>
      <c r="AM185" s="66">
        <v>0</v>
      </c>
      <c r="AN185" s="68">
        <v>0</v>
      </c>
      <c r="AO185" s="66">
        <v>0</v>
      </c>
      <c r="AP185" s="66">
        <v>0</v>
      </c>
      <c r="AQ185" s="66">
        <v>0</v>
      </c>
      <c r="AR185" s="68">
        <v>0</v>
      </c>
      <c r="AS185" s="66">
        <v>0</v>
      </c>
      <c r="AT185" s="66">
        <v>0</v>
      </c>
      <c r="AU185" s="66">
        <v>0</v>
      </c>
      <c r="AV185" s="68">
        <v>0</v>
      </c>
      <c r="AW185" s="66">
        <v>0</v>
      </c>
      <c r="AX185" s="66">
        <v>0</v>
      </c>
      <c r="AY185" s="66">
        <v>0</v>
      </c>
      <c r="AZ185" s="247">
        <v>0</v>
      </c>
    </row>
    <row r="186" spans="1:52" x14ac:dyDescent="0.35">
      <c r="A186" t="s">
        <v>176</v>
      </c>
      <c r="B186" t="s">
        <v>73</v>
      </c>
      <c r="C186" s="4" t="s">
        <v>145</v>
      </c>
      <c r="D186" s="4" t="s">
        <v>177</v>
      </c>
      <c r="AC186" s="66">
        <v>0</v>
      </c>
      <c r="AD186" s="248">
        <v>8.4634636521458274E-4</v>
      </c>
      <c r="AE186" s="66">
        <v>0</v>
      </c>
      <c r="AF186" s="68">
        <v>0</v>
      </c>
      <c r="AG186" s="66">
        <v>0</v>
      </c>
      <c r="AH186" s="66">
        <v>0</v>
      </c>
      <c r="AI186" s="66">
        <v>0</v>
      </c>
      <c r="AJ186" s="68">
        <v>0</v>
      </c>
      <c r="AK186" s="66">
        <v>0</v>
      </c>
      <c r="AL186" s="66">
        <v>0</v>
      </c>
      <c r="AM186" s="66">
        <v>0</v>
      </c>
      <c r="AN186" s="68">
        <v>0</v>
      </c>
      <c r="AO186" s="66">
        <v>0</v>
      </c>
      <c r="AP186" s="66">
        <v>0</v>
      </c>
      <c r="AQ186" s="66">
        <v>0</v>
      </c>
      <c r="AR186" s="68">
        <v>0</v>
      </c>
      <c r="AS186" s="66">
        <v>0</v>
      </c>
      <c r="AT186" s="66">
        <v>0</v>
      </c>
      <c r="AU186" s="66">
        <v>0</v>
      </c>
      <c r="AV186" s="68">
        <v>0</v>
      </c>
      <c r="AW186" s="66">
        <v>0</v>
      </c>
      <c r="AX186" s="66">
        <v>0</v>
      </c>
      <c r="AY186" s="66">
        <v>0</v>
      </c>
      <c r="AZ186" s="247">
        <v>0</v>
      </c>
    </row>
    <row r="187" spans="1:52" x14ac:dyDescent="0.35">
      <c r="A187" t="s">
        <v>178</v>
      </c>
      <c r="B187" t="s">
        <v>73</v>
      </c>
      <c r="C187" s="4" t="s">
        <v>145</v>
      </c>
      <c r="D187" s="4" t="s">
        <v>179</v>
      </c>
      <c r="AC187" s="66">
        <v>0</v>
      </c>
      <c r="AD187" s="248">
        <v>1.2517329093179335E-4</v>
      </c>
      <c r="AE187" s="66">
        <v>0</v>
      </c>
      <c r="AF187" s="68">
        <v>0</v>
      </c>
      <c r="AG187" s="66">
        <v>0</v>
      </c>
      <c r="AH187" s="66">
        <v>0</v>
      </c>
      <c r="AI187" s="66">
        <v>0</v>
      </c>
      <c r="AJ187" s="68">
        <v>0</v>
      </c>
      <c r="AK187" s="66">
        <v>0</v>
      </c>
      <c r="AL187" s="66">
        <v>0</v>
      </c>
      <c r="AM187" s="66">
        <v>0</v>
      </c>
      <c r="AN187" s="68">
        <v>0</v>
      </c>
      <c r="AO187" s="66">
        <v>0</v>
      </c>
      <c r="AP187" s="66">
        <v>0</v>
      </c>
      <c r="AQ187" s="66">
        <v>0</v>
      </c>
      <c r="AR187" s="68">
        <v>0</v>
      </c>
      <c r="AS187" s="66">
        <v>0</v>
      </c>
      <c r="AT187" s="66">
        <v>0</v>
      </c>
      <c r="AU187" s="66">
        <v>0</v>
      </c>
      <c r="AV187" s="68">
        <v>0</v>
      </c>
      <c r="AW187" s="66">
        <v>0</v>
      </c>
      <c r="AX187" s="66">
        <v>0</v>
      </c>
      <c r="AY187" s="66">
        <v>0</v>
      </c>
      <c r="AZ187" s="247">
        <v>0</v>
      </c>
    </row>
    <row r="188" spans="1:52" x14ac:dyDescent="0.35">
      <c r="A188" t="s">
        <v>180</v>
      </c>
      <c r="B188" t="s">
        <v>73</v>
      </c>
      <c r="C188" s="4" t="s">
        <v>181</v>
      </c>
      <c r="D188" s="4" t="s">
        <v>182</v>
      </c>
      <c r="Z188" s="72"/>
      <c r="AC188" s="66">
        <v>0</v>
      </c>
      <c r="AD188" s="66">
        <v>0</v>
      </c>
      <c r="AE188" s="65">
        <v>4.0146105919003111E-8</v>
      </c>
      <c r="AF188" s="249">
        <v>5.0294789999999994E-8</v>
      </c>
      <c r="AG188" s="66">
        <v>0</v>
      </c>
      <c r="AH188" s="66">
        <v>0</v>
      </c>
      <c r="AI188" s="66">
        <v>0</v>
      </c>
      <c r="AJ188" s="68">
        <v>0</v>
      </c>
      <c r="AK188" s="66">
        <v>0</v>
      </c>
      <c r="AL188" s="66">
        <v>0</v>
      </c>
      <c r="AM188" s="66">
        <v>0</v>
      </c>
      <c r="AN188" s="68">
        <v>0</v>
      </c>
      <c r="AO188" s="66">
        <v>0</v>
      </c>
      <c r="AP188" s="66">
        <v>0</v>
      </c>
      <c r="AQ188" s="66">
        <v>0</v>
      </c>
      <c r="AR188" s="68">
        <v>0</v>
      </c>
      <c r="AS188" s="66">
        <v>0</v>
      </c>
      <c r="AT188" s="66">
        <v>0</v>
      </c>
      <c r="AU188" s="66">
        <v>0</v>
      </c>
      <c r="AV188" s="68">
        <v>0</v>
      </c>
      <c r="AW188" s="66">
        <v>0</v>
      </c>
      <c r="AX188" s="66">
        <v>0</v>
      </c>
      <c r="AY188" s="66">
        <v>0</v>
      </c>
      <c r="AZ188" s="247">
        <v>0</v>
      </c>
    </row>
    <row r="189" spans="1:52" x14ac:dyDescent="0.35">
      <c r="A189" t="s">
        <v>197</v>
      </c>
      <c r="B189" t="s">
        <v>73</v>
      </c>
      <c r="C189" s="4" t="s">
        <v>181</v>
      </c>
      <c r="D189" s="4" t="s">
        <v>198</v>
      </c>
      <c r="AA189" s="72"/>
      <c r="AC189" s="65">
        <v>0.13437998483817604</v>
      </c>
      <c r="AD189" s="65">
        <v>2.4335351040000001E-4</v>
      </c>
      <c r="AE189" s="65">
        <v>1.2183459827918709E-7</v>
      </c>
      <c r="AF189" s="249">
        <v>1.7883556705882356E-5</v>
      </c>
      <c r="AG189" s="66">
        <v>0</v>
      </c>
      <c r="AH189" s="66">
        <v>0</v>
      </c>
      <c r="AI189" s="66">
        <v>0</v>
      </c>
      <c r="AJ189" s="68">
        <v>0</v>
      </c>
      <c r="AK189" s="66">
        <v>0</v>
      </c>
      <c r="AL189" s="66">
        <v>0</v>
      </c>
      <c r="AM189" s="66">
        <v>0</v>
      </c>
      <c r="AN189" s="68">
        <v>0</v>
      </c>
      <c r="AO189" s="66">
        <v>0</v>
      </c>
      <c r="AP189" s="66">
        <v>0</v>
      </c>
      <c r="AQ189" s="66">
        <v>0</v>
      </c>
      <c r="AR189" s="68">
        <v>0</v>
      </c>
      <c r="AS189" s="66">
        <v>0</v>
      </c>
      <c r="AT189" s="66">
        <v>0</v>
      </c>
      <c r="AU189" s="66">
        <v>0</v>
      </c>
      <c r="AV189" s="68">
        <v>0</v>
      </c>
      <c r="AW189" s="66">
        <v>0</v>
      </c>
      <c r="AX189" s="66">
        <v>0</v>
      </c>
      <c r="AY189" s="66">
        <v>0</v>
      </c>
      <c r="AZ189" s="247">
        <v>0</v>
      </c>
    </row>
    <row r="190" spans="1:52" x14ac:dyDescent="0.35">
      <c r="A190" t="s">
        <v>364</v>
      </c>
      <c r="B190" t="s">
        <v>73</v>
      </c>
      <c r="C190" s="4" t="s">
        <v>181</v>
      </c>
      <c r="D190" s="4" t="s">
        <v>200</v>
      </c>
      <c r="AC190" s="65">
        <v>0.25443647306582401</v>
      </c>
      <c r="AD190" s="65">
        <v>4.6076808959999996E-4</v>
      </c>
      <c r="AE190" s="65">
        <v>2.3068290654205609E-7</v>
      </c>
      <c r="AF190" s="249">
        <v>3.3860913882352942E-5</v>
      </c>
      <c r="AG190" s="66">
        <v>0</v>
      </c>
      <c r="AH190" s="66">
        <v>0</v>
      </c>
      <c r="AI190" s="66">
        <v>0</v>
      </c>
      <c r="AJ190" s="68">
        <v>0</v>
      </c>
      <c r="AK190" s="66">
        <v>0</v>
      </c>
      <c r="AL190" s="66">
        <v>0</v>
      </c>
      <c r="AM190" s="66">
        <v>0</v>
      </c>
      <c r="AN190" s="68">
        <v>0</v>
      </c>
      <c r="AO190" s="66">
        <v>0</v>
      </c>
      <c r="AP190" s="66">
        <v>0</v>
      </c>
      <c r="AQ190" s="66">
        <v>0</v>
      </c>
      <c r="AR190" s="68">
        <v>0</v>
      </c>
      <c r="AS190" s="66">
        <v>0</v>
      </c>
      <c r="AT190" s="66">
        <v>0</v>
      </c>
      <c r="AU190" s="66">
        <v>0</v>
      </c>
      <c r="AV190" s="68">
        <v>0</v>
      </c>
      <c r="AW190" s="66">
        <v>0</v>
      </c>
      <c r="AX190" s="66">
        <v>0</v>
      </c>
      <c r="AY190" s="66">
        <v>0</v>
      </c>
      <c r="AZ190" s="247">
        <v>0</v>
      </c>
    </row>
    <row r="191" spans="1:52" x14ac:dyDescent="0.35">
      <c r="A191" t="s">
        <v>201</v>
      </c>
      <c r="B191" t="s">
        <v>73</v>
      </c>
      <c r="C191" s="4" t="s">
        <v>181</v>
      </c>
      <c r="D191" s="4" t="s">
        <v>202</v>
      </c>
      <c r="AC191" s="65">
        <v>0.86543018049599985</v>
      </c>
      <c r="AD191" s="65">
        <v>1.5672383999999996E-3</v>
      </c>
      <c r="AE191" s="65">
        <v>7.8463573653760568E-7</v>
      </c>
      <c r="AF191" s="249">
        <v>1.1517317647058823E-4</v>
      </c>
      <c r="AG191" s="66">
        <v>0</v>
      </c>
      <c r="AH191" s="66">
        <v>0</v>
      </c>
      <c r="AI191" s="66">
        <v>0</v>
      </c>
      <c r="AJ191" s="68">
        <v>0</v>
      </c>
      <c r="AK191" s="66">
        <v>0</v>
      </c>
      <c r="AL191" s="66">
        <v>0</v>
      </c>
      <c r="AM191" s="66">
        <v>0</v>
      </c>
      <c r="AN191" s="68">
        <v>0</v>
      </c>
      <c r="AO191" s="66">
        <v>0</v>
      </c>
      <c r="AP191" s="66">
        <v>0</v>
      </c>
      <c r="AQ191" s="66">
        <v>0</v>
      </c>
      <c r="AR191" s="68">
        <v>0</v>
      </c>
      <c r="AS191" s="66">
        <v>0</v>
      </c>
      <c r="AT191" s="66">
        <v>0</v>
      </c>
      <c r="AU191" s="66">
        <v>0</v>
      </c>
      <c r="AV191" s="68">
        <v>0</v>
      </c>
      <c r="AW191" s="66">
        <v>0</v>
      </c>
      <c r="AX191" s="66">
        <v>0</v>
      </c>
      <c r="AY191" s="66">
        <v>0</v>
      </c>
      <c r="AZ191" s="247">
        <v>0</v>
      </c>
    </row>
    <row r="192" spans="1:52" ht="15" thickBot="1" x14ac:dyDescent="0.4">
      <c r="A192" t="s">
        <v>193</v>
      </c>
      <c r="B192" t="s">
        <v>73</v>
      </c>
      <c r="C192" s="4" t="s">
        <v>145</v>
      </c>
      <c r="D192" s="4" t="s">
        <v>194</v>
      </c>
      <c r="AC192" s="69">
        <v>0</v>
      </c>
      <c r="AD192" s="70">
        <v>1.5965533412604042E-3</v>
      </c>
      <c r="AE192" s="70">
        <v>3.9708116569218732E-4</v>
      </c>
      <c r="AF192" s="71">
        <v>0</v>
      </c>
      <c r="AG192" s="69">
        <v>0</v>
      </c>
      <c r="AH192" s="69">
        <v>0</v>
      </c>
      <c r="AI192" s="69">
        <v>0</v>
      </c>
      <c r="AJ192" s="71">
        <v>0</v>
      </c>
      <c r="AK192" s="69">
        <v>0</v>
      </c>
      <c r="AL192" s="69">
        <v>0</v>
      </c>
      <c r="AM192" s="69">
        <v>0</v>
      </c>
      <c r="AN192" s="71">
        <v>0</v>
      </c>
      <c r="AO192" s="69">
        <v>0</v>
      </c>
      <c r="AP192" s="69">
        <v>0</v>
      </c>
      <c r="AQ192" s="69">
        <v>0</v>
      </c>
      <c r="AR192" s="71">
        <v>0</v>
      </c>
      <c r="AS192" s="69">
        <v>0</v>
      </c>
      <c r="AT192" s="69">
        <v>0</v>
      </c>
      <c r="AU192" s="69">
        <v>0</v>
      </c>
      <c r="AV192" s="71">
        <v>0</v>
      </c>
      <c r="AW192" s="69">
        <v>0</v>
      </c>
      <c r="AX192" s="69">
        <v>0</v>
      </c>
      <c r="AY192" s="69">
        <v>0</v>
      </c>
      <c r="AZ192" s="250">
        <v>0</v>
      </c>
    </row>
    <row r="193" spans="1:52" x14ac:dyDescent="0.35">
      <c r="A193" t="s">
        <v>187</v>
      </c>
      <c r="B193" t="s">
        <v>88</v>
      </c>
      <c r="C193" s="4" t="s">
        <v>145</v>
      </c>
      <c r="D193" s="4" t="s">
        <v>188</v>
      </c>
      <c r="AC193" s="65">
        <v>286.26390000000004</v>
      </c>
      <c r="AD193" s="65">
        <v>9.9090099874062521E-4</v>
      </c>
      <c r="AE193" s="66">
        <v>0</v>
      </c>
      <c r="AF193" s="68">
        <v>0</v>
      </c>
      <c r="AG193" s="66">
        <v>0</v>
      </c>
      <c r="AH193" s="66">
        <v>0</v>
      </c>
      <c r="AI193" s="66">
        <v>0</v>
      </c>
      <c r="AJ193" s="68">
        <v>0</v>
      </c>
      <c r="AK193" s="66">
        <v>0</v>
      </c>
      <c r="AL193" s="66">
        <v>0</v>
      </c>
      <c r="AM193" s="66">
        <v>0</v>
      </c>
      <c r="AN193" s="68">
        <v>0</v>
      </c>
      <c r="AO193" s="66">
        <v>0</v>
      </c>
      <c r="AP193" s="66">
        <v>0</v>
      </c>
      <c r="AQ193" s="66">
        <v>0</v>
      </c>
      <c r="AR193" s="68">
        <v>0</v>
      </c>
      <c r="AS193" s="66">
        <v>0</v>
      </c>
      <c r="AT193" s="66">
        <v>0</v>
      </c>
      <c r="AU193" s="66">
        <v>0</v>
      </c>
      <c r="AV193" s="68">
        <v>0</v>
      </c>
      <c r="AW193" s="66">
        <v>0</v>
      </c>
      <c r="AX193" s="66">
        <v>0</v>
      </c>
      <c r="AY193" s="66">
        <v>0</v>
      </c>
      <c r="AZ193" s="247">
        <v>0</v>
      </c>
    </row>
    <row r="194" spans="1:52" x14ac:dyDescent="0.35">
      <c r="A194" t="s">
        <v>144</v>
      </c>
      <c r="B194" t="s">
        <v>88</v>
      </c>
      <c r="C194" s="4" t="s">
        <v>145</v>
      </c>
      <c r="D194" s="4" t="s">
        <v>361</v>
      </c>
      <c r="AC194" s="65">
        <v>78.857142857142847</v>
      </c>
      <c r="AD194" s="66">
        <v>0</v>
      </c>
      <c r="AE194" s="66">
        <v>0</v>
      </c>
      <c r="AF194" s="68">
        <v>0</v>
      </c>
      <c r="AG194" s="66">
        <v>0</v>
      </c>
      <c r="AH194" s="66">
        <v>0</v>
      </c>
      <c r="AI194" s="66">
        <v>0</v>
      </c>
      <c r="AJ194" s="68">
        <v>0</v>
      </c>
      <c r="AK194" s="66">
        <v>0</v>
      </c>
      <c r="AL194" s="66">
        <v>0</v>
      </c>
      <c r="AM194" s="66">
        <v>0</v>
      </c>
      <c r="AN194" s="68">
        <v>0</v>
      </c>
      <c r="AO194" s="66">
        <v>0</v>
      </c>
      <c r="AP194" s="66">
        <v>0</v>
      </c>
      <c r="AQ194" s="66">
        <v>0</v>
      </c>
      <c r="AR194" s="68">
        <v>0</v>
      </c>
      <c r="AS194" s="66">
        <v>0</v>
      </c>
      <c r="AT194" s="66">
        <v>0</v>
      </c>
      <c r="AU194" s="66">
        <v>0</v>
      </c>
      <c r="AV194" s="68">
        <v>0</v>
      </c>
      <c r="AW194" s="66">
        <v>0</v>
      </c>
      <c r="AX194" s="66">
        <v>0</v>
      </c>
      <c r="AY194" s="66">
        <v>0</v>
      </c>
      <c r="AZ194" s="247">
        <v>0</v>
      </c>
    </row>
    <row r="195" spans="1:52" x14ac:dyDescent="0.35">
      <c r="A195" t="s">
        <v>183</v>
      </c>
      <c r="B195" t="s">
        <v>88</v>
      </c>
      <c r="C195" s="4" t="s">
        <v>145</v>
      </c>
      <c r="D195" s="4" t="s">
        <v>362</v>
      </c>
      <c r="AC195" s="66">
        <v>0</v>
      </c>
      <c r="AD195" s="66">
        <v>0</v>
      </c>
      <c r="AE195" s="66">
        <v>0</v>
      </c>
      <c r="AF195" s="68">
        <v>0</v>
      </c>
      <c r="AG195" s="66">
        <v>0</v>
      </c>
      <c r="AH195" s="66">
        <v>0</v>
      </c>
      <c r="AI195" s="66">
        <v>0</v>
      </c>
      <c r="AJ195" s="68">
        <v>0</v>
      </c>
      <c r="AK195" s="66">
        <v>0</v>
      </c>
      <c r="AL195" s="66">
        <v>0</v>
      </c>
      <c r="AM195" s="66">
        <v>0</v>
      </c>
      <c r="AN195" s="68">
        <v>0</v>
      </c>
      <c r="AO195" s="66">
        <v>0</v>
      </c>
      <c r="AP195" s="66">
        <v>0</v>
      </c>
      <c r="AQ195" s="66">
        <v>0</v>
      </c>
      <c r="AR195" s="68">
        <v>0</v>
      </c>
      <c r="AS195" s="66">
        <v>0</v>
      </c>
      <c r="AT195" s="66">
        <v>0</v>
      </c>
      <c r="AU195" s="66">
        <v>0</v>
      </c>
      <c r="AV195" s="68">
        <v>0</v>
      </c>
      <c r="AW195" s="66">
        <v>0</v>
      </c>
      <c r="AX195" s="66">
        <v>0</v>
      </c>
      <c r="AY195" s="66">
        <v>0</v>
      </c>
      <c r="AZ195" s="247">
        <v>0</v>
      </c>
    </row>
    <row r="196" spans="1:52" x14ac:dyDescent="0.35">
      <c r="A196" t="s">
        <v>172</v>
      </c>
      <c r="B196" t="s">
        <v>88</v>
      </c>
      <c r="C196" s="4" t="s">
        <v>145</v>
      </c>
      <c r="D196" s="4" t="s">
        <v>363</v>
      </c>
      <c r="AC196" s="65">
        <v>0.7862213561563367</v>
      </c>
      <c r="AD196" s="66">
        <v>0</v>
      </c>
      <c r="AE196" s="66">
        <v>0</v>
      </c>
      <c r="AF196" s="68">
        <v>0</v>
      </c>
      <c r="AG196" s="66">
        <v>0</v>
      </c>
      <c r="AH196" s="66">
        <v>0</v>
      </c>
      <c r="AI196" s="66">
        <v>0</v>
      </c>
      <c r="AJ196" s="68">
        <v>0</v>
      </c>
      <c r="AK196" s="66">
        <v>0</v>
      </c>
      <c r="AL196" s="66">
        <v>0</v>
      </c>
      <c r="AM196" s="66">
        <v>0</v>
      </c>
      <c r="AN196" s="68">
        <v>0</v>
      </c>
      <c r="AO196" s="66">
        <v>0</v>
      </c>
      <c r="AP196" s="66">
        <v>0</v>
      </c>
      <c r="AQ196" s="66">
        <v>0</v>
      </c>
      <c r="AR196" s="68">
        <v>0</v>
      </c>
      <c r="AS196" s="66">
        <v>0</v>
      </c>
      <c r="AT196" s="66">
        <v>0</v>
      </c>
      <c r="AU196" s="66">
        <v>0</v>
      </c>
      <c r="AV196" s="68">
        <v>0</v>
      </c>
      <c r="AW196" s="66">
        <v>0</v>
      </c>
      <c r="AX196" s="66">
        <v>0</v>
      </c>
      <c r="AY196" s="66">
        <v>0</v>
      </c>
      <c r="AZ196" s="247">
        <v>0</v>
      </c>
    </row>
    <row r="197" spans="1:52" x14ac:dyDescent="0.35">
      <c r="A197" t="s">
        <v>174</v>
      </c>
      <c r="B197" t="s">
        <v>88</v>
      </c>
      <c r="C197" s="4" t="s">
        <v>145</v>
      </c>
      <c r="D197" s="4" t="s">
        <v>175</v>
      </c>
      <c r="AC197" s="66">
        <v>0</v>
      </c>
      <c r="AD197" s="65">
        <v>3.3029309855227888E-2</v>
      </c>
      <c r="AE197" s="66">
        <v>0</v>
      </c>
      <c r="AF197" s="68">
        <v>0</v>
      </c>
      <c r="AG197" s="66">
        <v>0</v>
      </c>
      <c r="AH197" s="66">
        <v>0</v>
      </c>
      <c r="AI197" s="66">
        <v>0</v>
      </c>
      <c r="AJ197" s="68">
        <v>0</v>
      </c>
      <c r="AK197" s="66">
        <v>0</v>
      </c>
      <c r="AL197" s="66">
        <v>0</v>
      </c>
      <c r="AM197" s="66">
        <v>0</v>
      </c>
      <c r="AN197" s="68">
        <v>0</v>
      </c>
      <c r="AO197" s="66">
        <v>0</v>
      </c>
      <c r="AP197" s="66">
        <v>0</v>
      </c>
      <c r="AQ197" s="66">
        <v>0</v>
      </c>
      <c r="AR197" s="68">
        <v>0</v>
      </c>
      <c r="AS197" s="66">
        <v>0</v>
      </c>
      <c r="AT197" s="66">
        <v>0</v>
      </c>
      <c r="AU197" s="66">
        <v>0</v>
      </c>
      <c r="AV197" s="68">
        <v>0</v>
      </c>
      <c r="AW197" s="66">
        <v>0</v>
      </c>
      <c r="AX197" s="66">
        <v>0</v>
      </c>
      <c r="AY197" s="66">
        <v>0</v>
      </c>
      <c r="AZ197" s="247">
        <v>0</v>
      </c>
    </row>
    <row r="198" spans="1:52" x14ac:dyDescent="0.35">
      <c r="A198" t="s">
        <v>176</v>
      </c>
      <c r="B198" t="s">
        <v>88</v>
      </c>
      <c r="C198" s="4" t="s">
        <v>145</v>
      </c>
      <c r="D198" s="4" t="s">
        <v>177</v>
      </c>
      <c r="AC198" s="66">
        <v>0</v>
      </c>
      <c r="AD198" s="65">
        <v>6.9915569300335089E-3</v>
      </c>
      <c r="AE198" s="66">
        <v>0</v>
      </c>
      <c r="AF198" s="68">
        <v>0</v>
      </c>
      <c r="AG198" s="66">
        <v>0</v>
      </c>
      <c r="AH198" s="66">
        <v>0</v>
      </c>
      <c r="AI198" s="66">
        <v>0</v>
      </c>
      <c r="AJ198" s="68">
        <v>0</v>
      </c>
      <c r="AK198" s="66">
        <v>0</v>
      </c>
      <c r="AL198" s="66">
        <v>0</v>
      </c>
      <c r="AM198" s="66">
        <v>0</v>
      </c>
      <c r="AN198" s="68">
        <v>0</v>
      </c>
      <c r="AO198" s="66">
        <v>0</v>
      </c>
      <c r="AP198" s="66">
        <v>0</v>
      </c>
      <c r="AQ198" s="66">
        <v>0</v>
      </c>
      <c r="AR198" s="68">
        <v>0</v>
      </c>
      <c r="AS198" s="66">
        <v>0</v>
      </c>
      <c r="AT198" s="66">
        <v>0</v>
      </c>
      <c r="AU198" s="66">
        <v>0</v>
      </c>
      <c r="AV198" s="68">
        <v>0</v>
      </c>
      <c r="AW198" s="66">
        <v>0</v>
      </c>
      <c r="AX198" s="66">
        <v>0</v>
      </c>
      <c r="AY198" s="66">
        <v>0</v>
      </c>
      <c r="AZ198" s="247">
        <v>0</v>
      </c>
    </row>
    <row r="199" spans="1:52" x14ac:dyDescent="0.35">
      <c r="A199" t="s">
        <v>178</v>
      </c>
      <c r="B199" t="s">
        <v>88</v>
      </c>
      <c r="C199" s="4" t="s">
        <v>145</v>
      </c>
      <c r="D199" s="4" t="s">
        <v>179</v>
      </c>
      <c r="AC199" s="66">
        <v>0</v>
      </c>
      <c r="AD199" s="65">
        <v>1.5283979779928203E-3</v>
      </c>
      <c r="AE199" s="66">
        <v>0</v>
      </c>
      <c r="AF199" s="68">
        <v>0</v>
      </c>
      <c r="AG199" s="66">
        <v>0</v>
      </c>
      <c r="AH199" s="66">
        <v>0</v>
      </c>
      <c r="AI199" s="66">
        <v>0</v>
      </c>
      <c r="AJ199" s="68">
        <v>0</v>
      </c>
      <c r="AK199" s="66">
        <v>0</v>
      </c>
      <c r="AL199" s="66">
        <v>0</v>
      </c>
      <c r="AM199" s="66">
        <v>0</v>
      </c>
      <c r="AN199" s="68">
        <v>0</v>
      </c>
      <c r="AO199" s="66">
        <v>0</v>
      </c>
      <c r="AP199" s="66">
        <v>0</v>
      </c>
      <c r="AQ199" s="66">
        <v>0</v>
      </c>
      <c r="AR199" s="68">
        <v>0</v>
      </c>
      <c r="AS199" s="66">
        <v>0</v>
      </c>
      <c r="AT199" s="66">
        <v>0</v>
      </c>
      <c r="AU199" s="66">
        <v>0</v>
      </c>
      <c r="AV199" s="68">
        <v>0</v>
      </c>
      <c r="AW199" s="66">
        <v>0</v>
      </c>
      <c r="AX199" s="66">
        <v>0</v>
      </c>
      <c r="AY199" s="66">
        <v>0</v>
      </c>
      <c r="AZ199" s="247">
        <v>0</v>
      </c>
    </row>
    <row r="200" spans="1:52" x14ac:dyDescent="0.35">
      <c r="A200" t="s">
        <v>180</v>
      </c>
      <c r="B200" t="s">
        <v>88</v>
      </c>
      <c r="C200" s="4" t="s">
        <v>181</v>
      </c>
      <c r="D200" s="4" t="s">
        <v>182</v>
      </c>
      <c r="AC200" s="66">
        <v>0</v>
      </c>
      <c r="AD200" s="66">
        <v>0</v>
      </c>
      <c r="AE200" s="66">
        <v>0</v>
      </c>
      <c r="AF200" s="68">
        <v>0</v>
      </c>
      <c r="AG200" s="66">
        <v>0</v>
      </c>
      <c r="AH200" s="66">
        <v>0</v>
      </c>
      <c r="AI200" s="66">
        <v>0</v>
      </c>
      <c r="AJ200" s="68">
        <v>0</v>
      </c>
      <c r="AK200" s="66">
        <v>0</v>
      </c>
      <c r="AL200" s="66">
        <v>0</v>
      </c>
      <c r="AM200" s="66">
        <v>0</v>
      </c>
      <c r="AN200" s="68">
        <v>0</v>
      </c>
      <c r="AO200" s="66">
        <v>0</v>
      </c>
      <c r="AP200" s="66">
        <v>0</v>
      </c>
      <c r="AQ200" s="66">
        <v>0</v>
      </c>
      <c r="AR200" s="68">
        <v>0</v>
      </c>
      <c r="AS200" s="66">
        <v>0</v>
      </c>
      <c r="AT200" s="66">
        <v>0</v>
      </c>
      <c r="AU200" s="66">
        <v>0</v>
      </c>
      <c r="AV200" s="68">
        <v>0</v>
      </c>
      <c r="AW200" s="66">
        <v>0</v>
      </c>
      <c r="AX200" s="66">
        <v>0</v>
      </c>
      <c r="AY200" s="66">
        <v>0</v>
      </c>
      <c r="AZ200" s="247">
        <v>0</v>
      </c>
    </row>
    <row r="201" spans="1:52" x14ac:dyDescent="0.35">
      <c r="A201" t="s">
        <v>197</v>
      </c>
      <c r="B201" t="s">
        <v>88</v>
      </c>
      <c r="C201" s="4" t="s">
        <v>181</v>
      </c>
      <c r="D201" s="4" t="s">
        <v>198</v>
      </c>
      <c r="AC201" s="66">
        <v>0</v>
      </c>
      <c r="AD201" s="66">
        <v>0</v>
      </c>
      <c r="AE201" s="66">
        <v>0</v>
      </c>
      <c r="AF201" s="68">
        <v>0</v>
      </c>
      <c r="AG201" s="66">
        <v>0</v>
      </c>
      <c r="AH201" s="66">
        <v>0</v>
      </c>
      <c r="AI201" s="66">
        <v>0</v>
      </c>
      <c r="AJ201" s="68">
        <v>0</v>
      </c>
      <c r="AK201" s="66">
        <v>0</v>
      </c>
      <c r="AL201" s="66">
        <v>0</v>
      </c>
      <c r="AM201" s="66">
        <v>0</v>
      </c>
      <c r="AN201" s="68">
        <v>0</v>
      </c>
      <c r="AO201" s="66">
        <v>0</v>
      </c>
      <c r="AP201" s="66">
        <v>0</v>
      </c>
      <c r="AQ201" s="66">
        <v>0</v>
      </c>
      <c r="AR201" s="68">
        <v>0</v>
      </c>
      <c r="AS201" s="66">
        <v>0</v>
      </c>
      <c r="AT201" s="66">
        <v>0</v>
      </c>
      <c r="AU201" s="66">
        <v>0</v>
      </c>
      <c r="AV201" s="68">
        <v>0</v>
      </c>
      <c r="AW201" s="66">
        <v>0</v>
      </c>
      <c r="AX201" s="66">
        <v>0</v>
      </c>
      <c r="AY201" s="66">
        <v>0</v>
      </c>
      <c r="AZ201" s="247">
        <v>0</v>
      </c>
    </row>
    <row r="202" spans="1:52" x14ac:dyDescent="0.35">
      <c r="A202" t="s">
        <v>364</v>
      </c>
      <c r="B202" t="s">
        <v>88</v>
      </c>
      <c r="C202" s="4" t="s">
        <v>181</v>
      </c>
      <c r="D202" s="4" t="s">
        <v>200</v>
      </c>
      <c r="AC202" s="66">
        <v>0</v>
      </c>
      <c r="AD202" s="66">
        <v>0</v>
      </c>
      <c r="AE202" s="66">
        <v>0</v>
      </c>
      <c r="AF202" s="68">
        <v>0</v>
      </c>
      <c r="AG202" s="66">
        <v>0</v>
      </c>
      <c r="AH202" s="66">
        <v>0</v>
      </c>
      <c r="AI202" s="66">
        <v>0</v>
      </c>
      <c r="AJ202" s="68">
        <v>0</v>
      </c>
      <c r="AK202" s="66">
        <v>0</v>
      </c>
      <c r="AL202" s="66">
        <v>0</v>
      </c>
      <c r="AM202" s="66">
        <v>0</v>
      </c>
      <c r="AN202" s="68">
        <v>0</v>
      </c>
      <c r="AO202" s="66">
        <v>0</v>
      </c>
      <c r="AP202" s="66">
        <v>0</v>
      </c>
      <c r="AQ202" s="66">
        <v>0</v>
      </c>
      <c r="AR202" s="68">
        <v>0</v>
      </c>
      <c r="AS202" s="66">
        <v>0</v>
      </c>
      <c r="AT202" s="66">
        <v>0</v>
      </c>
      <c r="AU202" s="66">
        <v>0</v>
      </c>
      <c r="AV202" s="68">
        <v>0</v>
      </c>
      <c r="AW202" s="66">
        <v>0</v>
      </c>
      <c r="AX202" s="66">
        <v>0</v>
      </c>
      <c r="AY202" s="66">
        <v>0</v>
      </c>
      <c r="AZ202" s="247">
        <v>0</v>
      </c>
    </row>
    <row r="203" spans="1:52" x14ac:dyDescent="0.35">
      <c r="A203" t="s">
        <v>201</v>
      </c>
      <c r="B203" t="s">
        <v>88</v>
      </c>
      <c r="C203" s="4" t="s">
        <v>181</v>
      </c>
      <c r="D203" s="4" t="s">
        <v>202</v>
      </c>
      <c r="AC203" s="66">
        <v>0</v>
      </c>
      <c r="AD203" s="66">
        <v>0</v>
      </c>
      <c r="AE203" s="66">
        <v>0</v>
      </c>
      <c r="AF203" s="68">
        <v>0</v>
      </c>
      <c r="AG203" s="66">
        <v>0</v>
      </c>
      <c r="AH203" s="66">
        <v>0</v>
      </c>
      <c r="AI203" s="66">
        <v>0</v>
      </c>
      <c r="AJ203" s="68">
        <v>0</v>
      </c>
      <c r="AK203" s="66">
        <v>0</v>
      </c>
      <c r="AL203" s="66">
        <v>0</v>
      </c>
      <c r="AM203" s="66">
        <v>0</v>
      </c>
      <c r="AN203" s="68">
        <v>0</v>
      </c>
      <c r="AO203" s="66">
        <v>0</v>
      </c>
      <c r="AP203" s="66">
        <v>0</v>
      </c>
      <c r="AQ203" s="66">
        <v>0</v>
      </c>
      <c r="AR203" s="68">
        <v>0</v>
      </c>
      <c r="AS203" s="66">
        <v>0</v>
      </c>
      <c r="AT203" s="66">
        <v>0</v>
      </c>
      <c r="AU203" s="66">
        <v>0</v>
      </c>
      <c r="AV203" s="68">
        <v>0</v>
      </c>
      <c r="AW203" s="66">
        <v>0</v>
      </c>
      <c r="AX203" s="66">
        <v>0</v>
      </c>
      <c r="AY203" s="66">
        <v>0</v>
      </c>
      <c r="AZ203" s="247">
        <v>0</v>
      </c>
    </row>
    <row r="204" spans="1:52" ht="15" thickBot="1" x14ac:dyDescent="0.4">
      <c r="A204" t="s">
        <v>193</v>
      </c>
      <c r="B204" t="s">
        <v>88</v>
      </c>
      <c r="C204" s="4" t="s">
        <v>145</v>
      </c>
      <c r="D204" s="4" t="s">
        <v>194</v>
      </c>
      <c r="AC204" s="69">
        <v>0</v>
      </c>
      <c r="AD204" s="70">
        <v>0</v>
      </c>
      <c r="AE204" s="70">
        <v>0</v>
      </c>
      <c r="AF204" s="71">
        <v>0</v>
      </c>
      <c r="AG204" s="69">
        <v>0</v>
      </c>
      <c r="AH204" s="69">
        <v>0</v>
      </c>
      <c r="AI204" s="69">
        <v>0</v>
      </c>
      <c r="AJ204" s="71">
        <v>0</v>
      </c>
      <c r="AK204" s="69">
        <v>0</v>
      </c>
      <c r="AL204" s="69">
        <v>0</v>
      </c>
      <c r="AM204" s="69">
        <v>0</v>
      </c>
      <c r="AN204" s="71">
        <v>0</v>
      </c>
      <c r="AO204" s="69">
        <v>0</v>
      </c>
      <c r="AP204" s="69">
        <v>0</v>
      </c>
      <c r="AQ204" s="69">
        <v>0</v>
      </c>
      <c r="AR204" s="71">
        <v>0</v>
      </c>
      <c r="AS204" s="69">
        <v>0</v>
      </c>
      <c r="AT204" s="69">
        <v>0</v>
      </c>
      <c r="AU204" s="69">
        <v>0</v>
      </c>
      <c r="AV204" s="71">
        <v>0</v>
      </c>
      <c r="AW204" s="69">
        <v>0</v>
      </c>
      <c r="AX204" s="69">
        <v>0</v>
      </c>
      <c r="AY204" s="69">
        <v>0</v>
      </c>
      <c r="AZ204" s="250">
        <v>0</v>
      </c>
    </row>
    <row r="205" spans="1:52" x14ac:dyDescent="0.35">
      <c r="A205" t="s">
        <v>187</v>
      </c>
      <c r="B205" t="s">
        <v>90</v>
      </c>
      <c r="C205" s="4" t="s">
        <v>145</v>
      </c>
      <c r="D205" s="4" t="s">
        <v>188</v>
      </c>
      <c r="AC205" s="65">
        <v>11.2662</v>
      </c>
      <c r="AD205" s="65">
        <v>1.1930979242119881E-3</v>
      </c>
      <c r="AE205" s="66">
        <v>0</v>
      </c>
      <c r="AF205" s="68">
        <v>0</v>
      </c>
      <c r="AG205" s="66">
        <v>0</v>
      </c>
      <c r="AH205" s="66">
        <v>0</v>
      </c>
      <c r="AI205" s="66">
        <v>0</v>
      </c>
      <c r="AJ205" s="68">
        <v>0</v>
      </c>
      <c r="AK205" s="66">
        <v>0</v>
      </c>
      <c r="AL205" s="66">
        <v>0</v>
      </c>
      <c r="AM205" s="66">
        <v>0</v>
      </c>
      <c r="AN205" s="68">
        <v>0</v>
      </c>
      <c r="AO205" s="66">
        <v>0</v>
      </c>
      <c r="AP205" s="66">
        <v>0</v>
      </c>
      <c r="AQ205" s="66">
        <v>0</v>
      </c>
      <c r="AR205" s="68">
        <v>0</v>
      </c>
      <c r="AS205" s="66">
        <v>0</v>
      </c>
      <c r="AT205" s="66">
        <v>0</v>
      </c>
      <c r="AU205" s="66">
        <v>0</v>
      </c>
      <c r="AV205" s="68">
        <v>0</v>
      </c>
      <c r="AW205" s="66">
        <v>0</v>
      </c>
      <c r="AX205" s="66">
        <v>0</v>
      </c>
      <c r="AY205" s="66">
        <v>0</v>
      </c>
      <c r="AZ205" s="247">
        <v>0</v>
      </c>
    </row>
    <row r="206" spans="1:52" x14ac:dyDescent="0.35">
      <c r="A206" t="s">
        <v>144</v>
      </c>
      <c r="B206" t="s">
        <v>90</v>
      </c>
      <c r="C206" s="4" t="s">
        <v>145</v>
      </c>
      <c r="D206" s="4" t="s">
        <v>361</v>
      </c>
      <c r="AC206" s="65">
        <v>7.7904761904761894</v>
      </c>
      <c r="AD206" s="66">
        <v>0</v>
      </c>
      <c r="AE206" s="66">
        <v>0</v>
      </c>
      <c r="AF206" s="68">
        <v>0</v>
      </c>
      <c r="AG206" s="66">
        <v>0</v>
      </c>
      <c r="AH206" s="66">
        <v>0</v>
      </c>
      <c r="AI206" s="66">
        <v>0</v>
      </c>
      <c r="AJ206" s="68">
        <v>0</v>
      </c>
      <c r="AK206" s="66">
        <v>0</v>
      </c>
      <c r="AL206" s="66">
        <v>0</v>
      </c>
      <c r="AM206" s="66">
        <v>0</v>
      </c>
      <c r="AN206" s="68">
        <v>0</v>
      </c>
      <c r="AO206" s="66">
        <v>0</v>
      </c>
      <c r="AP206" s="66">
        <v>0</v>
      </c>
      <c r="AQ206" s="66">
        <v>0</v>
      </c>
      <c r="AR206" s="68">
        <v>0</v>
      </c>
      <c r="AS206" s="66">
        <v>0</v>
      </c>
      <c r="AT206" s="66">
        <v>0</v>
      </c>
      <c r="AU206" s="66">
        <v>0</v>
      </c>
      <c r="AV206" s="68">
        <v>0</v>
      </c>
      <c r="AW206" s="66">
        <v>0</v>
      </c>
      <c r="AX206" s="66">
        <v>0</v>
      </c>
      <c r="AY206" s="66">
        <v>0</v>
      </c>
      <c r="AZ206" s="247">
        <v>0</v>
      </c>
    </row>
    <row r="207" spans="1:52" x14ac:dyDescent="0.35">
      <c r="A207" t="s">
        <v>183</v>
      </c>
      <c r="B207" t="s">
        <v>90</v>
      </c>
      <c r="C207" s="4" t="s">
        <v>145</v>
      </c>
      <c r="D207" s="4" t="s">
        <v>362</v>
      </c>
      <c r="AC207" s="66">
        <v>0</v>
      </c>
      <c r="AD207" s="66">
        <v>0</v>
      </c>
      <c r="AE207" s="66">
        <v>0</v>
      </c>
      <c r="AF207" s="68">
        <v>0</v>
      </c>
      <c r="AG207" s="66">
        <v>0</v>
      </c>
      <c r="AH207" s="66">
        <v>0</v>
      </c>
      <c r="AI207" s="66">
        <v>0</v>
      </c>
      <c r="AJ207" s="68">
        <v>0</v>
      </c>
      <c r="AK207" s="66">
        <v>0</v>
      </c>
      <c r="AL207" s="66">
        <v>0</v>
      </c>
      <c r="AM207" s="66">
        <v>0</v>
      </c>
      <c r="AN207" s="68">
        <v>0</v>
      </c>
      <c r="AO207" s="66">
        <v>0</v>
      </c>
      <c r="AP207" s="66">
        <v>0</v>
      </c>
      <c r="AQ207" s="66">
        <v>0</v>
      </c>
      <c r="AR207" s="68">
        <v>0</v>
      </c>
      <c r="AS207" s="66">
        <v>0</v>
      </c>
      <c r="AT207" s="66">
        <v>0</v>
      </c>
      <c r="AU207" s="66">
        <v>0</v>
      </c>
      <c r="AV207" s="68">
        <v>0</v>
      </c>
      <c r="AW207" s="66">
        <v>0</v>
      </c>
      <c r="AX207" s="66">
        <v>0</v>
      </c>
      <c r="AY207" s="66">
        <v>0</v>
      </c>
      <c r="AZ207" s="247">
        <v>0</v>
      </c>
    </row>
    <row r="208" spans="1:52" x14ac:dyDescent="0.35">
      <c r="A208" t="s">
        <v>172</v>
      </c>
      <c r="B208" t="s">
        <v>90</v>
      </c>
      <c r="C208" s="4" t="s">
        <v>145</v>
      </c>
      <c r="D208" s="4" t="s">
        <v>363</v>
      </c>
      <c r="AC208" s="65">
        <v>1.5473889063756709E-2</v>
      </c>
      <c r="AD208" s="66">
        <v>0</v>
      </c>
      <c r="AE208" s="66">
        <v>0</v>
      </c>
      <c r="AF208" s="68">
        <v>0</v>
      </c>
      <c r="AG208" s="66">
        <v>0</v>
      </c>
      <c r="AH208" s="66">
        <v>0</v>
      </c>
      <c r="AI208" s="66">
        <v>0</v>
      </c>
      <c r="AJ208" s="68">
        <v>0</v>
      </c>
      <c r="AK208" s="66">
        <v>0</v>
      </c>
      <c r="AL208" s="66">
        <v>0</v>
      </c>
      <c r="AM208" s="66">
        <v>0</v>
      </c>
      <c r="AN208" s="68">
        <v>0</v>
      </c>
      <c r="AO208" s="66">
        <v>0</v>
      </c>
      <c r="AP208" s="66">
        <v>0</v>
      </c>
      <c r="AQ208" s="66">
        <v>0</v>
      </c>
      <c r="AR208" s="68">
        <v>0</v>
      </c>
      <c r="AS208" s="66">
        <v>0</v>
      </c>
      <c r="AT208" s="66">
        <v>0</v>
      </c>
      <c r="AU208" s="66">
        <v>0</v>
      </c>
      <c r="AV208" s="68">
        <v>0</v>
      </c>
      <c r="AW208" s="66">
        <v>0</v>
      </c>
      <c r="AX208" s="66">
        <v>0</v>
      </c>
      <c r="AY208" s="66">
        <v>0</v>
      </c>
      <c r="AZ208" s="247">
        <v>0</v>
      </c>
    </row>
    <row r="209" spans="1:52" x14ac:dyDescent="0.35">
      <c r="A209" t="s">
        <v>174</v>
      </c>
      <c r="B209" t="s">
        <v>90</v>
      </c>
      <c r="C209" s="4" t="s">
        <v>145</v>
      </c>
      <c r="D209" s="4" t="s">
        <v>175</v>
      </c>
      <c r="AC209" s="66">
        <v>0</v>
      </c>
      <c r="AD209" s="65">
        <v>4.323194595174263E-3</v>
      </c>
      <c r="AE209" s="66">
        <v>0</v>
      </c>
      <c r="AF209" s="68">
        <v>0</v>
      </c>
      <c r="AG209" s="66">
        <v>0</v>
      </c>
      <c r="AH209" s="66">
        <v>0</v>
      </c>
      <c r="AI209" s="66">
        <v>0</v>
      </c>
      <c r="AJ209" s="68">
        <v>0</v>
      </c>
      <c r="AK209" s="66">
        <v>0</v>
      </c>
      <c r="AL209" s="66">
        <v>0</v>
      </c>
      <c r="AM209" s="66">
        <v>0</v>
      </c>
      <c r="AN209" s="68">
        <v>0</v>
      </c>
      <c r="AO209" s="66">
        <v>0</v>
      </c>
      <c r="AP209" s="66">
        <v>0</v>
      </c>
      <c r="AQ209" s="66">
        <v>0</v>
      </c>
      <c r="AR209" s="68">
        <v>0</v>
      </c>
      <c r="AS209" s="66">
        <v>0</v>
      </c>
      <c r="AT209" s="66">
        <v>0</v>
      </c>
      <c r="AU209" s="66">
        <v>0</v>
      </c>
      <c r="AV209" s="68">
        <v>0</v>
      </c>
      <c r="AW209" s="66">
        <v>0</v>
      </c>
      <c r="AX209" s="66">
        <v>0</v>
      </c>
      <c r="AY209" s="66">
        <v>0</v>
      </c>
      <c r="AZ209" s="247">
        <v>0</v>
      </c>
    </row>
    <row r="210" spans="1:52" x14ac:dyDescent="0.35">
      <c r="A210" t="s">
        <v>176</v>
      </c>
      <c r="B210" t="s">
        <v>90</v>
      </c>
      <c r="C210" s="4" t="s">
        <v>145</v>
      </c>
      <c r="D210" s="4" t="s">
        <v>177</v>
      </c>
      <c r="AC210" s="66">
        <v>0</v>
      </c>
      <c r="AD210" s="65">
        <v>1.2800331672655335E-3</v>
      </c>
      <c r="AE210" s="66">
        <v>0</v>
      </c>
      <c r="AF210" s="68">
        <v>0</v>
      </c>
      <c r="AG210" s="66">
        <v>0</v>
      </c>
      <c r="AH210" s="66">
        <v>0</v>
      </c>
      <c r="AI210" s="66">
        <v>0</v>
      </c>
      <c r="AJ210" s="68">
        <v>0</v>
      </c>
      <c r="AK210" s="66">
        <v>0</v>
      </c>
      <c r="AL210" s="66">
        <v>0</v>
      </c>
      <c r="AM210" s="66">
        <v>0</v>
      </c>
      <c r="AN210" s="68">
        <v>0</v>
      </c>
      <c r="AO210" s="66">
        <v>0</v>
      </c>
      <c r="AP210" s="66">
        <v>0</v>
      </c>
      <c r="AQ210" s="66">
        <v>0</v>
      </c>
      <c r="AR210" s="68">
        <v>0</v>
      </c>
      <c r="AS210" s="66">
        <v>0</v>
      </c>
      <c r="AT210" s="66">
        <v>0</v>
      </c>
      <c r="AU210" s="66">
        <v>0</v>
      </c>
      <c r="AV210" s="68">
        <v>0</v>
      </c>
      <c r="AW210" s="66">
        <v>0</v>
      </c>
      <c r="AX210" s="66">
        <v>0</v>
      </c>
      <c r="AY210" s="66">
        <v>0</v>
      </c>
      <c r="AZ210" s="247">
        <v>0</v>
      </c>
    </row>
    <row r="211" spans="1:52" x14ac:dyDescent="0.35">
      <c r="A211" t="s">
        <v>178</v>
      </c>
      <c r="B211" t="s">
        <v>90</v>
      </c>
      <c r="C211" s="4" t="s">
        <v>145</v>
      </c>
      <c r="D211" s="4" t="s">
        <v>179</v>
      </c>
      <c r="AC211" s="66">
        <v>0</v>
      </c>
      <c r="AD211" s="65">
        <v>5.6700291220540041E-3</v>
      </c>
      <c r="AE211" s="66">
        <v>0</v>
      </c>
      <c r="AF211" s="68">
        <v>0</v>
      </c>
      <c r="AG211" s="66">
        <v>0</v>
      </c>
      <c r="AH211" s="66">
        <v>0</v>
      </c>
      <c r="AI211" s="66">
        <v>0</v>
      </c>
      <c r="AJ211" s="68">
        <v>0</v>
      </c>
      <c r="AK211" s="66">
        <v>0</v>
      </c>
      <c r="AL211" s="66">
        <v>0</v>
      </c>
      <c r="AM211" s="66">
        <v>0</v>
      </c>
      <c r="AN211" s="68">
        <v>0</v>
      </c>
      <c r="AO211" s="66">
        <v>0</v>
      </c>
      <c r="AP211" s="66">
        <v>0</v>
      </c>
      <c r="AQ211" s="66">
        <v>0</v>
      </c>
      <c r="AR211" s="68">
        <v>0</v>
      </c>
      <c r="AS211" s="66">
        <v>0</v>
      </c>
      <c r="AT211" s="66">
        <v>0</v>
      </c>
      <c r="AU211" s="66">
        <v>0</v>
      </c>
      <c r="AV211" s="68">
        <v>0</v>
      </c>
      <c r="AW211" s="66">
        <v>0</v>
      </c>
      <c r="AX211" s="66">
        <v>0</v>
      </c>
      <c r="AY211" s="66">
        <v>0</v>
      </c>
      <c r="AZ211" s="247">
        <v>0</v>
      </c>
    </row>
    <row r="212" spans="1:52" x14ac:dyDescent="0.35">
      <c r="A212" t="s">
        <v>180</v>
      </c>
      <c r="B212" t="s">
        <v>90</v>
      </c>
      <c r="C212" s="4" t="s">
        <v>181</v>
      </c>
      <c r="D212" s="4" t="s">
        <v>182</v>
      </c>
      <c r="AC212" s="66">
        <v>0</v>
      </c>
      <c r="AD212" s="66">
        <v>0</v>
      </c>
      <c r="AE212" s="66">
        <v>0</v>
      </c>
      <c r="AF212" s="68">
        <v>0</v>
      </c>
      <c r="AG212" s="66">
        <v>0</v>
      </c>
      <c r="AH212" s="66">
        <v>0</v>
      </c>
      <c r="AI212" s="66">
        <v>0</v>
      </c>
      <c r="AJ212" s="68">
        <v>0</v>
      </c>
      <c r="AK212" s="66">
        <v>0</v>
      </c>
      <c r="AL212" s="66">
        <v>0</v>
      </c>
      <c r="AM212" s="66">
        <v>0</v>
      </c>
      <c r="AN212" s="68">
        <v>0</v>
      </c>
      <c r="AO212" s="66">
        <v>0</v>
      </c>
      <c r="AP212" s="66">
        <v>0</v>
      </c>
      <c r="AQ212" s="66">
        <v>0</v>
      </c>
      <c r="AR212" s="68">
        <v>0</v>
      </c>
      <c r="AS212" s="66">
        <v>0</v>
      </c>
      <c r="AT212" s="66">
        <v>0</v>
      </c>
      <c r="AU212" s="66">
        <v>0</v>
      </c>
      <c r="AV212" s="68">
        <v>0</v>
      </c>
      <c r="AW212" s="66">
        <v>0</v>
      </c>
      <c r="AX212" s="66">
        <v>0</v>
      </c>
      <c r="AY212" s="66">
        <v>0</v>
      </c>
      <c r="AZ212" s="247">
        <v>0</v>
      </c>
    </row>
    <row r="213" spans="1:52" x14ac:dyDescent="0.35">
      <c r="A213" t="s">
        <v>197</v>
      </c>
      <c r="B213" t="s">
        <v>90</v>
      </c>
      <c r="C213" s="4" t="s">
        <v>181</v>
      </c>
      <c r="D213" s="4" t="s">
        <v>198</v>
      </c>
      <c r="AC213" s="66">
        <v>0</v>
      </c>
      <c r="AD213" s="66">
        <v>0</v>
      </c>
      <c r="AE213" s="66">
        <v>0</v>
      </c>
      <c r="AF213" s="68">
        <v>0</v>
      </c>
      <c r="AG213" s="66">
        <v>0</v>
      </c>
      <c r="AH213" s="66">
        <v>0</v>
      </c>
      <c r="AI213" s="66">
        <v>0</v>
      </c>
      <c r="AJ213" s="68">
        <v>0</v>
      </c>
      <c r="AK213" s="66">
        <v>0</v>
      </c>
      <c r="AL213" s="66">
        <v>0</v>
      </c>
      <c r="AM213" s="66">
        <v>0</v>
      </c>
      <c r="AN213" s="68">
        <v>0</v>
      </c>
      <c r="AO213" s="66">
        <v>0</v>
      </c>
      <c r="AP213" s="66">
        <v>0</v>
      </c>
      <c r="AQ213" s="66">
        <v>0</v>
      </c>
      <c r="AR213" s="68">
        <v>0</v>
      </c>
      <c r="AS213" s="66">
        <v>0</v>
      </c>
      <c r="AT213" s="66">
        <v>0</v>
      </c>
      <c r="AU213" s="66">
        <v>0</v>
      </c>
      <c r="AV213" s="68">
        <v>0</v>
      </c>
      <c r="AW213" s="66">
        <v>0</v>
      </c>
      <c r="AX213" s="66">
        <v>0</v>
      </c>
      <c r="AY213" s="66">
        <v>0</v>
      </c>
      <c r="AZ213" s="247">
        <v>0</v>
      </c>
    </row>
    <row r="214" spans="1:52" x14ac:dyDescent="0.35">
      <c r="A214" t="s">
        <v>364</v>
      </c>
      <c r="B214" t="s">
        <v>90</v>
      </c>
      <c r="C214" s="4" t="s">
        <v>181</v>
      </c>
      <c r="D214" s="4" t="s">
        <v>200</v>
      </c>
      <c r="AC214" s="66">
        <v>0</v>
      </c>
      <c r="AD214" s="66">
        <v>0</v>
      </c>
      <c r="AE214" s="66">
        <v>0</v>
      </c>
      <c r="AF214" s="68">
        <v>0</v>
      </c>
      <c r="AG214" s="66">
        <v>0</v>
      </c>
      <c r="AH214" s="66">
        <v>0</v>
      </c>
      <c r="AI214" s="66">
        <v>0</v>
      </c>
      <c r="AJ214" s="68">
        <v>0</v>
      </c>
      <c r="AK214" s="66">
        <v>0</v>
      </c>
      <c r="AL214" s="66">
        <v>0</v>
      </c>
      <c r="AM214" s="66">
        <v>0</v>
      </c>
      <c r="AN214" s="68">
        <v>0</v>
      </c>
      <c r="AO214" s="66">
        <v>0</v>
      </c>
      <c r="AP214" s="66">
        <v>0</v>
      </c>
      <c r="AQ214" s="66">
        <v>0</v>
      </c>
      <c r="AR214" s="68">
        <v>0</v>
      </c>
      <c r="AS214" s="66">
        <v>0</v>
      </c>
      <c r="AT214" s="66">
        <v>0</v>
      </c>
      <c r="AU214" s="66">
        <v>0</v>
      </c>
      <c r="AV214" s="68">
        <v>0</v>
      </c>
      <c r="AW214" s="66">
        <v>0</v>
      </c>
      <c r="AX214" s="66">
        <v>0</v>
      </c>
      <c r="AY214" s="66">
        <v>0</v>
      </c>
      <c r="AZ214" s="247">
        <v>0</v>
      </c>
    </row>
    <row r="215" spans="1:52" x14ac:dyDescent="0.35">
      <c r="A215" t="s">
        <v>201</v>
      </c>
      <c r="B215" t="s">
        <v>90</v>
      </c>
      <c r="C215" s="4" t="s">
        <v>181</v>
      </c>
      <c r="D215" s="4" t="s">
        <v>202</v>
      </c>
      <c r="AC215" s="66">
        <v>0</v>
      </c>
      <c r="AD215" s="66">
        <v>0</v>
      </c>
      <c r="AE215" s="66">
        <v>0</v>
      </c>
      <c r="AF215" s="68">
        <v>0</v>
      </c>
      <c r="AG215" s="66">
        <v>0</v>
      </c>
      <c r="AH215" s="66">
        <v>0</v>
      </c>
      <c r="AI215" s="66">
        <v>0</v>
      </c>
      <c r="AJ215" s="68">
        <v>0</v>
      </c>
      <c r="AK215" s="66">
        <v>0</v>
      </c>
      <c r="AL215" s="66">
        <v>0</v>
      </c>
      <c r="AM215" s="66">
        <v>0</v>
      </c>
      <c r="AN215" s="68">
        <v>0</v>
      </c>
      <c r="AO215" s="66">
        <v>0</v>
      </c>
      <c r="AP215" s="66">
        <v>0</v>
      </c>
      <c r="AQ215" s="66">
        <v>0</v>
      </c>
      <c r="AR215" s="68">
        <v>0</v>
      </c>
      <c r="AS215" s="66">
        <v>0</v>
      </c>
      <c r="AT215" s="66">
        <v>0</v>
      </c>
      <c r="AU215" s="66">
        <v>0</v>
      </c>
      <c r="AV215" s="68">
        <v>0</v>
      </c>
      <c r="AW215" s="66">
        <v>0</v>
      </c>
      <c r="AX215" s="66">
        <v>0</v>
      </c>
      <c r="AY215" s="66">
        <v>0</v>
      </c>
      <c r="AZ215" s="247">
        <v>0</v>
      </c>
    </row>
    <row r="216" spans="1:52" ht="15" thickBot="1" x14ac:dyDescent="0.4">
      <c r="A216" t="s">
        <v>193</v>
      </c>
      <c r="B216" t="s">
        <v>90</v>
      </c>
      <c r="C216" s="4" t="s">
        <v>145</v>
      </c>
      <c r="D216" s="4" t="s">
        <v>194</v>
      </c>
      <c r="AC216" s="69">
        <v>0</v>
      </c>
      <c r="AD216" s="70">
        <v>2.5776238002378116E-3</v>
      </c>
      <c r="AE216" s="70">
        <v>6.4108466461028498E-4</v>
      </c>
      <c r="AF216" s="71">
        <v>0</v>
      </c>
      <c r="AG216" s="69">
        <v>0</v>
      </c>
      <c r="AH216" s="69">
        <v>0</v>
      </c>
      <c r="AI216" s="69">
        <v>0</v>
      </c>
      <c r="AJ216" s="71">
        <v>0</v>
      </c>
      <c r="AK216" s="69">
        <v>0</v>
      </c>
      <c r="AL216" s="69">
        <v>0</v>
      </c>
      <c r="AM216" s="69">
        <v>0</v>
      </c>
      <c r="AN216" s="71">
        <v>0</v>
      </c>
      <c r="AO216" s="69">
        <v>0</v>
      </c>
      <c r="AP216" s="69">
        <v>0</v>
      </c>
      <c r="AQ216" s="69">
        <v>0</v>
      </c>
      <c r="AR216" s="71">
        <v>0</v>
      </c>
      <c r="AS216" s="69">
        <v>0</v>
      </c>
      <c r="AT216" s="69">
        <v>0</v>
      </c>
      <c r="AU216" s="69">
        <v>0</v>
      </c>
      <c r="AV216" s="71">
        <v>0</v>
      </c>
      <c r="AW216" s="69">
        <v>0</v>
      </c>
      <c r="AX216" s="69">
        <v>0</v>
      </c>
      <c r="AY216" s="69">
        <v>0</v>
      </c>
      <c r="AZ216" s="250">
        <v>0</v>
      </c>
    </row>
    <row r="217" spans="1:52" x14ac:dyDescent="0.35">
      <c r="A217" t="s">
        <v>187</v>
      </c>
      <c r="B217" t="s">
        <v>91</v>
      </c>
      <c r="C217" s="4" t="s">
        <v>145</v>
      </c>
      <c r="D217" s="4" t="s">
        <v>188</v>
      </c>
      <c r="AC217" s="65">
        <v>41.4801</v>
      </c>
      <c r="AD217" s="65">
        <v>1.1485683451306521E-3</v>
      </c>
      <c r="AE217" s="66">
        <v>0</v>
      </c>
      <c r="AF217" s="68">
        <v>0</v>
      </c>
      <c r="AG217" s="66">
        <v>0</v>
      </c>
      <c r="AH217" s="66">
        <v>0</v>
      </c>
      <c r="AI217" s="66">
        <v>0</v>
      </c>
      <c r="AJ217" s="68">
        <v>0</v>
      </c>
      <c r="AK217" s="66">
        <v>0</v>
      </c>
      <c r="AL217" s="66">
        <v>0</v>
      </c>
      <c r="AM217" s="66">
        <v>0</v>
      </c>
      <c r="AN217" s="68">
        <v>0</v>
      </c>
      <c r="AO217" s="66">
        <v>0</v>
      </c>
      <c r="AP217" s="66">
        <v>0</v>
      </c>
      <c r="AQ217" s="66">
        <v>0</v>
      </c>
      <c r="AR217" s="68">
        <v>0</v>
      </c>
      <c r="AS217" s="66">
        <v>0</v>
      </c>
      <c r="AT217" s="66">
        <v>0</v>
      </c>
      <c r="AU217" s="66">
        <v>0</v>
      </c>
      <c r="AV217" s="68">
        <v>0</v>
      </c>
      <c r="AW217" s="66">
        <v>0</v>
      </c>
      <c r="AX217" s="66">
        <v>0</v>
      </c>
      <c r="AY217" s="66">
        <v>0</v>
      </c>
      <c r="AZ217" s="247">
        <v>0</v>
      </c>
    </row>
    <row r="218" spans="1:52" x14ac:dyDescent="0.35">
      <c r="A218" t="s">
        <v>144</v>
      </c>
      <c r="B218" t="s">
        <v>91</v>
      </c>
      <c r="C218" s="4" t="s">
        <v>145</v>
      </c>
      <c r="D218" s="4" t="s">
        <v>361</v>
      </c>
      <c r="AC218" s="65">
        <v>15.771428571428569</v>
      </c>
      <c r="AD218" s="66">
        <v>0</v>
      </c>
      <c r="AE218" s="66">
        <v>0</v>
      </c>
      <c r="AF218" s="68">
        <v>0</v>
      </c>
      <c r="AG218" s="66">
        <v>0</v>
      </c>
      <c r="AH218" s="66">
        <v>0</v>
      </c>
      <c r="AI218" s="66">
        <v>0</v>
      </c>
      <c r="AJ218" s="68">
        <v>0</v>
      </c>
      <c r="AK218" s="66">
        <v>0</v>
      </c>
      <c r="AL218" s="66">
        <v>0</v>
      </c>
      <c r="AM218" s="66">
        <v>0</v>
      </c>
      <c r="AN218" s="68">
        <v>0</v>
      </c>
      <c r="AO218" s="66">
        <v>0</v>
      </c>
      <c r="AP218" s="66">
        <v>0</v>
      </c>
      <c r="AQ218" s="66">
        <v>0</v>
      </c>
      <c r="AR218" s="68">
        <v>0</v>
      </c>
      <c r="AS218" s="66">
        <v>0</v>
      </c>
      <c r="AT218" s="66">
        <v>0</v>
      </c>
      <c r="AU218" s="66">
        <v>0</v>
      </c>
      <c r="AV218" s="68">
        <v>0</v>
      </c>
      <c r="AW218" s="66">
        <v>0</v>
      </c>
      <c r="AX218" s="66">
        <v>0</v>
      </c>
      <c r="AY218" s="66">
        <v>0</v>
      </c>
      <c r="AZ218" s="247">
        <v>0</v>
      </c>
    </row>
    <row r="219" spans="1:52" x14ac:dyDescent="0.35">
      <c r="A219" t="s">
        <v>183</v>
      </c>
      <c r="B219" t="s">
        <v>91</v>
      </c>
      <c r="C219" s="4" t="s">
        <v>145</v>
      </c>
      <c r="D219" s="4" t="s">
        <v>362</v>
      </c>
      <c r="AC219" s="66">
        <v>0</v>
      </c>
      <c r="AD219" s="66">
        <v>0</v>
      </c>
      <c r="AE219" s="66">
        <v>0</v>
      </c>
      <c r="AF219" s="68">
        <v>0</v>
      </c>
      <c r="AG219" s="66">
        <v>0</v>
      </c>
      <c r="AH219" s="66">
        <v>0</v>
      </c>
      <c r="AI219" s="66">
        <v>0</v>
      </c>
      <c r="AJ219" s="68">
        <v>0</v>
      </c>
      <c r="AK219" s="66">
        <v>0</v>
      </c>
      <c r="AL219" s="66">
        <v>0</v>
      </c>
      <c r="AM219" s="66">
        <v>0</v>
      </c>
      <c r="AN219" s="68">
        <v>0</v>
      </c>
      <c r="AO219" s="66">
        <v>0</v>
      </c>
      <c r="AP219" s="66">
        <v>0</v>
      </c>
      <c r="AQ219" s="66">
        <v>0</v>
      </c>
      <c r="AR219" s="68">
        <v>0</v>
      </c>
      <c r="AS219" s="66">
        <v>0</v>
      </c>
      <c r="AT219" s="66">
        <v>0</v>
      </c>
      <c r="AU219" s="66">
        <v>0</v>
      </c>
      <c r="AV219" s="68">
        <v>0</v>
      </c>
      <c r="AW219" s="66">
        <v>0</v>
      </c>
      <c r="AX219" s="66">
        <v>0</v>
      </c>
      <c r="AY219" s="66">
        <v>0</v>
      </c>
      <c r="AZ219" s="247">
        <v>0</v>
      </c>
    </row>
    <row r="220" spans="1:52" x14ac:dyDescent="0.35">
      <c r="A220" t="s">
        <v>172</v>
      </c>
      <c r="B220" t="s">
        <v>91</v>
      </c>
      <c r="C220" s="4" t="s">
        <v>145</v>
      </c>
      <c r="D220" s="4" t="s">
        <v>363</v>
      </c>
      <c r="AC220" s="65">
        <v>8.7507175559917313E-2</v>
      </c>
      <c r="AD220" s="66">
        <v>0</v>
      </c>
      <c r="AE220" s="66">
        <v>0</v>
      </c>
      <c r="AF220" s="68">
        <v>0</v>
      </c>
      <c r="AG220" s="66">
        <v>0</v>
      </c>
      <c r="AH220" s="66">
        <v>0</v>
      </c>
      <c r="AI220" s="66">
        <v>0</v>
      </c>
      <c r="AJ220" s="68">
        <v>0</v>
      </c>
      <c r="AK220" s="66">
        <v>0</v>
      </c>
      <c r="AL220" s="66">
        <v>0</v>
      </c>
      <c r="AM220" s="66">
        <v>0</v>
      </c>
      <c r="AN220" s="68">
        <v>0</v>
      </c>
      <c r="AO220" s="66">
        <v>0</v>
      </c>
      <c r="AP220" s="66">
        <v>0</v>
      </c>
      <c r="AQ220" s="66">
        <v>0</v>
      </c>
      <c r="AR220" s="68">
        <v>0</v>
      </c>
      <c r="AS220" s="66">
        <v>0</v>
      </c>
      <c r="AT220" s="66">
        <v>0</v>
      </c>
      <c r="AU220" s="66">
        <v>0</v>
      </c>
      <c r="AV220" s="68">
        <v>0</v>
      </c>
      <c r="AW220" s="66">
        <v>0</v>
      </c>
      <c r="AX220" s="66">
        <v>0</v>
      </c>
      <c r="AY220" s="66">
        <v>0</v>
      </c>
      <c r="AZ220" s="247">
        <v>0</v>
      </c>
    </row>
    <row r="221" spans="1:52" x14ac:dyDescent="0.35">
      <c r="A221" t="s">
        <v>174</v>
      </c>
      <c r="B221" t="s">
        <v>91</v>
      </c>
      <c r="C221" s="4" t="s">
        <v>145</v>
      </c>
      <c r="D221" s="4" t="s">
        <v>175</v>
      </c>
      <c r="AC221" s="66">
        <v>0</v>
      </c>
      <c r="AD221" s="65">
        <v>5.3791732332439677E-3</v>
      </c>
      <c r="AE221" s="66">
        <v>0</v>
      </c>
      <c r="AF221" s="68">
        <v>0</v>
      </c>
      <c r="AG221" s="66">
        <v>0</v>
      </c>
      <c r="AH221" s="66">
        <v>0</v>
      </c>
      <c r="AI221" s="66">
        <v>0</v>
      </c>
      <c r="AJ221" s="68">
        <v>0</v>
      </c>
      <c r="AK221" s="66">
        <v>0</v>
      </c>
      <c r="AL221" s="66">
        <v>0</v>
      </c>
      <c r="AM221" s="66">
        <v>0</v>
      </c>
      <c r="AN221" s="68">
        <v>0</v>
      </c>
      <c r="AO221" s="66">
        <v>0</v>
      </c>
      <c r="AP221" s="66">
        <v>0</v>
      </c>
      <c r="AQ221" s="66">
        <v>0</v>
      </c>
      <c r="AR221" s="68">
        <v>0</v>
      </c>
      <c r="AS221" s="66">
        <v>0</v>
      </c>
      <c r="AT221" s="66">
        <v>0</v>
      </c>
      <c r="AU221" s="66">
        <v>0</v>
      </c>
      <c r="AV221" s="68">
        <v>0</v>
      </c>
      <c r="AW221" s="66">
        <v>0</v>
      </c>
      <c r="AX221" s="66">
        <v>0</v>
      </c>
      <c r="AY221" s="66">
        <v>0</v>
      </c>
      <c r="AZ221" s="247">
        <v>0</v>
      </c>
    </row>
    <row r="222" spans="1:52" x14ac:dyDescent="0.35">
      <c r="A222" t="s">
        <v>176</v>
      </c>
      <c r="B222" t="s">
        <v>91</v>
      </c>
      <c r="C222" s="4" t="s">
        <v>145</v>
      </c>
      <c r="D222" s="4" t="s">
        <v>177</v>
      </c>
      <c r="AC222" s="66">
        <v>0</v>
      </c>
      <c r="AD222" s="65">
        <v>6.5526133182607291E-3</v>
      </c>
      <c r="AE222" s="66">
        <v>0</v>
      </c>
      <c r="AF222" s="68">
        <v>0</v>
      </c>
      <c r="AG222" s="66">
        <v>0</v>
      </c>
      <c r="AH222" s="66">
        <v>0</v>
      </c>
      <c r="AI222" s="66">
        <v>0</v>
      </c>
      <c r="AJ222" s="68">
        <v>0</v>
      </c>
      <c r="AK222" s="66">
        <v>0</v>
      </c>
      <c r="AL222" s="66">
        <v>0</v>
      </c>
      <c r="AM222" s="66">
        <v>0</v>
      </c>
      <c r="AN222" s="68">
        <v>0</v>
      </c>
      <c r="AO222" s="66">
        <v>0</v>
      </c>
      <c r="AP222" s="66">
        <v>0</v>
      </c>
      <c r="AQ222" s="66">
        <v>0</v>
      </c>
      <c r="AR222" s="68">
        <v>0</v>
      </c>
      <c r="AS222" s="66">
        <v>0</v>
      </c>
      <c r="AT222" s="66">
        <v>0</v>
      </c>
      <c r="AU222" s="66">
        <v>0</v>
      </c>
      <c r="AV222" s="68">
        <v>0</v>
      </c>
      <c r="AW222" s="66">
        <v>0</v>
      </c>
      <c r="AX222" s="66">
        <v>0</v>
      </c>
      <c r="AY222" s="66">
        <v>0</v>
      </c>
      <c r="AZ222" s="247">
        <v>0</v>
      </c>
    </row>
    <row r="223" spans="1:52" x14ac:dyDescent="0.35">
      <c r="A223" t="s">
        <v>178</v>
      </c>
      <c r="B223" t="s">
        <v>91</v>
      </c>
      <c r="C223" s="4" t="s">
        <v>145</v>
      </c>
      <c r="D223" s="4" t="s">
        <v>179</v>
      </c>
      <c r="AC223" s="66">
        <v>0</v>
      </c>
      <c r="AD223" s="65">
        <v>2.464950959887623E-4</v>
      </c>
      <c r="AE223" s="66">
        <v>0</v>
      </c>
      <c r="AF223" s="68">
        <v>0</v>
      </c>
      <c r="AG223" s="66">
        <v>0</v>
      </c>
      <c r="AH223" s="66">
        <v>0</v>
      </c>
      <c r="AI223" s="66">
        <v>0</v>
      </c>
      <c r="AJ223" s="68">
        <v>0</v>
      </c>
      <c r="AK223" s="66">
        <v>0</v>
      </c>
      <c r="AL223" s="66">
        <v>0</v>
      </c>
      <c r="AM223" s="66">
        <v>0</v>
      </c>
      <c r="AN223" s="68">
        <v>0</v>
      </c>
      <c r="AO223" s="66">
        <v>0</v>
      </c>
      <c r="AP223" s="66">
        <v>0</v>
      </c>
      <c r="AQ223" s="66">
        <v>0</v>
      </c>
      <c r="AR223" s="68">
        <v>0</v>
      </c>
      <c r="AS223" s="66">
        <v>0</v>
      </c>
      <c r="AT223" s="66">
        <v>0</v>
      </c>
      <c r="AU223" s="66">
        <v>0</v>
      </c>
      <c r="AV223" s="68">
        <v>0</v>
      </c>
      <c r="AW223" s="66">
        <v>0</v>
      </c>
      <c r="AX223" s="66">
        <v>0</v>
      </c>
      <c r="AY223" s="66">
        <v>0</v>
      </c>
      <c r="AZ223" s="247">
        <v>0</v>
      </c>
    </row>
    <row r="224" spans="1:52" x14ac:dyDescent="0.35">
      <c r="A224" t="s">
        <v>180</v>
      </c>
      <c r="B224" t="s">
        <v>91</v>
      </c>
      <c r="C224" s="4" t="s">
        <v>181</v>
      </c>
      <c r="D224" s="4" t="s">
        <v>182</v>
      </c>
      <c r="AC224" s="66">
        <v>0</v>
      </c>
      <c r="AD224" s="66">
        <v>0</v>
      </c>
      <c r="AE224" s="66">
        <v>0</v>
      </c>
      <c r="AF224" s="68">
        <v>0</v>
      </c>
      <c r="AG224" s="66">
        <v>0</v>
      </c>
      <c r="AH224" s="66">
        <v>0</v>
      </c>
      <c r="AI224" s="66">
        <v>0</v>
      </c>
      <c r="AJ224" s="68">
        <v>0</v>
      </c>
      <c r="AK224" s="66">
        <v>0</v>
      </c>
      <c r="AL224" s="66">
        <v>0</v>
      </c>
      <c r="AM224" s="66">
        <v>0</v>
      </c>
      <c r="AN224" s="68">
        <v>0</v>
      </c>
      <c r="AO224" s="66">
        <v>0</v>
      </c>
      <c r="AP224" s="66">
        <v>0</v>
      </c>
      <c r="AQ224" s="66">
        <v>0</v>
      </c>
      <c r="AR224" s="68">
        <v>0</v>
      </c>
      <c r="AS224" s="66">
        <v>0</v>
      </c>
      <c r="AT224" s="66">
        <v>0</v>
      </c>
      <c r="AU224" s="66">
        <v>0</v>
      </c>
      <c r="AV224" s="68">
        <v>0</v>
      </c>
      <c r="AW224" s="66">
        <v>0</v>
      </c>
      <c r="AX224" s="66">
        <v>0</v>
      </c>
      <c r="AY224" s="66">
        <v>0</v>
      </c>
      <c r="AZ224" s="247">
        <v>0</v>
      </c>
    </row>
    <row r="225" spans="1:52" x14ac:dyDescent="0.35">
      <c r="A225" t="s">
        <v>197</v>
      </c>
      <c r="B225" t="s">
        <v>91</v>
      </c>
      <c r="C225" s="4" t="s">
        <v>181</v>
      </c>
      <c r="D225" s="4" t="s">
        <v>198</v>
      </c>
      <c r="AC225" s="66">
        <v>0</v>
      </c>
      <c r="AD225" s="66">
        <v>0</v>
      </c>
      <c r="AE225" s="66">
        <v>0</v>
      </c>
      <c r="AF225" s="68">
        <v>0</v>
      </c>
      <c r="AG225" s="66">
        <v>0</v>
      </c>
      <c r="AH225" s="66">
        <v>0</v>
      </c>
      <c r="AI225" s="66">
        <v>0</v>
      </c>
      <c r="AJ225" s="68">
        <v>0</v>
      </c>
      <c r="AK225" s="66">
        <v>0</v>
      </c>
      <c r="AL225" s="66">
        <v>0</v>
      </c>
      <c r="AM225" s="66">
        <v>0</v>
      </c>
      <c r="AN225" s="68">
        <v>0</v>
      </c>
      <c r="AO225" s="66">
        <v>0</v>
      </c>
      <c r="AP225" s="66">
        <v>0</v>
      </c>
      <c r="AQ225" s="66">
        <v>0</v>
      </c>
      <c r="AR225" s="68">
        <v>0</v>
      </c>
      <c r="AS225" s="66">
        <v>0</v>
      </c>
      <c r="AT225" s="66">
        <v>0</v>
      </c>
      <c r="AU225" s="66">
        <v>0</v>
      </c>
      <c r="AV225" s="68">
        <v>0</v>
      </c>
      <c r="AW225" s="66">
        <v>0</v>
      </c>
      <c r="AX225" s="66">
        <v>0</v>
      </c>
      <c r="AY225" s="66">
        <v>0</v>
      </c>
      <c r="AZ225" s="247">
        <v>0</v>
      </c>
    </row>
    <row r="226" spans="1:52" x14ac:dyDescent="0.35">
      <c r="A226" t="s">
        <v>364</v>
      </c>
      <c r="B226" t="s">
        <v>91</v>
      </c>
      <c r="C226" s="4" t="s">
        <v>181</v>
      </c>
      <c r="D226" s="4" t="s">
        <v>200</v>
      </c>
      <c r="AC226" s="66">
        <v>0</v>
      </c>
      <c r="AD226" s="66">
        <v>0</v>
      </c>
      <c r="AE226" s="66">
        <v>0</v>
      </c>
      <c r="AF226" s="68">
        <v>0</v>
      </c>
      <c r="AG226" s="66">
        <v>0</v>
      </c>
      <c r="AH226" s="66">
        <v>0</v>
      </c>
      <c r="AI226" s="66">
        <v>0</v>
      </c>
      <c r="AJ226" s="68">
        <v>0</v>
      </c>
      <c r="AK226" s="66">
        <v>0</v>
      </c>
      <c r="AL226" s="66">
        <v>0</v>
      </c>
      <c r="AM226" s="66">
        <v>0</v>
      </c>
      <c r="AN226" s="68">
        <v>0</v>
      </c>
      <c r="AO226" s="66">
        <v>0</v>
      </c>
      <c r="AP226" s="66">
        <v>0</v>
      </c>
      <c r="AQ226" s="66">
        <v>0</v>
      </c>
      <c r="AR226" s="68">
        <v>0</v>
      </c>
      <c r="AS226" s="66">
        <v>0</v>
      </c>
      <c r="AT226" s="66">
        <v>0</v>
      </c>
      <c r="AU226" s="66">
        <v>0</v>
      </c>
      <c r="AV226" s="68">
        <v>0</v>
      </c>
      <c r="AW226" s="66">
        <v>0</v>
      </c>
      <c r="AX226" s="66">
        <v>0</v>
      </c>
      <c r="AY226" s="66">
        <v>0</v>
      </c>
      <c r="AZ226" s="247">
        <v>0</v>
      </c>
    </row>
    <row r="227" spans="1:52" x14ac:dyDescent="0.35">
      <c r="A227" t="s">
        <v>201</v>
      </c>
      <c r="B227" t="s">
        <v>91</v>
      </c>
      <c r="C227" s="4" t="s">
        <v>181</v>
      </c>
      <c r="D227" s="4" t="s">
        <v>202</v>
      </c>
      <c r="AC227" s="66">
        <v>0</v>
      </c>
      <c r="AD227" s="66">
        <v>0</v>
      </c>
      <c r="AE227" s="66">
        <v>0</v>
      </c>
      <c r="AF227" s="68">
        <v>0</v>
      </c>
      <c r="AG227" s="66">
        <v>0</v>
      </c>
      <c r="AH227" s="66">
        <v>0</v>
      </c>
      <c r="AI227" s="66">
        <v>0</v>
      </c>
      <c r="AJ227" s="68">
        <v>0</v>
      </c>
      <c r="AK227" s="66">
        <v>0</v>
      </c>
      <c r="AL227" s="66">
        <v>0</v>
      </c>
      <c r="AM227" s="66">
        <v>0</v>
      </c>
      <c r="AN227" s="68">
        <v>0</v>
      </c>
      <c r="AO227" s="66">
        <v>0</v>
      </c>
      <c r="AP227" s="66">
        <v>0</v>
      </c>
      <c r="AQ227" s="66">
        <v>0</v>
      </c>
      <c r="AR227" s="68">
        <v>0</v>
      </c>
      <c r="AS227" s="66">
        <v>0</v>
      </c>
      <c r="AT227" s="66">
        <v>0</v>
      </c>
      <c r="AU227" s="66">
        <v>0</v>
      </c>
      <c r="AV227" s="68">
        <v>0</v>
      </c>
      <c r="AW227" s="66">
        <v>0</v>
      </c>
      <c r="AX227" s="66">
        <v>0</v>
      </c>
      <c r="AY227" s="66">
        <v>0</v>
      </c>
      <c r="AZ227" s="247">
        <v>0</v>
      </c>
    </row>
    <row r="228" spans="1:52" ht="15" thickBot="1" x14ac:dyDescent="0.4">
      <c r="A228" t="s">
        <v>193</v>
      </c>
      <c r="B228" t="s">
        <v>91</v>
      </c>
      <c r="C228" s="4" t="s">
        <v>145</v>
      </c>
      <c r="D228" s="4" t="s">
        <v>194</v>
      </c>
      <c r="AC228" s="69">
        <v>0</v>
      </c>
      <c r="AD228" s="70">
        <v>0</v>
      </c>
      <c r="AE228" s="70">
        <v>0</v>
      </c>
      <c r="AF228" s="71">
        <v>0</v>
      </c>
      <c r="AG228" s="69">
        <v>0</v>
      </c>
      <c r="AH228" s="69">
        <v>0</v>
      </c>
      <c r="AI228" s="69">
        <v>0</v>
      </c>
      <c r="AJ228" s="71">
        <v>0</v>
      </c>
      <c r="AK228" s="69">
        <v>0</v>
      </c>
      <c r="AL228" s="69">
        <v>0</v>
      </c>
      <c r="AM228" s="69">
        <v>0</v>
      </c>
      <c r="AN228" s="71">
        <v>0</v>
      </c>
      <c r="AO228" s="69">
        <v>0</v>
      </c>
      <c r="AP228" s="69">
        <v>0</v>
      </c>
      <c r="AQ228" s="69">
        <v>0</v>
      </c>
      <c r="AR228" s="71">
        <v>0</v>
      </c>
      <c r="AS228" s="69">
        <v>0</v>
      </c>
      <c r="AT228" s="69">
        <v>0</v>
      </c>
      <c r="AU228" s="69">
        <v>0</v>
      </c>
      <c r="AV228" s="71">
        <v>0</v>
      </c>
      <c r="AW228" s="69">
        <v>0</v>
      </c>
      <c r="AX228" s="69">
        <v>0</v>
      </c>
      <c r="AY228" s="69">
        <v>0</v>
      </c>
      <c r="AZ228" s="250">
        <v>0</v>
      </c>
    </row>
    <row r="229" spans="1:52" x14ac:dyDescent="0.35">
      <c r="A229" t="s">
        <v>187</v>
      </c>
      <c r="B229" t="s">
        <v>92</v>
      </c>
      <c r="C229" s="4" t="s">
        <v>145</v>
      </c>
      <c r="D229" s="4" t="s">
        <v>188</v>
      </c>
      <c r="AC229" s="65">
        <v>13.3146</v>
      </c>
      <c r="AD229" s="66">
        <v>0</v>
      </c>
      <c r="AE229" s="66">
        <v>0</v>
      </c>
      <c r="AF229" s="68">
        <v>0</v>
      </c>
      <c r="AG229" s="66">
        <v>0</v>
      </c>
      <c r="AH229" s="66">
        <v>0</v>
      </c>
      <c r="AI229" s="66">
        <v>0</v>
      </c>
      <c r="AJ229" s="68">
        <v>0</v>
      </c>
      <c r="AK229" s="66">
        <v>0</v>
      </c>
      <c r="AL229" s="66">
        <v>0</v>
      </c>
      <c r="AM229" s="66">
        <v>0</v>
      </c>
      <c r="AN229" s="68">
        <v>0</v>
      </c>
      <c r="AO229" s="66">
        <v>0</v>
      </c>
      <c r="AP229" s="66">
        <v>0</v>
      </c>
      <c r="AQ229" s="66">
        <v>0</v>
      </c>
      <c r="AR229" s="68">
        <v>0</v>
      </c>
      <c r="AS229" s="66">
        <v>0</v>
      </c>
      <c r="AT229" s="66">
        <v>0</v>
      </c>
      <c r="AU229" s="66">
        <v>0</v>
      </c>
      <c r="AV229" s="68">
        <v>0</v>
      </c>
      <c r="AW229" s="66">
        <v>0</v>
      </c>
      <c r="AX229" s="66">
        <v>0</v>
      </c>
      <c r="AY229" s="66">
        <v>0</v>
      </c>
      <c r="AZ229" s="247">
        <v>0</v>
      </c>
    </row>
    <row r="230" spans="1:52" x14ac:dyDescent="0.35">
      <c r="A230" t="s">
        <v>144</v>
      </c>
      <c r="B230" t="s">
        <v>92</v>
      </c>
      <c r="C230" s="4" t="s">
        <v>145</v>
      </c>
      <c r="D230" s="4" t="s">
        <v>361</v>
      </c>
      <c r="AC230" s="65">
        <v>6.6239999999999997</v>
      </c>
      <c r="AD230" s="66">
        <v>0</v>
      </c>
      <c r="AE230" s="66">
        <v>0</v>
      </c>
      <c r="AF230" s="68">
        <v>0</v>
      </c>
      <c r="AG230" s="66">
        <v>0</v>
      </c>
      <c r="AH230" s="66">
        <v>0</v>
      </c>
      <c r="AI230" s="66">
        <v>0</v>
      </c>
      <c r="AJ230" s="68">
        <v>0</v>
      </c>
      <c r="AK230" s="66">
        <v>0</v>
      </c>
      <c r="AL230" s="66">
        <v>0</v>
      </c>
      <c r="AM230" s="66">
        <v>0</v>
      </c>
      <c r="AN230" s="68">
        <v>0</v>
      </c>
      <c r="AO230" s="66">
        <v>0</v>
      </c>
      <c r="AP230" s="66">
        <v>0</v>
      </c>
      <c r="AQ230" s="66">
        <v>0</v>
      </c>
      <c r="AR230" s="68">
        <v>0</v>
      </c>
      <c r="AS230" s="66">
        <v>0</v>
      </c>
      <c r="AT230" s="66">
        <v>0</v>
      </c>
      <c r="AU230" s="66">
        <v>0</v>
      </c>
      <c r="AV230" s="68">
        <v>0</v>
      </c>
      <c r="AW230" s="66">
        <v>0</v>
      </c>
      <c r="AX230" s="66">
        <v>0</v>
      </c>
      <c r="AY230" s="66">
        <v>0</v>
      </c>
      <c r="AZ230" s="247">
        <v>0</v>
      </c>
    </row>
    <row r="231" spans="1:52" x14ac:dyDescent="0.35">
      <c r="A231" t="s">
        <v>183</v>
      </c>
      <c r="B231" t="s">
        <v>92</v>
      </c>
      <c r="C231" s="4" t="s">
        <v>145</v>
      </c>
      <c r="D231" s="4" t="s">
        <v>362</v>
      </c>
      <c r="AC231" s="66">
        <v>0</v>
      </c>
      <c r="AD231" s="66">
        <v>0</v>
      </c>
      <c r="AE231" s="66">
        <v>0</v>
      </c>
      <c r="AF231" s="68">
        <v>0</v>
      </c>
      <c r="AG231" s="66">
        <v>0</v>
      </c>
      <c r="AH231" s="66">
        <v>0</v>
      </c>
      <c r="AI231" s="66">
        <v>0</v>
      </c>
      <c r="AJ231" s="68">
        <v>0</v>
      </c>
      <c r="AK231" s="66">
        <v>0</v>
      </c>
      <c r="AL231" s="66">
        <v>0</v>
      </c>
      <c r="AM231" s="66">
        <v>0</v>
      </c>
      <c r="AN231" s="68">
        <v>0</v>
      </c>
      <c r="AO231" s="66">
        <v>0</v>
      </c>
      <c r="AP231" s="66">
        <v>0</v>
      </c>
      <c r="AQ231" s="66">
        <v>0</v>
      </c>
      <c r="AR231" s="68">
        <v>0</v>
      </c>
      <c r="AS231" s="66">
        <v>0</v>
      </c>
      <c r="AT231" s="66">
        <v>0</v>
      </c>
      <c r="AU231" s="66">
        <v>0</v>
      </c>
      <c r="AV231" s="68">
        <v>0</v>
      </c>
      <c r="AW231" s="66">
        <v>0</v>
      </c>
      <c r="AX231" s="66">
        <v>0</v>
      </c>
      <c r="AY231" s="66">
        <v>0</v>
      </c>
      <c r="AZ231" s="247">
        <v>0</v>
      </c>
    </row>
    <row r="232" spans="1:52" x14ac:dyDescent="0.35">
      <c r="A232" t="s">
        <v>172</v>
      </c>
      <c r="B232" t="s">
        <v>92</v>
      </c>
      <c r="C232" s="4" t="s">
        <v>145</v>
      </c>
      <c r="D232" s="4" t="s">
        <v>363</v>
      </c>
      <c r="AC232" s="65">
        <v>6.0040746268656714E-2</v>
      </c>
      <c r="AD232" s="66">
        <v>0</v>
      </c>
      <c r="AE232" s="66">
        <v>0</v>
      </c>
      <c r="AF232" s="68">
        <v>0</v>
      </c>
      <c r="AG232" s="66">
        <v>0</v>
      </c>
      <c r="AH232" s="66">
        <v>0</v>
      </c>
      <c r="AI232" s="66">
        <v>0</v>
      </c>
      <c r="AJ232" s="68">
        <v>0</v>
      </c>
      <c r="AK232" s="66">
        <v>0</v>
      </c>
      <c r="AL232" s="66">
        <v>0</v>
      </c>
      <c r="AM232" s="66">
        <v>0</v>
      </c>
      <c r="AN232" s="68">
        <v>0</v>
      </c>
      <c r="AO232" s="66">
        <v>0</v>
      </c>
      <c r="AP232" s="66">
        <v>0</v>
      </c>
      <c r="AQ232" s="66">
        <v>0</v>
      </c>
      <c r="AR232" s="68">
        <v>0</v>
      </c>
      <c r="AS232" s="66">
        <v>0</v>
      </c>
      <c r="AT232" s="66">
        <v>0</v>
      </c>
      <c r="AU232" s="66">
        <v>0</v>
      </c>
      <c r="AV232" s="68">
        <v>0</v>
      </c>
      <c r="AW232" s="66">
        <v>0</v>
      </c>
      <c r="AX232" s="66">
        <v>0</v>
      </c>
      <c r="AY232" s="66">
        <v>0</v>
      </c>
      <c r="AZ232" s="247">
        <v>0</v>
      </c>
    </row>
    <row r="233" spans="1:52" x14ac:dyDescent="0.35">
      <c r="A233" t="s">
        <v>174</v>
      </c>
      <c r="B233" t="s">
        <v>92</v>
      </c>
      <c r="C233" s="4" t="s">
        <v>145</v>
      </c>
      <c r="D233" s="4" t="s">
        <v>175</v>
      </c>
      <c r="AC233" s="66">
        <v>0</v>
      </c>
      <c r="AD233" s="65">
        <v>3.3497344343163542E-3</v>
      </c>
      <c r="AE233" s="66">
        <v>0</v>
      </c>
      <c r="AF233" s="68">
        <v>0</v>
      </c>
      <c r="AG233" s="66">
        <v>0</v>
      </c>
      <c r="AH233" s="66">
        <v>0</v>
      </c>
      <c r="AI233" s="66">
        <v>0</v>
      </c>
      <c r="AJ233" s="68">
        <v>0</v>
      </c>
      <c r="AK233" s="66">
        <v>0</v>
      </c>
      <c r="AL233" s="66">
        <v>0</v>
      </c>
      <c r="AM233" s="66">
        <v>0</v>
      </c>
      <c r="AN233" s="68">
        <v>0</v>
      </c>
      <c r="AO233" s="66">
        <v>0</v>
      </c>
      <c r="AP233" s="66">
        <v>0</v>
      </c>
      <c r="AQ233" s="66">
        <v>0</v>
      </c>
      <c r="AR233" s="68">
        <v>0</v>
      </c>
      <c r="AS233" s="66">
        <v>0</v>
      </c>
      <c r="AT233" s="66">
        <v>0</v>
      </c>
      <c r="AU233" s="66">
        <v>0</v>
      </c>
      <c r="AV233" s="68">
        <v>0</v>
      </c>
      <c r="AW233" s="66">
        <v>0</v>
      </c>
      <c r="AX233" s="66">
        <v>0</v>
      </c>
      <c r="AY233" s="66">
        <v>0</v>
      </c>
      <c r="AZ233" s="247">
        <v>0</v>
      </c>
    </row>
    <row r="234" spans="1:52" x14ac:dyDescent="0.35">
      <c r="A234" t="s">
        <v>176</v>
      </c>
      <c r="B234" t="s">
        <v>92</v>
      </c>
      <c r="C234" s="4" t="s">
        <v>145</v>
      </c>
      <c r="D234" s="4" t="s">
        <v>177</v>
      </c>
      <c r="AC234" s="66">
        <v>0</v>
      </c>
      <c r="AD234" s="65">
        <v>6.0269323460777589E-3</v>
      </c>
      <c r="AE234" s="66">
        <v>0</v>
      </c>
      <c r="AF234" s="68">
        <v>0</v>
      </c>
      <c r="AG234" s="66">
        <v>0</v>
      </c>
      <c r="AH234" s="66">
        <v>0</v>
      </c>
      <c r="AI234" s="66">
        <v>0</v>
      </c>
      <c r="AJ234" s="68">
        <v>0</v>
      </c>
      <c r="AK234" s="66">
        <v>0</v>
      </c>
      <c r="AL234" s="66">
        <v>0</v>
      </c>
      <c r="AM234" s="66">
        <v>0</v>
      </c>
      <c r="AN234" s="68">
        <v>0</v>
      </c>
      <c r="AO234" s="66">
        <v>0</v>
      </c>
      <c r="AP234" s="66">
        <v>0</v>
      </c>
      <c r="AQ234" s="66">
        <v>0</v>
      </c>
      <c r="AR234" s="68">
        <v>0</v>
      </c>
      <c r="AS234" s="66">
        <v>0</v>
      </c>
      <c r="AT234" s="66">
        <v>0</v>
      </c>
      <c r="AU234" s="66">
        <v>0</v>
      </c>
      <c r="AV234" s="68">
        <v>0</v>
      </c>
      <c r="AW234" s="66">
        <v>0</v>
      </c>
      <c r="AX234" s="66">
        <v>0</v>
      </c>
      <c r="AY234" s="66">
        <v>0</v>
      </c>
      <c r="AZ234" s="247">
        <v>0</v>
      </c>
    </row>
    <row r="235" spans="1:52" x14ac:dyDescent="0.35">
      <c r="A235" t="s">
        <v>178</v>
      </c>
      <c r="B235" t="s">
        <v>92</v>
      </c>
      <c r="C235" s="4" t="s">
        <v>145</v>
      </c>
      <c r="D235" s="4" t="s">
        <v>179</v>
      </c>
      <c r="AC235" s="66">
        <v>0</v>
      </c>
      <c r="AD235" s="65">
        <v>4.0947713992508196E-3</v>
      </c>
      <c r="AE235" s="66">
        <v>0</v>
      </c>
      <c r="AF235" s="68">
        <v>0</v>
      </c>
      <c r="AG235" s="66">
        <v>0</v>
      </c>
      <c r="AH235" s="66">
        <v>0</v>
      </c>
      <c r="AI235" s="66">
        <v>0</v>
      </c>
      <c r="AJ235" s="68">
        <v>0</v>
      </c>
      <c r="AK235" s="66">
        <v>0</v>
      </c>
      <c r="AL235" s="66">
        <v>0</v>
      </c>
      <c r="AM235" s="66">
        <v>0</v>
      </c>
      <c r="AN235" s="68">
        <v>0</v>
      </c>
      <c r="AO235" s="66">
        <v>0</v>
      </c>
      <c r="AP235" s="66">
        <v>0</v>
      </c>
      <c r="AQ235" s="66">
        <v>0</v>
      </c>
      <c r="AR235" s="68">
        <v>0</v>
      </c>
      <c r="AS235" s="66">
        <v>0</v>
      </c>
      <c r="AT235" s="66">
        <v>0</v>
      </c>
      <c r="AU235" s="66">
        <v>0</v>
      </c>
      <c r="AV235" s="68">
        <v>0</v>
      </c>
      <c r="AW235" s="66">
        <v>0</v>
      </c>
      <c r="AX235" s="66">
        <v>0</v>
      </c>
      <c r="AY235" s="66">
        <v>0</v>
      </c>
      <c r="AZ235" s="247">
        <v>0</v>
      </c>
    </row>
    <row r="236" spans="1:52" x14ac:dyDescent="0.35">
      <c r="A236" t="s">
        <v>180</v>
      </c>
      <c r="B236" t="s">
        <v>92</v>
      </c>
      <c r="C236" s="4" t="s">
        <v>181</v>
      </c>
      <c r="D236" s="4" t="s">
        <v>182</v>
      </c>
      <c r="AC236" s="66">
        <v>0</v>
      </c>
      <c r="AD236" s="66">
        <v>0</v>
      </c>
      <c r="AE236" s="66">
        <v>0</v>
      </c>
      <c r="AF236" s="68">
        <v>0</v>
      </c>
      <c r="AG236" s="66">
        <v>0</v>
      </c>
      <c r="AH236" s="66">
        <v>0</v>
      </c>
      <c r="AI236" s="66">
        <v>0</v>
      </c>
      <c r="AJ236" s="68">
        <v>0</v>
      </c>
      <c r="AK236" s="66">
        <v>0</v>
      </c>
      <c r="AL236" s="66">
        <v>0</v>
      </c>
      <c r="AM236" s="66">
        <v>0</v>
      </c>
      <c r="AN236" s="68">
        <v>0</v>
      </c>
      <c r="AO236" s="66">
        <v>0</v>
      </c>
      <c r="AP236" s="66">
        <v>0</v>
      </c>
      <c r="AQ236" s="66">
        <v>0</v>
      </c>
      <c r="AR236" s="68">
        <v>0</v>
      </c>
      <c r="AS236" s="66">
        <v>0</v>
      </c>
      <c r="AT236" s="66">
        <v>0</v>
      </c>
      <c r="AU236" s="66">
        <v>0</v>
      </c>
      <c r="AV236" s="68">
        <v>0</v>
      </c>
      <c r="AW236" s="66">
        <v>0</v>
      </c>
      <c r="AX236" s="66">
        <v>0</v>
      </c>
      <c r="AY236" s="66">
        <v>0</v>
      </c>
      <c r="AZ236" s="247">
        <v>0</v>
      </c>
    </row>
    <row r="237" spans="1:52" x14ac:dyDescent="0.35">
      <c r="A237" t="s">
        <v>197</v>
      </c>
      <c r="B237" t="s">
        <v>92</v>
      </c>
      <c r="C237" s="4" t="s">
        <v>181</v>
      </c>
      <c r="D237" s="4" t="s">
        <v>198</v>
      </c>
      <c r="AC237" s="66">
        <v>0</v>
      </c>
      <c r="AD237" s="66">
        <v>0</v>
      </c>
      <c r="AE237" s="66">
        <v>0</v>
      </c>
      <c r="AF237" s="68">
        <v>0</v>
      </c>
      <c r="AG237" s="66">
        <v>0</v>
      </c>
      <c r="AH237" s="66">
        <v>0</v>
      </c>
      <c r="AI237" s="66">
        <v>0</v>
      </c>
      <c r="AJ237" s="68">
        <v>0</v>
      </c>
      <c r="AK237" s="66">
        <v>0</v>
      </c>
      <c r="AL237" s="66">
        <v>0</v>
      </c>
      <c r="AM237" s="66">
        <v>0</v>
      </c>
      <c r="AN237" s="68">
        <v>0</v>
      </c>
      <c r="AO237" s="66">
        <v>0</v>
      </c>
      <c r="AP237" s="66">
        <v>0</v>
      </c>
      <c r="AQ237" s="66">
        <v>0</v>
      </c>
      <c r="AR237" s="68">
        <v>0</v>
      </c>
      <c r="AS237" s="66">
        <v>0</v>
      </c>
      <c r="AT237" s="66">
        <v>0</v>
      </c>
      <c r="AU237" s="66">
        <v>0</v>
      </c>
      <c r="AV237" s="68">
        <v>0</v>
      </c>
      <c r="AW237" s="66">
        <v>0</v>
      </c>
      <c r="AX237" s="66">
        <v>0</v>
      </c>
      <c r="AY237" s="66">
        <v>0</v>
      </c>
      <c r="AZ237" s="247">
        <v>0</v>
      </c>
    </row>
    <row r="238" spans="1:52" x14ac:dyDescent="0.35">
      <c r="A238" t="s">
        <v>364</v>
      </c>
      <c r="B238" t="s">
        <v>92</v>
      </c>
      <c r="C238" s="4" t="s">
        <v>181</v>
      </c>
      <c r="D238" s="4" t="s">
        <v>200</v>
      </c>
      <c r="AC238" s="66">
        <v>0</v>
      </c>
      <c r="AD238" s="66">
        <v>0</v>
      </c>
      <c r="AE238" s="66">
        <v>0</v>
      </c>
      <c r="AF238" s="68">
        <v>0</v>
      </c>
      <c r="AG238" s="66">
        <v>0</v>
      </c>
      <c r="AH238" s="66">
        <v>0</v>
      </c>
      <c r="AI238" s="66">
        <v>0</v>
      </c>
      <c r="AJ238" s="68">
        <v>0</v>
      </c>
      <c r="AK238" s="66">
        <v>0</v>
      </c>
      <c r="AL238" s="66">
        <v>0</v>
      </c>
      <c r="AM238" s="66">
        <v>0</v>
      </c>
      <c r="AN238" s="68">
        <v>0</v>
      </c>
      <c r="AO238" s="66">
        <v>0</v>
      </c>
      <c r="AP238" s="66">
        <v>0</v>
      </c>
      <c r="AQ238" s="66">
        <v>0</v>
      </c>
      <c r="AR238" s="68">
        <v>0</v>
      </c>
      <c r="AS238" s="66">
        <v>0</v>
      </c>
      <c r="AT238" s="66">
        <v>0</v>
      </c>
      <c r="AU238" s="66">
        <v>0</v>
      </c>
      <c r="AV238" s="68">
        <v>0</v>
      </c>
      <c r="AW238" s="66">
        <v>0</v>
      </c>
      <c r="AX238" s="66">
        <v>0</v>
      </c>
      <c r="AY238" s="66">
        <v>0</v>
      </c>
      <c r="AZ238" s="247">
        <v>0</v>
      </c>
    </row>
    <row r="239" spans="1:52" x14ac:dyDescent="0.35">
      <c r="A239" t="s">
        <v>201</v>
      </c>
      <c r="B239" t="s">
        <v>92</v>
      </c>
      <c r="C239" s="4" t="s">
        <v>181</v>
      </c>
      <c r="D239" s="4" t="s">
        <v>202</v>
      </c>
      <c r="AC239" s="66">
        <v>0</v>
      </c>
      <c r="AD239" s="66">
        <v>0</v>
      </c>
      <c r="AE239" s="66">
        <v>0</v>
      </c>
      <c r="AF239" s="68">
        <v>0</v>
      </c>
      <c r="AG239" s="66">
        <v>0</v>
      </c>
      <c r="AH239" s="66">
        <v>0</v>
      </c>
      <c r="AI239" s="66">
        <v>0</v>
      </c>
      <c r="AJ239" s="68">
        <v>0</v>
      </c>
      <c r="AK239" s="66">
        <v>0</v>
      </c>
      <c r="AL239" s="66">
        <v>0</v>
      </c>
      <c r="AM239" s="66">
        <v>0</v>
      </c>
      <c r="AN239" s="68">
        <v>0</v>
      </c>
      <c r="AO239" s="66">
        <v>0</v>
      </c>
      <c r="AP239" s="66">
        <v>0</v>
      </c>
      <c r="AQ239" s="66">
        <v>0</v>
      </c>
      <c r="AR239" s="68">
        <v>0</v>
      </c>
      <c r="AS239" s="66">
        <v>0</v>
      </c>
      <c r="AT239" s="66">
        <v>0</v>
      </c>
      <c r="AU239" s="66">
        <v>0</v>
      </c>
      <c r="AV239" s="68">
        <v>0</v>
      </c>
      <c r="AW239" s="66">
        <v>0</v>
      </c>
      <c r="AX239" s="66">
        <v>0</v>
      </c>
      <c r="AY239" s="66">
        <v>0</v>
      </c>
      <c r="AZ239" s="247">
        <v>0</v>
      </c>
    </row>
    <row r="240" spans="1:52" ht="15" thickBot="1" x14ac:dyDescent="0.4">
      <c r="A240" t="s">
        <v>193</v>
      </c>
      <c r="B240" t="s">
        <v>92</v>
      </c>
      <c r="C240" s="4" t="s">
        <v>145</v>
      </c>
      <c r="D240" s="4" t="s">
        <v>194</v>
      </c>
      <c r="AC240" s="69">
        <v>0</v>
      </c>
      <c r="AD240" s="70">
        <v>0</v>
      </c>
      <c r="AE240" s="70">
        <v>0</v>
      </c>
      <c r="AF240" s="71">
        <v>0</v>
      </c>
      <c r="AG240" s="69">
        <v>0</v>
      </c>
      <c r="AH240" s="69">
        <v>0</v>
      </c>
      <c r="AI240" s="69">
        <v>0</v>
      </c>
      <c r="AJ240" s="71">
        <v>0</v>
      </c>
      <c r="AK240" s="69">
        <v>0</v>
      </c>
      <c r="AL240" s="69">
        <v>0</v>
      </c>
      <c r="AM240" s="69">
        <v>0</v>
      </c>
      <c r="AN240" s="71">
        <v>0</v>
      </c>
      <c r="AO240" s="69">
        <v>0</v>
      </c>
      <c r="AP240" s="69">
        <v>0</v>
      </c>
      <c r="AQ240" s="69">
        <v>0</v>
      </c>
      <c r="AR240" s="71">
        <v>0</v>
      </c>
      <c r="AS240" s="69">
        <v>0</v>
      </c>
      <c r="AT240" s="69">
        <v>0</v>
      </c>
      <c r="AU240" s="69">
        <v>0</v>
      </c>
      <c r="AV240" s="71">
        <v>0</v>
      </c>
      <c r="AW240" s="69">
        <v>0</v>
      </c>
      <c r="AX240" s="69">
        <v>0</v>
      </c>
      <c r="AY240" s="69">
        <v>0</v>
      </c>
      <c r="AZ240" s="250">
        <v>0</v>
      </c>
    </row>
    <row r="241" spans="1:76" x14ac:dyDescent="0.35">
      <c r="A241" t="s">
        <v>187</v>
      </c>
      <c r="B241" t="s">
        <v>93</v>
      </c>
      <c r="C241" s="4" t="s">
        <v>145</v>
      </c>
      <c r="D241" s="4" t="s">
        <v>188</v>
      </c>
      <c r="AC241" s="65">
        <v>138.77909999999997</v>
      </c>
      <c r="AD241" s="65">
        <v>1.1930984723440377E-3</v>
      </c>
      <c r="AE241" s="66">
        <v>0</v>
      </c>
      <c r="AF241" s="68">
        <v>0</v>
      </c>
      <c r="AG241" s="66">
        <v>0</v>
      </c>
      <c r="AH241" s="66">
        <v>0</v>
      </c>
      <c r="AI241" s="66">
        <v>0</v>
      </c>
      <c r="AJ241" s="68">
        <v>0</v>
      </c>
      <c r="AK241" s="66">
        <v>0</v>
      </c>
      <c r="AL241" s="66">
        <v>0</v>
      </c>
      <c r="AM241" s="66">
        <v>0</v>
      </c>
      <c r="AN241" s="68">
        <v>0</v>
      </c>
      <c r="AO241" s="66">
        <v>0</v>
      </c>
      <c r="AP241" s="66">
        <v>0</v>
      </c>
      <c r="AQ241" s="66">
        <v>0</v>
      </c>
      <c r="AR241" s="68">
        <v>0</v>
      </c>
      <c r="AS241" s="66">
        <v>0</v>
      </c>
      <c r="AT241" s="66">
        <v>0</v>
      </c>
      <c r="AU241" s="66">
        <v>0</v>
      </c>
      <c r="AV241" s="68">
        <v>0</v>
      </c>
      <c r="AW241" s="66">
        <v>0</v>
      </c>
      <c r="AX241" s="66">
        <v>0</v>
      </c>
      <c r="AY241" s="66">
        <v>0</v>
      </c>
      <c r="AZ241" s="247">
        <v>0</v>
      </c>
    </row>
    <row r="242" spans="1:76" x14ac:dyDescent="0.35">
      <c r="A242" t="s">
        <v>144</v>
      </c>
      <c r="B242" t="s">
        <v>93</v>
      </c>
      <c r="C242" s="4" t="s">
        <v>145</v>
      </c>
      <c r="D242" s="4" t="s">
        <v>361</v>
      </c>
      <c r="AC242" s="65">
        <v>44.633142857142865</v>
      </c>
      <c r="AD242" s="66">
        <v>0</v>
      </c>
      <c r="AE242" s="66">
        <v>0</v>
      </c>
      <c r="AF242" s="68">
        <v>0</v>
      </c>
      <c r="AG242" s="66">
        <v>0</v>
      </c>
      <c r="AH242" s="66">
        <v>0</v>
      </c>
      <c r="AI242" s="66">
        <v>0</v>
      </c>
      <c r="AJ242" s="68">
        <v>0</v>
      </c>
      <c r="AK242" s="66">
        <v>0</v>
      </c>
      <c r="AL242" s="66">
        <v>0</v>
      </c>
      <c r="AM242" s="66">
        <v>0</v>
      </c>
      <c r="AN242" s="68">
        <v>0</v>
      </c>
      <c r="AO242" s="66">
        <v>0</v>
      </c>
      <c r="AP242" s="66">
        <v>0</v>
      </c>
      <c r="AQ242" s="66">
        <v>0</v>
      </c>
      <c r="AR242" s="68">
        <v>0</v>
      </c>
      <c r="AS242" s="66">
        <v>0</v>
      </c>
      <c r="AT242" s="66">
        <v>0</v>
      </c>
      <c r="AU242" s="66">
        <v>0</v>
      </c>
      <c r="AV242" s="68">
        <v>0</v>
      </c>
      <c r="AW242" s="66">
        <v>0</v>
      </c>
      <c r="AX242" s="66">
        <v>0</v>
      </c>
      <c r="AY242" s="66">
        <v>0</v>
      </c>
      <c r="AZ242" s="247">
        <v>0</v>
      </c>
    </row>
    <row r="243" spans="1:76" x14ac:dyDescent="0.35">
      <c r="A243" t="s">
        <v>183</v>
      </c>
      <c r="B243" t="s">
        <v>93</v>
      </c>
      <c r="C243" s="4" t="s">
        <v>145</v>
      </c>
      <c r="D243" s="4" t="s">
        <v>362</v>
      </c>
      <c r="AC243" s="66">
        <v>0</v>
      </c>
      <c r="AD243" s="66">
        <v>0</v>
      </c>
      <c r="AE243" s="66">
        <v>0</v>
      </c>
      <c r="AF243" s="68">
        <v>0</v>
      </c>
      <c r="AG243" s="66">
        <v>0</v>
      </c>
      <c r="AH243" s="66">
        <v>0</v>
      </c>
      <c r="AI243" s="66">
        <v>0</v>
      </c>
      <c r="AJ243" s="68">
        <v>0</v>
      </c>
      <c r="AK243" s="66">
        <v>0</v>
      </c>
      <c r="AL243" s="66">
        <v>0</v>
      </c>
      <c r="AM243" s="66">
        <v>0</v>
      </c>
      <c r="AN243" s="68">
        <v>0</v>
      </c>
      <c r="AO243" s="66">
        <v>0</v>
      </c>
      <c r="AP243" s="66">
        <v>0</v>
      </c>
      <c r="AQ243" s="66">
        <v>0</v>
      </c>
      <c r="AR243" s="68">
        <v>0</v>
      </c>
      <c r="AS243" s="66">
        <v>0</v>
      </c>
      <c r="AT243" s="66">
        <v>0</v>
      </c>
      <c r="AU243" s="66">
        <v>0</v>
      </c>
      <c r="AV243" s="68">
        <v>0</v>
      </c>
      <c r="AW243" s="66">
        <v>0</v>
      </c>
      <c r="AX243" s="66">
        <v>0</v>
      </c>
      <c r="AY243" s="66">
        <v>0</v>
      </c>
      <c r="AZ243" s="247">
        <v>0</v>
      </c>
    </row>
    <row r="244" spans="1:76" x14ac:dyDescent="0.35">
      <c r="A244" t="s">
        <v>172</v>
      </c>
      <c r="B244" t="s">
        <v>93</v>
      </c>
      <c r="C244" s="4" t="s">
        <v>145</v>
      </c>
      <c r="D244" s="4" t="s">
        <v>363</v>
      </c>
      <c r="AC244" s="65">
        <v>0.3673348440311186</v>
      </c>
      <c r="AD244" s="66">
        <v>0</v>
      </c>
      <c r="AE244" s="66">
        <v>0</v>
      </c>
      <c r="AF244" s="68">
        <v>0</v>
      </c>
      <c r="AG244" s="66">
        <v>0</v>
      </c>
      <c r="AH244" s="66">
        <v>0</v>
      </c>
      <c r="AI244" s="66">
        <v>0</v>
      </c>
      <c r="AJ244" s="68">
        <v>0</v>
      </c>
      <c r="AK244" s="66">
        <v>0</v>
      </c>
      <c r="AL244" s="66">
        <v>0</v>
      </c>
      <c r="AM244" s="66">
        <v>0</v>
      </c>
      <c r="AN244" s="68">
        <v>0</v>
      </c>
      <c r="AO244" s="66">
        <v>0</v>
      </c>
      <c r="AP244" s="66">
        <v>0</v>
      </c>
      <c r="AQ244" s="66">
        <v>0</v>
      </c>
      <c r="AR244" s="68">
        <v>0</v>
      </c>
      <c r="AS244" s="66">
        <v>0</v>
      </c>
      <c r="AT244" s="66">
        <v>0</v>
      </c>
      <c r="AU244" s="66">
        <v>0</v>
      </c>
      <c r="AV244" s="68">
        <v>0</v>
      </c>
      <c r="AW244" s="66">
        <v>0</v>
      </c>
      <c r="AX244" s="66">
        <v>0</v>
      </c>
      <c r="AY244" s="66">
        <v>0</v>
      </c>
      <c r="AZ244" s="247">
        <v>0</v>
      </c>
    </row>
    <row r="245" spans="1:76" x14ac:dyDescent="0.35">
      <c r="A245" t="s">
        <v>174</v>
      </c>
      <c r="B245" t="s">
        <v>93</v>
      </c>
      <c r="C245" s="4" t="s">
        <v>145</v>
      </c>
      <c r="D245" s="4" t="s">
        <v>175</v>
      </c>
      <c r="AC245" s="66">
        <v>0</v>
      </c>
      <c r="AD245" s="65">
        <v>1.4980971667560324E-2</v>
      </c>
      <c r="AE245" s="66">
        <v>0</v>
      </c>
      <c r="AF245" s="68">
        <v>0</v>
      </c>
      <c r="AG245" s="66">
        <v>0</v>
      </c>
      <c r="AH245" s="66">
        <v>0</v>
      </c>
      <c r="AI245" s="66">
        <v>0</v>
      </c>
      <c r="AJ245" s="68">
        <v>0</v>
      </c>
      <c r="AK245" s="66">
        <v>0</v>
      </c>
      <c r="AL245" s="66">
        <v>0</v>
      </c>
      <c r="AM245" s="66">
        <v>0</v>
      </c>
      <c r="AN245" s="68">
        <v>0</v>
      </c>
      <c r="AO245" s="66">
        <v>0</v>
      </c>
      <c r="AP245" s="66">
        <v>0</v>
      </c>
      <c r="AQ245" s="66">
        <v>0</v>
      </c>
      <c r="AR245" s="68">
        <v>0</v>
      </c>
      <c r="AS245" s="66">
        <v>0</v>
      </c>
      <c r="AT245" s="66">
        <v>0</v>
      </c>
      <c r="AU245" s="66">
        <v>0</v>
      </c>
      <c r="AV245" s="68">
        <v>0</v>
      </c>
      <c r="AW245" s="66">
        <v>0</v>
      </c>
      <c r="AX245" s="66">
        <v>0</v>
      </c>
      <c r="AY245" s="66">
        <v>0</v>
      </c>
      <c r="AZ245" s="247">
        <v>0</v>
      </c>
    </row>
    <row r="246" spans="1:76" x14ac:dyDescent="0.35">
      <c r="A246" t="s">
        <v>176</v>
      </c>
      <c r="B246" t="s">
        <v>93</v>
      </c>
      <c r="C246" s="4" t="s">
        <v>145</v>
      </c>
      <c r="D246" s="4" t="s">
        <v>177</v>
      </c>
      <c r="AC246" s="66">
        <v>0</v>
      </c>
      <c r="AD246" s="65">
        <v>4.3405477873147885E-2</v>
      </c>
      <c r="AE246" s="66">
        <v>0</v>
      </c>
      <c r="AF246" s="68">
        <v>0</v>
      </c>
      <c r="AG246" s="66">
        <v>0</v>
      </c>
      <c r="AH246" s="66">
        <v>0</v>
      </c>
      <c r="AI246" s="66">
        <v>0</v>
      </c>
      <c r="AJ246" s="68">
        <v>0</v>
      </c>
      <c r="AK246" s="66">
        <v>0</v>
      </c>
      <c r="AL246" s="66">
        <v>0</v>
      </c>
      <c r="AM246" s="66">
        <v>0</v>
      </c>
      <c r="AN246" s="68">
        <v>0</v>
      </c>
      <c r="AO246" s="66">
        <v>0</v>
      </c>
      <c r="AP246" s="66">
        <v>0</v>
      </c>
      <c r="AQ246" s="66">
        <v>0</v>
      </c>
      <c r="AR246" s="68">
        <v>0</v>
      </c>
      <c r="AS246" s="66">
        <v>0</v>
      </c>
      <c r="AT246" s="66">
        <v>0</v>
      </c>
      <c r="AU246" s="66">
        <v>0</v>
      </c>
      <c r="AV246" s="68">
        <v>0</v>
      </c>
      <c r="AW246" s="66">
        <v>0</v>
      </c>
      <c r="AX246" s="66">
        <v>0</v>
      </c>
      <c r="AY246" s="66">
        <v>0</v>
      </c>
      <c r="AZ246" s="247">
        <v>0</v>
      </c>
    </row>
    <row r="247" spans="1:76" x14ac:dyDescent="0.35">
      <c r="A247" t="s">
        <v>178</v>
      </c>
      <c r="B247" t="s">
        <v>93</v>
      </c>
      <c r="C247" s="4" t="s">
        <v>145</v>
      </c>
      <c r="D247" s="4" t="s">
        <v>179</v>
      </c>
      <c r="AC247" s="66">
        <v>0</v>
      </c>
      <c r="AD247" s="65">
        <v>2.1237093113781802E-2</v>
      </c>
      <c r="AE247" s="66">
        <v>0</v>
      </c>
      <c r="AF247" s="68">
        <v>0</v>
      </c>
      <c r="AG247" s="66">
        <v>0</v>
      </c>
      <c r="AH247" s="66">
        <v>0</v>
      </c>
      <c r="AI247" s="66">
        <v>0</v>
      </c>
      <c r="AJ247" s="68">
        <v>0</v>
      </c>
      <c r="AK247" s="66">
        <v>0</v>
      </c>
      <c r="AL247" s="66">
        <v>0</v>
      </c>
      <c r="AM247" s="66">
        <v>0</v>
      </c>
      <c r="AN247" s="68">
        <v>0</v>
      </c>
      <c r="AO247" s="66">
        <v>0</v>
      </c>
      <c r="AP247" s="66">
        <v>0</v>
      </c>
      <c r="AQ247" s="66">
        <v>0</v>
      </c>
      <c r="AR247" s="68">
        <v>0</v>
      </c>
      <c r="AS247" s="66">
        <v>0</v>
      </c>
      <c r="AT247" s="66">
        <v>0</v>
      </c>
      <c r="AU247" s="66">
        <v>0</v>
      </c>
      <c r="AV247" s="68">
        <v>0</v>
      </c>
      <c r="AW247" s="66">
        <v>0</v>
      </c>
      <c r="AX247" s="66">
        <v>0</v>
      </c>
      <c r="AY247" s="66">
        <v>0</v>
      </c>
      <c r="AZ247" s="247">
        <v>0</v>
      </c>
    </row>
    <row r="248" spans="1:76" x14ac:dyDescent="0.35">
      <c r="A248" t="s">
        <v>180</v>
      </c>
      <c r="B248" t="s">
        <v>93</v>
      </c>
      <c r="C248" s="4" t="s">
        <v>181</v>
      </c>
      <c r="D248" s="4" t="s">
        <v>182</v>
      </c>
      <c r="AC248" s="66">
        <v>0</v>
      </c>
      <c r="AD248" s="66">
        <v>0</v>
      </c>
      <c r="AE248" s="66">
        <v>0</v>
      </c>
      <c r="AF248" s="68">
        <v>0</v>
      </c>
      <c r="AG248" s="66">
        <v>0</v>
      </c>
      <c r="AH248" s="66">
        <v>0</v>
      </c>
      <c r="AI248" s="66">
        <v>0</v>
      </c>
      <c r="AJ248" s="68">
        <v>0</v>
      </c>
      <c r="AK248" s="66">
        <v>0</v>
      </c>
      <c r="AL248" s="66">
        <v>0</v>
      </c>
      <c r="AM248" s="66">
        <v>0</v>
      </c>
      <c r="AN248" s="68">
        <v>0</v>
      </c>
      <c r="AO248" s="66">
        <v>0</v>
      </c>
      <c r="AP248" s="66">
        <v>0</v>
      </c>
      <c r="AQ248" s="66">
        <v>0</v>
      </c>
      <c r="AR248" s="68">
        <v>0</v>
      </c>
      <c r="AS248" s="66">
        <v>0</v>
      </c>
      <c r="AT248" s="66">
        <v>0</v>
      </c>
      <c r="AU248" s="66">
        <v>0</v>
      </c>
      <c r="AV248" s="68">
        <v>0</v>
      </c>
      <c r="AW248" s="66">
        <v>0</v>
      </c>
      <c r="AX248" s="66">
        <v>0</v>
      </c>
      <c r="AY248" s="66">
        <v>0</v>
      </c>
      <c r="AZ248" s="247">
        <v>0</v>
      </c>
    </row>
    <row r="249" spans="1:76" x14ac:dyDescent="0.35">
      <c r="A249" t="s">
        <v>197</v>
      </c>
      <c r="B249" t="s">
        <v>93</v>
      </c>
      <c r="C249" s="4" t="s">
        <v>181</v>
      </c>
      <c r="D249" s="4" t="s">
        <v>198</v>
      </c>
      <c r="AC249" s="66">
        <v>0</v>
      </c>
      <c r="AD249" s="66">
        <v>0</v>
      </c>
      <c r="AE249" s="66">
        <v>0</v>
      </c>
      <c r="AF249" s="68">
        <v>0</v>
      </c>
      <c r="AG249" s="66">
        <v>0</v>
      </c>
      <c r="AH249" s="66">
        <v>0</v>
      </c>
      <c r="AI249" s="66">
        <v>0</v>
      </c>
      <c r="AJ249" s="68">
        <v>0</v>
      </c>
      <c r="AK249" s="66">
        <v>0</v>
      </c>
      <c r="AL249" s="66">
        <v>0</v>
      </c>
      <c r="AM249" s="66">
        <v>0</v>
      </c>
      <c r="AN249" s="68">
        <v>0</v>
      </c>
      <c r="AO249" s="66">
        <v>0</v>
      </c>
      <c r="AP249" s="66">
        <v>0</v>
      </c>
      <c r="AQ249" s="66">
        <v>0</v>
      </c>
      <c r="AR249" s="68">
        <v>0</v>
      </c>
      <c r="AS249" s="66">
        <v>0</v>
      </c>
      <c r="AT249" s="66">
        <v>0</v>
      </c>
      <c r="AU249" s="66">
        <v>0</v>
      </c>
      <c r="AV249" s="68">
        <v>0</v>
      </c>
      <c r="AW249" s="66">
        <v>0</v>
      </c>
      <c r="AX249" s="66">
        <v>0</v>
      </c>
      <c r="AY249" s="66">
        <v>0</v>
      </c>
      <c r="AZ249" s="247">
        <v>0</v>
      </c>
    </row>
    <row r="250" spans="1:76" x14ac:dyDescent="0.35">
      <c r="A250" t="s">
        <v>364</v>
      </c>
      <c r="B250" t="s">
        <v>93</v>
      </c>
      <c r="C250" s="4" t="s">
        <v>181</v>
      </c>
      <c r="D250" s="4" t="s">
        <v>200</v>
      </c>
      <c r="AC250" s="66">
        <v>0</v>
      </c>
      <c r="AD250" s="66">
        <v>0</v>
      </c>
      <c r="AE250" s="66">
        <v>0</v>
      </c>
      <c r="AF250" s="68">
        <v>0</v>
      </c>
      <c r="AG250" s="66">
        <v>0</v>
      </c>
      <c r="AH250" s="66">
        <v>0</v>
      </c>
      <c r="AI250" s="66">
        <v>0</v>
      </c>
      <c r="AJ250" s="68">
        <v>0</v>
      </c>
      <c r="AK250" s="66">
        <v>0</v>
      </c>
      <c r="AL250" s="66">
        <v>0</v>
      </c>
      <c r="AM250" s="66">
        <v>0</v>
      </c>
      <c r="AN250" s="68">
        <v>0</v>
      </c>
      <c r="AO250" s="66">
        <v>0</v>
      </c>
      <c r="AP250" s="66">
        <v>0</v>
      </c>
      <c r="AQ250" s="66">
        <v>0</v>
      </c>
      <c r="AR250" s="68">
        <v>0</v>
      </c>
      <c r="AS250" s="66">
        <v>0</v>
      </c>
      <c r="AT250" s="66">
        <v>0</v>
      </c>
      <c r="AU250" s="66">
        <v>0</v>
      </c>
      <c r="AV250" s="68">
        <v>0</v>
      </c>
      <c r="AW250" s="66">
        <v>0</v>
      </c>
      <c r="AX250" s="66">
        <v>0</v>
      </c>
      <c r="AY250" s="66">
        <v>0</v>
      </c>
      <c r="AZ250" s="247">
        <v>0</v>
      </c>
    </row>
    <row r="251" spans="1:76" x14ac:dyDescent="0.35">
      <c r="A251" t="s">
        <v>201</v>
      </c>
      <c r="B251" t="s">
        <v>93</v>
      </c>
      <c r="C251" s="4" t="s">
        <v>181</v>
      </c>
      <c r="D251" s="4" t="s">
        <v>202</v>
      </c>
      <c r="AC251" s="66">
        <v>0</v>
      </c>
      <c r="AD251" s="66">
        <v>0</v>
      </c>
      <c r="AE251" s="66">
        <v>0</v>
      </c>
      <c r="AF251" s="68">
        <v>0</v>
      </c>
      <c r="AG251" s="66">
        <v>0</v>
      </c>
      <c r="AH251" s="66">
        <v>0</v>
      </c>
      <c r="AI251" s="66">
        <v>0</v>
      </c>
      <c r="AJ251" s="68">
        <v>0</v>
      </c>
      <c r="AK251" s="66">
        <v>0</v>
      </c>
      <c r="AL251" s="66">
        <v>0</v>
      </c>
      <c r="AM251" s="66">
        <v>0</v>
      </c>
      <c r="AN251" s="68">
        <v>0</v>
      </c>
      <c r="AO251" s="66">
        <v>0</v>
      </c>
      <c r="AP251" s="66">
        <v>0</v>
      </c>
      <c r="AQ251" s="66">
        <v>0</v>
      </c>
      <c r="AR251" s="68">
        <v>0</v>
      </c>
      <c r="AS251" s="66">
        <v>0</v>
      </c>
      <c r="AT251" s="66">
        <v>0</v>
      </c>
      <c r="AU251" s="66">
        <v>0</v>
      </c>
      <c r="AV251" s="68">
        <v>0</v>
      </c>
      <c r="AW251" s="66">
        <v>0</v>
      </c>
      <c r="AX251" s="66">
        <v>0</v>
      </c>
      <c r="AY251" s="66">
        <v>0</v>
      </c>
      <c r="AZ251" s="247">
        <v>0</v>
      </c>
      <c r="BA251" s="72"/>
    </row>
    <row r="252" spans="1:76" ht="15" thickBot="1" x14ac:dyDescent="0.4">
      <c r="A252" t="s">
        <v>193</v>
      </c>
      <c r="B252" t="s">
        <v>93</v>
      </c>
      <c r="C252" s="4" t="s">
        <v>145</v>
      </c>
      <c r="D252" s="4" t="s">
        <v>194</v>
      </c>
      <c r="AC252" s="69">
        <v>0</v>
      </c>
      <c r="AD252" s="70">
        <v>8.7987828585017833E-3</v>
      </c>
      <c r="AE252" s="70">
        <v>2.188358424259166E-3</v>
      </c>
      <c r="AF252" s="71">
        <v>0</v>
      </c>
      <c r="AG252" s="69">
        <v>0</v>
      </c>
      <c r="AH252" s="69">
        <v>0</v>
      </c>
      <c r="AI252" s="69">
        <v>0</v>
      </c>
      <c r="AJ252" s="71">
        <v>0</v>
      </c>
      <c r="AK252" s="69">
        <v>0</v>
      </c>
      <c r="AL252" s="69">
        <v>0</v>
      </c>
      <c r="AM252" s="69">
        <v>0</v>
      </c>
      <c r="AN252" s="71">
        <v>0</v>
      </c>
      <c r="AO252" s="69">
        <v>0</v>
      </c>
      <c r="AP252" s="69">
        <v>0</v>
      </c>
      <c r="AQ252" s="69">
        <v>0</v>
      </c>
      <c r="AR252" s="71">
        <v>0</v>
      </c>
      <c r="AS252" s="69">
        <v>0</v>
      </c>
      <c r="AT252" s="69">
        <v>0</v>
      </c>
      <c r="AU252" s="69">
        <v>0</v>
      </c>
      <c r="AV252" s="71">
        <v>0</v>
      </c>
      <c r="AW252" s="69">
        <v>0</v>
      </c>
      <c r="AX252" s="69">
        <v>0</v>
      </c>
      <c r="AY252" s="69">
        <v>0</v>
      </c>
      <c r="AZ252" s="250">
        <v>0</v>
      </c>
    </row>
    <row r="253" spans="1:76" x14ac:dyDescent="0.35">
      <c r="A253" t="s">
        <v>365</v>
      </c>
      <c r="B253" t="s">
        <v>73</v>
      </c>
      <c r="C253" s="4" t="s">
        <v>145</v>
      </c>
      <c r="D253" s="4" t="s">
        <v>72</v>
      </c>
      <c r="AC253" s="73" cm="1">
        <f t="array" ref="AC253:AF255">MMULT(AC124:AF126,MINVERSE(_xlfn.MUNIT(4)*BH28:BH31))</f>
        <v>0</v>
      </c>
      <c r="AD253" s="73">
        <v>0</v>
      </c>
      <c r="AE253" s="74">
        <v>9.2847034381941373E-3</v>
      </c>
      <c r="AF253" s="75">
        <v>0</v>
      </c>
      <c r="AG253" s="73">
        <v>0</v>
      </c>
      <c r="AH253" s="73">
        <v>0</v>
      </c>
      <c r="AI253" s="73">
        <v>0</v>
      </c>
      <c r="AJ253" s="75">
        <v>0</v>
      </c>
      <c r="AK253" s="73">
        <v>0</v>
      </c>
      <c r="AL253" s="73">
        <v>0</v>
      </c>
      <c r="AM253" s="73">
        <v>0</v>
      </c>
      <c r="AN253" s="75">
        <v>0</v>
      </c>
      <c r="AO253" s="73">
        <v>0</v>
      </c>
      <c r="AP253" s="73">
        <v>0</v>
      </c>
      <c r="AQ253" s="73">
        <v>0</v>
      </c>
      <c r="AR253" s="75">
        <v>0</v>
      </c>
      <c r="AS253" s="73">
        <v>0</v>
      </c>
      <c r="AT253" s="73">
        <v>0</v>
      </c>
      <c r="AU253" s="73">
        <v>0</v>
      </c>
      <c r="AV253" s="75">
        <v>0</v>
      </c>
      <c r="AW253" s="73">
        <v>0</v>
      </c>
      <c r="AX253" s="73">
        <v>0</v>
      </c>
      <c r="AY253" s="73">
        <v>0</v>
      </c>
      <c r="AZ253" s="251">
        <v>0</v>
      </c>
      <c r="BA253" s="76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</row>
    <row r="254" spans="1:76" x14ac:dyDescent="0.35">
      <c r="A254" t="s">
        <v>203</v>
      </c>
      <c r="B254" t="s">
        <v>73</v>
      </c>
      <c r="C254" s="4" t="s">
        <v>145</v>
      </c>
      <c r="D254" s="4" t="s">
        <v>366</v>
      </c>
      <c r="AC254" s="73">
        <v>0</v>
      </c>
      <c r="AD254" s="73">
        <v>0</v>
      </c>
      <c r="AE254" s="74">
        <v>1.0805744449389311E-5</v>
      </c>
      <c r="AF254" s="75">
        <v>0</v>
      </c>
      <c r="AG254" s="73">
        <v>0</v>
      </c>
      <c r="AH254" s="73">
        <v>0</v>
      </c>
      <c r="AI254" s="73">
        <v>0</v>
      </c>
      <c r="AJ254" s="75">
        <v>0</v>
      </c>
      <c r="AK254" s="73">
        <v>0</v>
      </c>
      <c r="AL254" s="73">
        <v>0</v>
      </c>
      <c r="AM254" s="73">
        <v>0</v>
      </c>
      <c r="AN254" s="75">
        <v>0</v>
      </c>
      <c r="AO254" s="73">
        <v>0</v>
      </c>
      <c r="AP254" s="73">
        <v>0</v>
      </c>
      <c r="AQ254" s="73">
        <v>0</v>
      </c>
      <c r="AR254" s="75">
        <v>0</v>
      </c>
      <c r="AS254" s="73">
        <v>0</v>
      </c>
      <c r="AT254" s="73">
        <v>0</v>
      </c>
      <c r="AU254" s="73">
        <v>0</v>
      </c>
      <c r="AV254" s="75">
        <v>0</v>
      </c>
      <c r="AW254" s="73">
        <v>0</v>
      </c>
      <c r="AX254" s="73">
        <v>0</v>
      </c>
      <c r="AY254" s="73">
        <v>0</v>
      </c>
      <c r="AZ254" s="251">
        <v>0</v>
      </c>
      <c r="BA254" s="76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</row>
    <row r="255" spans="1:76" x14ac:dyDescent="0.35">
      <c r="A255" t="s">
        <v>204</v>
      </c>
      <c r="B255" t="s">
        <v>73</v>
      </c>
      <c r="C255" s="4" t="s">
        <v>145</v>
      </c>
      <c r="D255" s="4" t="s">
        <v>367</v>
      </c>
      <c r="AC255" s="73">
        <v>0</v>
      </c>
      <c r="AD255" s="73">
        <v>0</v>
      </c>
      <c r="AE255" s="74">
        <v>1.9244424664985413E-8</v>
      </c>
      <c r="AF255" s="75">
        <v>0</v>
      </c>
      <c r="AG255" s="73">
        <v>0</v>
      </c>
      <c r="AH255" s="73">
        <v>0</v>
      </c>
      <c r="AI255" s="73">
        <v>0</v>
      </c>
      <c r="AJ255" s="75">
        <v>0</v>
      </c>
      <c r="AK255" s="73">
        <v>0</v>
      </c>
      <c r="AL255" s="73">
        <v>0</v>
      </c>
      <c r="AM255" s="73">
        <v>0</v>
      </c>
      <c r="AN255" s="75">
        <v>0</v>
      </c>
      <c r="AO255" s="73">
        <v>0</v>
      </c>
      <c r="AP255" s="73">
        <v>0</v>
      </c>
      <c r="AQ255" s="73">
        <v>0</v>
      </c>
      <c r="AR255" s="75">
        <v>0</v>
      </c>
      <c r="AS255" s="73">
        <v>0</v>
      </c>
      <c r="AT255" s="73">
        <v>0</v>
      </c>
      <c r="AU255" s="73">
        <v>0</v>
      </c>
      <c r="AV255" s="75">
        <v>0</v>
      </c>
      <c r="AW255" s="73">
        <v>0</v>
      </c>
      <c r="AX255" s="73">
        <v>0</v>
      </c>
      <c r="AY255" s="73">
        <v>0</v>
      </c>
      <c r="AZ255" s="251">
        <v>0</v>
      </c>
      <c r="BA255" s="76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6AA4-A7A1-4FCD-AA9B-178A6780965F}">
  <dimension ref="A1:CH299"/>
  <sheetViews>
    <sheetView zoomScale="65" zoomScaleNormal="65" workbookViewId="0">
      <pane xSplit="4" ySplit="3" topLeftCell="R4" activePane="bottomRight" state="frozen"/>
      <selection pane="topRight" activeCell="D1" sqref="D1"/>
      <selection pane="bottomLeft" activeCell="A3" sqref="A3"/>
      <selection pane="bottomRight" activeCell="Z86" sqref="Z86"/>
    </sheetView>
  </sheetViews>
  <sheetFormatPr defaultRowHeight="14.5" x14ac:dyDescent="0.35"/>
  <cols>
    <col min="1" max="1" width="37" customWidth="1"/>
    <col min="2" max="2" width="9.81640625" style="4" customWidth="1"/>
    <col min="3" max="4" width="8.7265625" style="4"/>
    <col min="5" max="5" width="10.453125" customWidth="1"/>
    <col min="6" max="6" width="13.453125" bestFit="1" customWidth="1"/>
    <col min="7" max="7" width="12.453125" bestFit="1" customWidth="1"/>
    <col min="8" max="8" width="9" bestFit="1" customWidth="1"/>
    <col min="9" max="9" width="8.81640625" customWidth="1"/>
    <col min="10" max="10" width="8.54296875" customWidth="1"/>
    <col min="11" max="11" width="12.453125" bestFit="1" customWidth="1"/>
    <col min="12" max="12" width="8.7265625" style="4"/>
    <col min="14" max="14" width="13.81640625" customWidth="1"/>
    <col min="15" max="15" width="12.1796875" customWidth="1"/>
    <col min="17" max="17" width="10.81640625" style="4" customWidth="1"/>
    <col min="18" max="18" width="12.1796875" customWidth="1"/>
    <col min="22" max="22" width="8.7265625" style="20"/>
    <col min="23" max="24" width="13.453125" bestFit="1" customWidth="1"/>
    <col min="25" max="26" width="13" bestFit="1" customWidth="1"/>
    <col min="27" max="29" width="13" customWidth="1"/>
    <col min="55" max="55" width="8.81640625" bestFit="1" customWidth="1"/>
    <col min="59" max="62" width="12.453125" customWidth="1"/>
    <col min="63" max="63" width="12.453125" bestFit="1" customWidth="1"/>
    <col min="64" max="66" width="12.453125" customWidth="1"/>
    <col min="67" max="69" width="12.453125" bestFit="1" customWidth="1"/>
    <col min="70" max="75" width="12.453125" customWidth="1"/>
    <col min="76" max="76" width="12.453125" bestFit="1" customWidth="1"/>
    <col min="77" max="77" width="13.453125" style="4" bestFit="1" customWidth="1"/>
    <col min="78" max="82" width="12.453125" style="4" bestFit="1" customWidth="1"/>
    <col min="84" max="84" width="9.54296875" customWidth="1"/>
    <col min="86" max="86" width="8.7265625" style="4"/>
  </cols>
  <sheetData>
    <row r="1" spans="1:86" s="4" customFormat="1" x14ac:dyDescent="0.35">
      <c r="A1" s="255" t="s">
        <v>358</v>
      </c>
      <c r="D1" s="19" t="s">
        <v>135</v>
      </c>
      <c r="E1" s="4" t="str" cm="1">
        <f t="array" ref="E1:BX1">TRANSPOSE(D4:D75)</f>
        <v>ST</v>
      </c>
      <c r="F1" s="4" t="str">
        <v>SR_H2</v>
      </c>
      <c r="G1" s="4" t="str">
        <v>ELE_H2</v>
      </c>
      <c r="H1" s="4" t="str">
        <v>ST</v>
      </c>
      <c r="I1" s="4" t="str">
        <v>SR_H2</v>
      </c>
      <c r="J1" s="4" t="str">
        <v>ELE_H2</v>
      </c>
      <c r="K1" s="4" t="str">
        <v>ST</v>
      </c>
      <c r="L1" s="4" t="str">
        <v>SR_H2</v>
      </c>
      <c r="M1" s="4" t="str">
        <v>ELE_H2</v>
      </c>
      <c r="N1" s="4" t="str">
        <v>ST</v>
      </c>
      <c r="O1" s="4" t="str">
        <v>SR_H2</v>
      </c>
      <c r="P1" s="4" t="str">
        <v>ELE_H2</v>
      </c>
      <c r="Q1" s="4" t="str">
        <v>ST</v>
      </c>
      <c r="R1" s="4" t="str">
        <v>SR_H2</v>
      </c>
      <c r="S1" s="4" t="str">
        <v>ELE_H2</v>
      </c>
      <c r="T1" s="4" t="str">
        <v>ST</v>
      </c>
      <c r="U1" s="4" t="str">
        <v>SR_H2</v>
      </c>
      <c r="V1" s="17" t="str">
        <v>ELE_H2</v>
      </c>
      <c r="W1" s="4" t="str">
        <v>M_ST</v>
      </c>
      <c r="X1" s="4" t="str">
        <v>H2BF_ST</v>
      </c>
      <c r="Y1" s="4" t="str">
        <v>NG_ST</v>
      </c>
      <c r="Z1" s="4" t="str">
        <v>H2_ST</v>
      </c>
      <c r="AA1" s="4" t="str">
        <v>CH_ST</v>
      </c>
      <c r="AB1" s="4" t="str">
        <v>CH_CC_ST</v>
      </c>
      <c r="AC1" s="4" t="str">
        <v>CC_ST</v>
      </c>
      <c r="AD1" s="4" t="str">
        <v>SR_H2_P</v>
      </c>
      <c r="AE1" s="4" t="str">
        <v>ELE_H2_P</v>
      </c>
      <c r="AF1" s="4" t="str">
        <v>M_ST</v>
      </c>
      <c r="AG1" s="4" t="str">
        <v>H2BF_ST</v>
      </c>
      <c r="AH1" s="4" t="str">
        <v>NG_ST</v>
      </c>
      <c r="AI1" s="4" t="str">
        <v>H2_ST</v>
      </c>
      <c r="AJ1" s="4" t="str">
        <v>CH_ST</v>
      </c>
      <c r="AK1" s="4" t="str">
        <v>CH_CC_ST</v>
      </c>
      <c r="AL1" s="4" t="str">
        <v>CC_ST</v>
      </c>
      <c r="AM1" s="4" t="str">
        <v>SR_H2_P</v>
      </c>
      <c r="AN1" s="4" t="str">
        <v>ELE_H2_P</v>
      </c>
      <c r="AO1" s="4" t="str">
        <v>M_ST</v>
      </c>
      <c r="AP1" s="4" t="str">
        <v>H2BF_ST</v>
      </c>
      <c r="AQ1" s="4" t="str">
        <v>NG_ST</v>
      </c>
      <c r="AR1" s="4" t="str">
        <v>H2_ST</v>
      </c>
      <c r="AS1" s="4" t="str">
        <v>CH_ST</v>
      </c>
      <c r="AT1" s="4" t="str">
        <v>CH_CC_ST</v>
      </c>
      <c r="AU1" s="4" t="str">
        <v>CC_ST</v>
      </c>
      <c r="AV1" s="4" t="str">
        <v>SR_H2_P</v>
      </c>
      <c r="AW1" s="4" t="str">
        <v>ELE_H2_P</v>
      </c>
      <c r="AX1" s="4" t="str">
        <v>M_ST</v>
      </c>
      <c r="AY1" s="4" t="str">
        <v>H2BF_ST</v>
      </c>
      <c r="AZ1" s="4" t="str">
        <v>NG_ST</v>
      </c>
      <c r="BA1" s="4" t="str">
        <v>H2_ST</v>
      </c>
      <c r="BB1" s="4" t="str">
        <v>CH_ST</v>
      </c>
      <c r="BC1" s="4" t="str">
        <v>CH_CC_ST</v>
      </c>
      <c r="BD1" s="4" t="str">
        <v>CC_ST</v>
      </c>
      <c r="BE1" s="4" t="str">
        <v>SR_H2_P</v>
      </c>
      <c r="BF1" s="4" t="str">
        <v>ELE_H2_P</v>
      </c>
      <c r="BG1" s="4" t="str">
        <v>M_ST</v>
      </c>
      <c r="BH1" s="4" t="str">
        <v>H2BF_ST</v>
      </c>
      <c r="BI1" s="4" t="str">
        <v>NG_ST</v>
      </c>
      <c r="BJ1" s="4" t="str">
        <v>H2_ST</v>
      </c>
      <c r="BK1" s="4" t="str">
        <v>CH_ST</v>
      </c>
      <c r="BL1" s="4" t="str">
        <v>CH_CC_ST</v>
      </c>
      <c r="BM1" s="4" t="str">
        <v>CC_ST</v>
      </c>
      <c r="BN1" s="4" t="str">
        <v>SR_H2_P</v>
      </c>
      <c r="BO1" s="4" t="str">
        <v>ELE_H2_P</v>
      </c>
      <c r="BP1" s="4" t="str">
        <v>M_ST</v>
      </c>
      <c r="BQ1" s="4" t="str">
        <v>H2BF_ST</v>
      </c>
      <c r="BR1" s="4" t="str">
        <v>NG_ST</v>
      </c>
      <c r="BS1" s="4" t="str">
        <v>H2_ST</v>
      </c>
      <c r="BT1" s="4" t="str">
        <v>CH_ST</v>
      </c>
      <c r="BU1" s="4" t="str">
        <v>CH_CC_ST</v>
      </c>
      <c r="BV1" s="4" t="str">
        <v>CC_ST</v>
      </c>
      <c r="BW1" s="4" t="str">
        <v>SR_H2_P</v>
      </c>
      <c r="BX1" s="4" t="str">
        <v>ELE_H2_P</v>
      </c>
      <c r="BY1" s="4" t="s">
        <v>359</v>
      </c>
      <c r="BZ1" s="4" t="s">
        <v>359</v>
      </c>
      <c r="CA1" s="4" t="s">
        <v>359</v>
      </c>
      <c r="CB1" s="4" t="s">
        <v>359</v>
      </c>
      <c r="CC1" s="4" t="s">
        <v>359</v>
      </c>
      <c r="CD1" s="4" t="s">
        <v>359</v>
      </c>
    </row>
    <row r="2" spans="1:86" s="4" customFormat="1" x14ac:dyDescent="0.35">
      <c r="D2" s="19" t="s">
        <v>136</v>
      </c>
      <c r="E2" s="4" t="str" cm="1">
        <f t="array" ref="E2:BX2">TRANSPOSE(B4:B75)</f>
        <v>EU27</v>
      </c>
      <c r="F2" s="4" t="str">
        <v>EU27</v>
      </c>
      <c r="G2" s="4" t="str">
        <v>EU27</v>
      </c>
      <c r="H2" s="4" t="str">
        <v>China</v>
      </c>
      <c r="I2" s="4" t="str">
        <v>China</v>
      </c>
      <c r="J2" s="4" t="str">
        <v>China</v>
      </c>
      <c r="K2" s="4" t="str">
        <v>USA</v>
      </c>
      <c r="L2" s="4" t="str">
        <v>USA</v>
      </c>
      <c r="M2" s="4" t="str">
        <v>USA</v>
      </c>
      <c r="N2" s="4" t="str">
        <v>India</v>
      </c>
      <c r="O2" s="4" t="str">
        <v>India</v>
      </c>
      <c r="P2" s="4" t="str">
        <v>India</v>
      </c>
      <c r="Q2" s="4" t="str">
        <v>Russia</v>
      </c>
      <c r="R2" s="4" t="str">
        <v>Russia</v>
      </c>
      <c r="S2" s="4" t="str">
        <v>Russia</v>
      </c>
      <c r="T2" s="4" t="str">
        <v>RoW</v>
      </c>
      <c r="U2" s="4" t="str">
        <v>RoW</v>
      </c>
      <c r="V2" s="17" t="str">
        <v>RoW</v>
      </c>
      <c r="W2" s="4" t="str">
        <v>EU27</v>
      </c>
      <c r="X2" s="4" t="str">
        <v>EU27</v>
      </c>
      <c r="Y2" s="4" t="str">
        <v>EU27</v>
      </c>
      <c r="Z2" s="4" t="str">
        <v>EU27</v>
      </c>
      <c r="AA2" s="4" t="str">
        <v>EU27</v>
      </c>
      <c r="AB2" s="4" t="str">
        <v>EU27</v>
      </c>
      <c r="AC2" s="4" t="str">
        <v>EU27</v>
      </c>
      <c r="AD2" s="4" t="str">
        <v>EU27</v>
      </c>
      <c r="AE2" s="4" t="str">
        <v>EU27</v>
      </c>
      <c r="AF2" s="4" t="str">
        <v>China</v>
      </c>
      <c r="AG2" s="4" t="str">
        <v>China</v>
      </c>
      <c r="AH2" s="4" t="str">
        <v>China</v>
      </c>
      <c r="AI2" s="4" t="str">
        <v>China</v>
      </c>
      <c r="AJ2" s="4" t="str">
        <v>China</v>
      </c>
      <c r="AK2" s="4" t="str">
        <v>China</v>
      </c>
      <c r="AL2" s="4" t="str">
        <v>China</v>
      </c>
      <c r="AM2" s="4" t="str">
        <v>China</v>
      </c>
      <c r="AN2" s="4" t="str">
        <v>China</v>
      </c>
      <c r="AO2" s="4" t="str">
        <v>USA</v>
      </c>
      <c r="AP2" s="4" t="str">
        <v>USA</v>
      </c>
      <c r="AQ2" s="4" t="str">
        <v>USA</v>
      </c>
      <c r="AR2" s="4" t="str">
        <v>USA</v>
      </c>
      <c r="AS2" s="4" t="str">
        <v>USA</v>
      </c>
      <c r="AT2" s="4" t="str">
        <v>USA</v>
      </c>
      <c r="AU2" s="4" t="str">
        <v>USA</v>
      </c>
      <c r="AV2" s="4" t="str">
        <v>USA</v>
      </c>
      <c r="AW2" s="4" t="str">
        <v>USA</v>
      </c>
      <c r="AX2" s="4" t="str">
        <v>India</v>
      </c>
      <c r="AY2" s="4" t="str">
        <v>India</v>
      </c>
      <c r="AZ2" s="4" t="str">
        <v>India</v>
      </c>
      <c r="BA2" s="4" t="str">
        <v>India</v>
      </c>
      <c r="BB2" s="4" t="str">
        <v>India</v>
      </c>
      <c r="BC2" s="4" t="str">
        <v>India</v>
      </c>
      <c r="BD2" s="4" t="str">
        <v>India</v>
      </c>
      <c r="BE2" s="4" t="str">
        <v>India</v>
      </c>
      <c r="BF2" s="4" t="str">
        <v>India</v>
      </c>
      <c r="BG2" s="4" t="str">
        <v>Russia</v>
      </c>
      <c r="BH2" s="4" t="str">
        <v>Russia</v>
      </c>
      <c r="BI2" s="4" t="str">
        <v>Russia</v>
      </c>
      <c r="BJ2" s="4" t="str">
        <v>Russia</v>
      </c>
      <c r="BK2" s="4" t="str">
        <v>Russia</v>
      </c>
      <c r="BL2" s="4" t="str">
        <v>Russia</v>
      </c>
      <c r="BM2" s="4" t="str">
        <v>Russia</v>
      </c>
      <c r="BN2" s="4" t="str">
        <v>Russia</v>
      </c>
      <c r="BO2" s="4" t="str">
        <v>Russia</v>
      </c>
      <c r="BP2" s="4" t="str">
        <v>RoW</v>
      </c>
      <c r="BQ2" s="4" t="str">
        <v>RoW</v>
      </c>
      <c r="BR2" s="4" t="str">
        <v>RoW</v>
      </c>
      <c r="BS2" s="4" t="str">
        <v>RoW</v>
      </c>
      <c r="BT2" s="4" t="str">
        <v>RoW</v>
      </c>
      <c r="BU2" s="4" t="str">
        <v>RoW</v>
      </c>
      <c r="BV2" s="4" t="str">
        <v>RoW</v>
      </c>
      <c r="BW2" s="4" t="str">
        <v>RoW</v>
      </c>
      <c r="BX2" s="4" t="str">
        <v>RoW</v>
      </c>
      <c r="BY2" s="4" t="s">
        <v>73</v>
      </c>
      <c r="BZ2" s="4" t="s">
        <v>88</v>
      </c>
      <c r="CA2" s="4" t="s">
        <v>90</v>
      </c>
      <c r="CB2" s="4" t="s">
        <v>91</v>
      </c>
      <c r="CC2" s="4" t="s">
        <v>92</v>
      </c>
      <c r="CD2" s="4" t="s">
        <v>93</v>
      </c>
      <c r="CH2" s="4" t="s">
        <v>360</v>
      </c>
    </row>
    <row r="3" spans="1:86" ht="15" thickBot="1" x14ac:dyDescent="0.4">
      <c r="A3" s="18" t="s">
        <v>137</v>
      </c>
      <c r="B3" s="19" t="s">
        <v>136</v>
      </c>
      <c r="C3" s="19" t="s">
        <v>138</v>
      </c>
      <c r="K3" s="4"/>
      <c r="L3"/>
      <c r="N3" s="4"/>
    </row>
    <row r="4" spans="1:86" x14ac:dyDescent="0.35">
      <c r="A4" t="s">
        <v>144</v>
      </c>
      <c r="B4" s="4" t="s">
        <v>73</v>
      </c>
      <c r="C4" s="4" t="s">
        <v>145</v>
      </c>
      <c r="D4" s="4" t="s">
        <v>146</v>
      </c>
      <c r="K4" s="4"/>
      <c r="L4"/>
      <c r="N4" s="4"/>
      <c r="W4" s="21" cm="1">
        <f t="array" ref="W4:AE6">[1]MSUT!$W$4:$AE$6</f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18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18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18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18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>
        <v>0</v>
      </c>
      <c r="BN4" s="21">
        <v>0</v>
      </c>
      <c r="BO4" s="181">
        <v>0</v>
      </c>
      <c r="BP4" s="21">
        <v>0</v>
      </c>
      <c r="BQ4" s="21">
        <v>0</v>
      </c>
      <c r="BR4" s="21">
        <v>0</v>
      </c>
      <c r="BS4" s="21">
        <v>0</v>
      </c>
      <c r="BT4" s="21">
        <v>0</v>
      </c>
      <c r="BU4" s="21">
        <v>0</v>
      </c>
      <c r="BV4" s="21">
        <v>0</v>
      </c>
      <c r="BW4" s="21">
        <v>0</v>
      </c>
      <c r="BX4" s="21">
        <v>0</v>
      </c>
      <c r="BY4" s="310">
        <v>7</v>
      </c>
      <c r="BZ4" s="311">
        <v>0</v>
      </c>
      <c r="CA4" s="311">
        <v>0</v>
      </c>
      <c r="CB4" s="311">
        <v>0</v>
      </c>
      <c r="CC4" s="311">
        <v>0</v>
      </c>
      <c r="CD4" s="312">
        <v>0</v>
      </c>
      <c r="CF4" s="24">
        <f>SUM(W4:CD4)</f>
        <v>7</v>
      </c>
      <c r="CH4" s="4" t="str" cm="1">
        <f t="array" ref="CH4:CH21">IF(CF4:CF21=TRANSPOSE(E150:V150),"ok","error")</f>
        <v>ok</v>
      </c>
    </row>
    <row r="5" spans="1:86" x14ac:dyDescent="0.35">
      <c r="A5" s="77" t="s">
        <v>147</v>
      </c>
      <c r="B5" s="4" t="s">
        <v>73</v>
      </c>
      <c r="C5" s="4" t="s">
        <v>148</v>
      </c>
      <c r="D5" s="4" t="s">
        <v>149</v>
      </c>
      <c r="K5" s="4"/>
      <c r="L5"/>
      <c r="N5" s="4"/>
      <c r="W5" s="21">
        <v>0</v>
      </c>
      <c r="X5" s="314">
        <v>1.8124436429215509</v>
      </c>
      <c r="Y5" s="21">
        <v>71.248513674197383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18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18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18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18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181">
        <v>0</v>
      </c>
      <c r="BP5" s="21">
        <v>0</v>
      </c>
      <c r="BQ5" s="21">
        <v>0</v>
      </c>
      <c r="BR5" s="21">
        <v>0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313">
        <v>0</v>
      </c>
      <c r="BZ5" s="311">
        <v>0</v>
      </c>
      <c r="CA5" s="311">
        <v>0</v>
      </c>
      <c r="CB5" s="311">
        <v>0</v>
      </c>
      <c r="CC5" s="311">
        <v>0</v>
      </c>
      <c r="CD5" s="312">
        <v>0</v>
      </c>
      <c r="CF5" s="26">
        <f>SUM(W5:CD5)</f>
        <v>73.060957317118934</v>
      </c>
      <c r="CH5" s="4" t="str">
        <v>ok</v>
      </c>
    </row>
    <row r="6" spans="1:86" ht="15" thickBot="1" x14ac:dyDescent="0.4">
      <c r="A6" t="s">
        <v>150</v>
      </c>
      <c r="B6" s="4" t="s">
        <v>73</v>
      </c>
      <c r="C6" s="4" t="s">
        <v>148</v>
      </c>
      <c r="D6" s="4" t="s">
        <v>151</v>
      </c>
      <c r="K6" s="4"/>
      <c r="L6"/>
      <c r="N6" s="4"/>
      <c r="W6" s="315">
        <v>0</v>
      </c>
      <c r="X6" s="316">
        <v>7.2497745716862037</v>
      </c>
      <c r="Y6" s="185">
        <v>0</v>
      </c>
      <c r="Z6" s="185">
        <v>89.864674372709345</v>
      </c>
      <c r="AA6" s="185">
        <v>0</v>
      </c>
      <c r="AB6" s="185">
        <v>0</v>
      </c>
      <c r="AC6" s="185">
        <v>0</v>
      </c>
      <c r="AD6" s="185">
        <v>0</v>
      </c>
      <c r="AE6" s="186">
        <v>0</v>
      </c>
      <c r="AF6" s="315">
        <v>0</v>
      </c>
      <c r="AG6" s="185">
        <v>0</v>
      </c>
      <c r="AH6" s="185">
        <v>0</v>
      </c>
      <c r="AI6" s="185">
        <v>0</v>
      </c>
      <c r="AJ6" s="185">
        <v>0</v>
      </c>
      <c r="AK6" s="185">
        <v>0</v>
      </c>
      <c r="AL6" s="185">
        <v>0</v>
      </c>
      <c r="AM6" s="185">
        <v>0</v>
      </c>
      <c r="AN6" s="186">
        <v>0</v>
      </c>
      <c r="AO6" s="315">
        <v>0</v>
      </c>
      <c r="AP6" s="185">
        <v>0</v>
      </c>
      <c r="AQ6" s="185">
        <v>0</v>
      </c>
      <c r="AR6" s="185">
        <v>0</v>
      </c>
      <c r="AS6" s="185">
        <v>0</v>
      </c>
      <c r="AT6" s="185">
        <v>0</v>
      </c>
      <c r="AU6" s="185">
        <v>0</v>
      </c>
      <c r="AV6" s="185">
        <v>0</v>
      </c>
      <c r="AW6" s="186">
        <v>0</v>
      </c>
      <c r="AX6" s="315">
        <v>0</v>
      </c>
      <c r="AY6" s="185">
        <v>0</v>
      </c>
      <c r="AZ6" s="185">
        <v>0</v>
      </c>
      <c r="BA6" s="185">
        <v>0</v>
      </c>
      <c r="BB6" s="185">
        <v>0</v>
      </c>
      <c r="BC6" s="185">
        <v>0</v>
      </c>
      <c r="BD6" s="185">
        <v>0</v>
      </c>
      <c r="BE6" s="185">
        <v>0</v>
      </c>
      <c r="BF6" s="186">
        <v>0</v>
      </c>
      <c r="BG6" s="315">
        <v>0</v>
      </c>
      <c r="BH6" s="185">
        <v>0</v>
      </c>
      <c r="BI6" s="185">
        <v>0</v>
      </c>
      <c r="BJ6" s="185">
        <v>0</v>
      </c>
      <c r="BK6" s="185">
        <v>0</v>
      </c>
      <c r="BL6" s="185">
        <v>0</v>
      </c>
      <c r="BM6" s="185">
        <v>0</v>
      </c>
      <c r="BN6" s="185">
        <v>0</v>
      </c>
      <c r="BO6" s="186">
        <v>0</v>
      </c>
      <c r="BP6" s="315">
        <v>0</v>
      </c>
      <c r="BQ6" s="185">
        <v>0</v>
      </c>
      <c r="BR6" s="185">
        <v>0</v>
      </c>
      <c r="BS6" s="185">
        <v>0</v>
      </c>
      <c r="BT6" s="185">
        <v>0</v>
      </c>
      <c r="BU6" s="185">
        <v>0</v>
      </c>
      <c r="BV6" s="185">
        <v>0</v>
      </c>
      <c r="BW6" s="185">
        <v>0</v>
      </c>
      <c r="BX6" s="185">
        <v>0</v>
      </c>
      <c r="BY6" s="317">
        <v>0</v>
      </c>
      <c r="BZ6" s="318">
        <v>0</v>
      </c>
      <c r="CA6" s="318">
        <v>0</v>
      </c>
      <c r="CB6" s="318">
        <v>0</v>
      </c>
      <c r="CC6" s="318">
        <v>0</v>
      </c>
      <c r="CD6" s="319">
        <v>0</v>
      </c>
      <c r="CF6" s="26">
        <f>SUM(W6:CD6)</f>
        <v>97.114448944395548</v>
      </c>
      <c r="CH6" s="4" t="str">
        <v>ok</v>
      </c>
    </row>
    <row r="7" spans="1:86" x14ac:dyDescent="0.35">
      <c r="A7" t="s">
        <v>144</v>
      </c>
      <c r="B7" s="4" t="s">
        <v>88</v>
      </c>
      <c r="C7" s="4" t="s">
        <v>145</v>
      </c>
      <c r="D7" s="4" t="s">
        <v>146</v>
      </c>
      <c r="K7" s="4"/>
      <c r="L7"/>
      <c r="N7" s="4"/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18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18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18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18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18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310">
        <v>0</v>
      </c>
      <c r="BZ7" s="311">
        <v>0</v>
      </c>
      <c r="CA7" s="311">
        <v>0</v>
      </c>
      <c r="CB7" s="311">
        <v>0</v>
      </c>
      <c r="CC7" s="311">
        <v>0</v>
      </c>
      <c r="CD7" s="312">
        <v>0</v>
      </c>
      <c r="CF7" s="25">
        <f t="shared" ref="CF7:CF21" si="0">SUM(W7:CD7)</f>
        <v>0</v>
      </c>
      <c r="CH7" s="4" t="str">
        <v>ok</v>
      </c>
    </row>
    <row r="8" spans="1:86" x14ac:dyDescent="0.35">
      <c r="A8" s="77" t="s">
        <v>147</v>
      </c>
      <c r="B8" s="4" t="s">
        <v>88</v>
      </c>
      <c r="C8" s="4" t="s">
        <v>148</v>
      </c>
      <c r="D8" s="4" t="s">
        <v>149</v>
      </c>
      <c r="K8" s="4"/>
      <c r="L8"/>
      <c r="N8" s="4"/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18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18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18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18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181">
        <v>0</v>
      </c>
      <c r="BP8" s="21">
        <v>0</v>
      </c>
      <c r="BQ8" s="21">
        <v>0</v>
      </c>
      <c r="BR8" s="21">
        <v>0</v>
      </c>
      <c r="BS8" s="21">
        <v>0</v>
      </c>
      <c r="BT8" s="21">
        <v>0</v>
      </c>
      <c r="BU8" s="21">
        <v>0</v>
      </c>
      <c r="BV8" s="21">
        <v>0</v>
      </c>
      <c r="BW8" s="21">
        <v>0</v>
      </c>
      <c r="BX8" s="21">
        <v>0</v>
      </c>
      <c r="BY8" s="310">
        <v>0</v>
      </c>
      <c r="BZ8" s="311">
        <v>0</v>
      </c>
      <c r="CA8" s="311">
        <v>0</v>
      </c>
      <c r="CB8" s="311">
        <v>0</v>
      </c>
      <c r="CC8" s="311">
        <v>0</v>
      </c>
      <c r="CD8" s="312">
        <v>0</v>
      </c>
      <c r="CF8" s="25">
        <f t="shared" si="0"/>
        <v>0</v>
      </c>
      <c r="CH8" s="4" t="str">
        <v>ok</v>
      </c>
    </row>
    <row r="9" spans="1:86" ht="15" thickBot="1" x14ac:dyDescent="0.4">
      <c r="A9" t="s">
        <v>150</v>
      </c>
      <c r="B9" s="4" t="s">
        <v>88</v>
      </c>
      <c r="C9" s="4" t="s">
        <v>148</v>
      </c>
      <c r="D9" s="4" t="s">
        <v>151</v>
      </c>
      <c r="K9" s="4"/>
      <c r="L9"/>
      <c r="N9" s="4"/>
      <c r="W9" s="185">
        <v>0</v>
      </c>
      <c r="X9" s="185">
        <v>0</v>
      </c>
      <c r="Y9" s="185">
        <v>0</v>
      </c>
      <c r="Z9" s="185">
        <v>0</v>
      </c>
      <c r="AA9" s="185">
        <v>0</v>
      </c>
      <c r="AB9" s="185">
        <v>0</v>
      </c>
      <c r="AC9" s="185">
        <v>0</v>
      </c>
      <c r="AD9" s="185">
        <v>0</v>
      </c>
      <c r="AE9" s="186">
        <v>0</v>
      </c>
      <c r="AF9" s="185">
        <v>0</v>
      </c>
      <c r="AG9" s="185">
        <v>0</v>
      </c>
      <c r="AH9" s="185">
        <v>0</v>
      </c>
      <c r="AI9" s="185">
        <v>0</v>
      </c>
      <c r="AJ9" s="185">
        <v>0</v>
      </c>
      <c r="AK9" s="185">
        <v>0</v>
      </c>
      <c r="AL9" s="185">
        <v>0</v>
      </c>
      <c r="AM9" s="185">
        <v>0</v>
      </c>
      <c r="AN9" s="186">
        <v>0</v>
      </c>
      <c r="AO9" s="185">
        <v>0</v>
      </c>
      <c r="AP9" s="185">
        <v>0</v>
      </c>
      <c r="AQ9" s="185">
        <v>0</v>
      </c>
      <c r="AR9" s="185">
        <v>0</v>
      </c>
      <c r="AS9" s="185">
        <v>0</v>
      </c>
      <c r="AT9" s="185">
        <v>0</v>
      </c>
      <c r="AU9" s="185">
        <v>0</v>
      </c>
      <c r="AV9" s="185">
        <v>0</v>
      </c>
      <c r="AW9" s="186">
        <v>0</v>
      </c>
      <c r="AX9" s="185">
        <v>0</v>
      </c>
      <c r="AY9" s="185">
        <v>0</v>
      </c>
      <c r="AZ9" s="185">
        <v>0</v>
      </c>
      <c r="BA9" s="185">
        <v>0</v>
      </c>
      <c r="BB9" s="185">
        <v>0</v>
      </c>
      <c r="BC9" s="185">
        <v>0</v>
      </c>
      <c r="BD9" s="185">
        <v>0</v>
      </c>
      <c r="BE9" s="185">
        <v>0</v>
      </c>
      <c r="BF9" s="186">
        <v>0</v>
      </c>
      <c r="BG9" s="185">
        <v>0</v>
      </c>
      <c r="BH9" s="185">
        <v>0</v>
      </c>
      <c r="BI9" s="185">
        <v>0</v>
      </c>
      <c r="BJ9" s="185">
        <v>0</v>
      </c>
      <c r="BK9" s="185">
        <v>0</v>
      </c>
      <c r="BL9" s="185">
        <v>0</v>
      </c>
      <c r="BM9" s="185">
        <v>0</v>
      </c>
      <c r="BN9" s="185">
        <v>0</v>
      </c>
      <c r="BO9" s="186">
        <v>0</v>
      </c>
      <c r="BP9" s="185">
        <v>0</v>
      </c>
      <c r="BQ9" s="185">
        <v>0</v>
      </c>
      <c r="BR9" s="185">
        <v>0</v>
      </c>
      <c r="BS9" s="185">
        <v>0</v>
      </c>
      <c r="BT9" s="185">
        <v>0</v>
      </c>
      <c r="BU9" s="185">
        <v>0</v>
      </c>
      <c r="BV9" s="185">
        <v>0</v>
      </c>
      <c r="BW9" s="185">
        <v>0</v>
      </c>
      <c r="BX9" s="185">
        <v>0</v>
      </c>
      <c r="BY9" s="317">
        <v>0</v>
      </c>
      <c r="BZ9" s="318">
        <v>0</v>
      </c>
      <c r="CA9" s="318">
        <v>0</v>
      </c>
      <c r="CB9" s="318">
        <v>0</v>
      </c>
      <c r="CC9" s="318">
        <v>0</v>
      </c>
      <c r="CD9" s="319">
        <v>0</v>
      </c>
      <c r="CF9" s="25">
        <f t="shared" si="0"/>
        <v>0</v>
      </c>
      <c r="CH9" s="4" t="str">
        <v>ok</v>
      </c>
    </row>
    <row r="10" spans="1:86" x14ac:dyDescent="0.35">
      <c r="A10" t="s">
        <v>144</v>
      </c>
      <c r="B10" s="4" t="s">
        <v>90</v>
      </c>
      <c r="C10" s="4" t="s">
        <v>145</v>
      </c>
      <c r="D10" s="4" t="s">
        <v>146</v>
      </c>
      <c r="K10" s="4"/>
      <c r="L10"/>
      <c r="N10" s="4"/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18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18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18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18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18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310">
        <v>0</v>
      </c>
      <c r="BZ10" s="311">
        <v>0</v>
      </c>
      <c r="CA10" s="311">
        <v>0</v>
      </c>
      <c r="CB10" s="311">
        <v>0</v>
      </c>
      <c r="CC10" s="311">
        <v>0</v>
      </c>
      <c r="CD10" s="312">
        <v>0</v>
      </c>
      <c r="CF10" s="25">
        <f t="shared" si="0"/>
        <v>0</v>
      </c>
      <c r="CH10" s="4" t="str">
        <v>ok</v>
      </c>
    </row>
    <row r="11" spans="1:86" x14ac:dyDescent="0.35">
      <c r="A11" s="77" t="s">
        <v>147</v>
      </c>
      <c r="B11" s="4" t="s">
        <v>90</v>
      </c>
      <c r="C11" s="4" t="s">
        <v>148</v>
      </c>
      <c r="D11" s="4" t="s">
        <v>149</v>
      </c>
      <c r="K11" s="4"/>
      <c r="L11"/>
      <c r="N11" s="4"/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18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18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18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18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181">
        <v>0</v>
      </c>
      <c r="BP11" s="21">
        <v>0</v>
      </c>
      <c r="BQ11" s="21">
        <v>0</v>
      </c>
      <c r="BR11" s="21">
        <v>0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310">
        <v>0</v>
      </c>
      <c r="BZ11" s="311">
        <v>0</v>
      </c>
      <c r="CA11" s="311">
        <v>0</v>
      </c>
      <c r="CB11" s="311">
        <v>0</v>
      </c>
      <c r="CC11" s="311">
        <v>0</v>
      </c>
      <c r="CD11" s="312">
        <v>0</v>
      </c>
      <c r="CF11" s="25">
        <f t="shared" si="0"/>
        <v>0</v>
      </c>
      <c r="CH11" s="4" t="str">
        <v>ok</v>
      </c>
    </row>
    <row r="12" spans="1:86" ht="15" thickBot="1" x14ac:dyDescent="0.4">
      <c r="A12" t="s">
        <v>150</v>
      </c>
      <c r="B12" s="4" t="s">
        <v>90</v>
      </c>
      <c r="C12" s="4" t="s">
        <v>148</v>
      </c>
      <c r="D12" s="4" t="s">
        <v>151</v>
      </c>
      <c r="K12" s="4"/>
      <c r="L12"/>
      <c r="N12" s="4"/>
      <c r="W12" s="185">
        <v>0</v>
      </c>
      <c r="X12" s="185">
        <v>0</v>
      </c>
      <c r="Y12" s="185">
        <v>0</v>
      </c>
      <c r="Z12" s="185">
        <v>0</v>
      </c>
      <c r="AA12" s="185">
        <v>0</v>
      </c>
      <c r="AB12" s="185">
        <v>0</v>
      </c>
      <c r="AC12" s="185">
        <v>0</v>
      </c>
      <c r="AD12" s="185">
        <v>0</v>
      </c>
      <c r="AE12" s="186">
        <v>0</v>
      </c>
      <c r="AF12" s="185">
        <v>0</v>
      </c>
      <c r="AG12" s="185">
        <v>0</v>
      </c>
      <c r="AH12" s="185">
        <v>0</v>
      </c>
      <c r="AI12" s="185">
        <v>0</v>
      </c>
      <c r="AJ12" s="185">
        <v>0</v>
      </c>
      <c r="AK12" s="185">
        <v>0</v>
      </c>
      <c r="AL12" s="185">
        <v>0</v>
      </c>
      <c r="AM12" s="185">
        <v>0</v>
      </c>
      <c r="AN12" s="186">
        <v>0</v>
      </c>
      <c r="AO12" s="185">
        <v>0</v>
      </c>
      <c r="AP12" s="185">
        <v>0</v>
      </c>
      <c r="AQ12" s="185">
        <v>0</v>
      </c>
      <c r="AR12" s="185">
        <v>0</v>
      </c>
      <c r="AS12" s="185">
        <v>0</v>
      </c>
      <c r="AT12" s="185">
        <v>0</v>
      </c>
      <c r="AU12" s="185">
        <v>0</v>
      </c>
      <c r="AV12" s="185">
        <v>0</v>
      </c>
      <c r="AW12" s="186">
        <v>0</v>
      </c>
      <c r="AX12" s="185">
        <v>0</v>
      </c>
      <c r="AY12" s="185">
        <v>0</v>
      </c>
      <c r="AZ12" s="185">
        <v>0</v>
      </c>
      <c r="BA12" s="185">
        <v>0</v>
      </c>
      <c r="BB12" s="185">
        <v>0</v>
      </c>
      <c r="BC12" s="185">
        <v>0</v>
      </c>
      <c r="BD12" s="185">
        <v>0</v>
      </c>
      <c r="BE12" s="185">
        <v>0</v>
      </c>
      <c r="BF12" s="186">
        <v>0</v>
      </c>
      <c r="BG12" s="185">
        <v>0</v>
      </c>
      <c r="BH12" s="185">
        <v>0</v>
      </c>
      <c r="BI12" s="185">
        <v>0</v>
      </c>
      <c r="BJ12" s="185">
        <v>0</v>
      </c>
      <c r="BK12" s="185">
        <v>0</v>
      </c>
      <c r="BL12" s="185">
        <v>0</v>
      </c>
      <c r="BM12" s="185">
        <v>0</v>
      </c>
      <c r="BN12" s="185">
        <v>0</v>
      </c>
      <c r="BO12" s="186">
        <v>0</v>
      </c>
      <c r="BP12" s="185">
        <v>0</v>
      </c>
      <c r="BQ12" s="185">
        <v>0</v>
      </c>
      <c r="BR12" s="185">
        <v>0</v>
      </c>
      <c r="BS12" s="185">
        <v>0</v>
      </c>
      <c r="BT12" s="185">
        <v>0</v>
      </c>
      <c r="BU12" s="185">
        <v>0</v>
      </c>
      <c r="BV12" s="185">
        <v>0</v>
      </c>
      <c r="BW12" s="185">
        <v>0</v>
      </c>
      <c r="BX12" s="185">
        <v>0</v>
      </c>
      <c r="BY12" s="317">
        <v>0</v>
      </c>
      <c r="BZ12" s="318">
        <v>0</v>
      </c>
      <c r="CA12" s="318">
        <v>0</v>
      </c>
      <c r="CB12" s="318">
        <v>0</v>
      </c>
      <c r="CC12" s="318">
        <v>0</v>
      </c>
      <c r="CD12" s="319">
        <v>0</v>
      </c>
      <c r="CF12" s="25">
        <f t="shared" si="0"/>
        <v>0</v>
      </c>
      <c r="CH12" s="4" t="str">
        <v>ok</v>
      </c>
    </row>
    <row r="13" spans="1:86" x14ac:dyDescent="0.35">
      <c r="A13" t="s">
        <v>144</v>
      </c>
      <c r="B13" s="4" t="s">
        <v>91</v>
      </c>
      <c r="C13" s="4" t="s">
        <v>145</v>
      </c>
      <c r="D13" s="4" t="s">
        <v>146</v>
      </c>
      <c r="K13" s="4"/>
      <c r="L13"/>
      <c r="N13" s="4"/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18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18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18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18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18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310">
        <v>0</v>
      </c>
      <c r="BZ13" s="311">
        <v>0</v>
      </c>
      <c r="CA13" s="311">
        <v>0</v>
      </c>
      <c r="CB13" s="311">
        <v>0</v>
      </c>
      <c r="CC13" s="311">
        <v>0</v>
      </c>
      <c r="CD13" s="312">
        <v>0</v>
      </c>
      <c r="CF13" s="25">
        <f t="shared" si="0"/>
        <v>0</v>
      </c>
      <c r="CH13" s="4" t="str">
        <v>ok</v>
      </c>
    </row>
    <row r="14" spans="1:86" x14ac:dyDescent="0.35">
      <c r="A14" s="77" t="s">
        <v>147</v>
      </c>
      <c r="B14" s="4" t="s">
        <v>91</v>
      </c>
      <c r="C14" s="4" t="s">
        <v>148</v>
      </c>
      <c r="D14" s="4" t="s">
        <v>149</v>
      </c>
      <c r="K14" s="4"/>
      <c r="L14"/>
      <c r="N14" s="4"/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18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18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18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18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181">
        <v>0</v>
      </c>
      <c r="BP14" s="21">
        <v>0</v>
      </c>
      <c r="BQ14" s="21">
        <v>0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310">
        <v>0</v>
      </c>
      <c r="BZ14" s="311">
        <v>0</v>
      </c>
      <c r="CA14" s="311">
        <v>0</v>
      </c>
      <c r="CB14" s="311">
        <v>0</v>
      </c>
      <c r="CC14" s="311">
        <v>0</v>
      </c>
      <c r="CD14" s="312">
        <v>0</v>
      </c>
      <c r="CF14" s="25">
        <f t="shared" si="0"/>
        <v>0</v>
      </c>
      <c r="CH14" s="4" t="str">
        <v>ok</v>
      </c>
    </row>
    <row r="15" spans="1:86" ht="15" thickBot="1" x14ac:dyDescent="0.4">
      <c r="A15" t="s">
        <v>150</v>
      </c>
      <c r="B15" s="4" t="s">
        <v>91</v>
      </c>
      <c r="C15" s="4" t="s">
        <v>148</v>
      </c>
      <c r="D15" s="4" t="s">
        <v>151</v>
      </c>
      <c r="K15" s="4"/>
      <c r="L15"/>
      <c r="N15" s="4"/>
      <c r="W15" s="185">
        <v>0</v>
      </c>
      <c r="X15" s="185">
        <v>0</v>
      </c>
      <c r="Y15" s="185">
        <v>0</v>
      </c>
      <c r="Z15" s="185">
        <v>0</v>
      </c>
      <c r="AA15" s="185">
        <v>0</v>
      </c>
      <c r="AB15" s="185">
        <v>0</v>
      </c>
      <c r="AC15" s="185">
        <v>0</v>
      </c>
      <c r="AD15" s="185">
        <v>0</v>
      </c>
      <c r="AE15" s="186">
        <v>0</v>
      </c>
      <c r="AF15" s="185">
        <v>0</v>
      </c>
      <c r="AG15" s="185">
        <v>0</v>
      </c>
      <c r="AH15" s="185">
        <v>0</v>
      </c>
      <c r="AI15" s="185">
        <v>0</v>
      </c>
      <c r="AJ15" s="185">
        <v>0</v>
      </c>
      <c r="AK15" s="185">
        <v>0</v>
      </c>
      <c r="AL15" s="185">
        <v>0</v>
      </c>
      <c r="AM15" s="185">
        <v>0</v>
      </c>
      <c r="AN15" s="186">
        <v>0</v>
      </c>
      <c r="AO15" s="185">
        <v>0</v>
      </c>
      <c r="AP15" s="185">
        <v>0</v>
      </c>
      <c r="AQ15" s="185">
        <v>0</v>
      </c>
      <c r="AR15" s="185">
        <v>0</v>
      </c>
      <c r="AS15" s="185">
        <v>0</v>
      </c>
      <c r="AT15" s="185">
        <v>0</v>
      </c>
      <c r="AU15" s="185">
        <v>0</v>
      </c>
      <c r="AV15" s="185">
        <v>0</v>
      </c>
      <c r="AW15" s="186">
        <v>0</v>
      </c>
      <c r="AX15" s="185">
        <v>0</v>
      </c>
      <c r="AY15" s="185">
        <v>0</v>
      </c>
      <c r="AZ15" s="185">
        <v>0</v>
      </c>
      <c r="BA15" s="185">
        <v>0</v>
      </c>
      <c r="BB15" s="185">
        <v>0</v>
      </c>
      <c r="BC15" s="185">
        <v>0</v>
      </c>
      <c r="BD15" s="185">
        <v>0</v>
      </c>
      <c r="BE15" s="185">
        <v>0</v>
      </c>
      <c r="BF15" s="186">
        <v>0</v>
      </c>
      <c r="BG15" s="185">
        <v>0</v>
      </c>
      <c r="BH15" s="185">
        <v>0</v>
      </c>
      <c r="BI15" s="185">
        <v>0</v>
      </c>
      <c r="BJ15" s="185">
        <v>0</v>
      </c>
      <c r="BK15" s="185">
        <v>0</v>
      </c>
      <c r="BL15" s="185">
        <v>0</v>
      </c>
      <c r="BM15" s="185">
        <v>0</v>
      </c>
      <c r="BN15" s="185">
        <v>0</v>
      </c>
      <c r="BO15" s="186">
        <v>0</v>
      </c>
      <c r="BP15" s="185">
        <v>0</v>
      </c>
      <c r="BQ15" s="185">
        <v>0</v>
      </c>
      <c r="BR15" s="185">
        <v>0</v>
      </c>
      <c r="BS15" s="185">
        <v>0</v>
      </c>
      <c r="BT15" s="185">
        <v>0</v>
      </c>
      <c r="BU15" s="185">
        <v>0</v>
      </c>
      <c r="BV15" s="185">
        <v>0</v>
      </c>
      <c r="BW15" s="185">
        <v>0</v>
      </c>
      <c r="BX15" s="185">
        <v>0</v>
      </c>
      <c r="BY15" s="317">
        <v>0</v>
      </c>
      <c r="BZ15" s="318">
        <v>0</v>
      </c>
      <c r="CA15" s="318">
        <v>0</v>
      </c>
      <c r="CB15" s="318">
        <v>0</v>
      </c>
      <c r="CC15" s="318">
        <v>0</v>
      </c>
      <c r="CD15" s="319">
        <v>0</v>
      </c>
      <c r="CF15" s="25">
        <f t="shared" si="0"/>
        <v>0</v>
      </c>
      <c r="CH15" s="4" t="str">
        <v>ok</v>
      </c>
    </row>
    <row r="16" spans="1:86" x14ac:dyDescent="0.35">
      <c r="A16" t="s">
        <v>144</v>
      </c>
      <c r="B16" s="4" t="s">
        <v>92</v>
      </c>
      <c r="C16" s="4" t="s">
        <v>145</v>
      </c>
      <c r="D16" s="4" t="s">
        <v>146</v>
      </c>
      <c r="K16" s="4"/>
      <c r="L16"/>
      <c r="N16" s="4"/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18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18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18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18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181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310">
        <v>0</v>
      </c>
      <c r="BZ16" s="311">
        <v>0</v>
      </c>
      <c r="CA16" s="311">
        <v>0</v>
      </c>
      <c r="CB16" s="311">
        <v>0</v>
      </c>
      <c r="CC16" s="311">
        <v>0</v>
      </c>
      <c r="CD16" s="312">
        <v>0</v>
      </c>
      <c r="CF16" s="25">
        <f t="shared" si="0"/>
        <v>0</v>
      </c>
      <c r="CH16" s="4" t="str">
        <v>ok</v>
      </c>
    </row>
    <row r="17" spans="1:86" x14ac:dyDescent="0.35">
      <c r="A17" s="77" t="s">
        <v>147</v>
      </c>
      <c r="B17" s="4" t="s">
        <v>92</v>
      </c>
      <c r="C17" s="4" t="s">
        <v>148</v>
      </c>
      <c r="D17" s="4" t="s">
        <v>149</v>
      </c>
      <c r="K17" s="4"/>
      <c r="L17"/>
      <c r="N17" s="4"/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18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18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18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18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181">
        <v>0</v>
      </c>
      <c r="BP17" s="21">
        <v>0</v>
      </c>
      <c r="BQ17" s="21">
        <v>0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310">
        <v>0</v>
      </c>
      <c r="BZ17" s="311">
        <v>0</v>
      </c>
      <c r="CA17" s="311">
        <v>0</v>
      </c>
      <c r="CB17" s="311">
        <v>0</v>
      </c>
      <c r="CC17" s="311">
        <v>0</v>
      </c>
      <c r="CD17" s="312">
        <v>0</v>
      </c>
      <c r="CF17" s="25">
        <f t="shared" si="0"/>
        <v>0</v>
      </c>
      <c r="CH17" s="4" t="str">
        <v>ok</v>
      </c>
    </row>
    <row r="18" spans="1:86" ht="15" thickBot="1" x14ac:dyDescent="0.4">
      <c r="A18" t="s">
        <v>150</v>
      </c>
      <c r="B18" s="4" t="s">
        <v>92</v>
      </c>
      <c r="C18" s="4" t="s">
        <v>148</v>
      </c>
      <c r="D18" s="4" t="s">
        <v>151</v>
      </c>
      <c r="K18" s="4"/>
      <c r="L18"/>
      <c r="N18" s="4"/>
      <c r="W18" s="185">
        <v>0</v>
      </c>
      <c r="X18" s="185">
        <v>0</v>
      </c>
      <c r="Y18" s="185">
        <v>0</v>
      </c>
      <c r="Z18" s="185">
        <v>0</v>
      </c>
      <c r="AA18" s="185">
        <v>0</v>
      </c>
      <c r="AB18" s="185">
        <v>0</v>
      </c>
      <c r="AC18" s="185">
        <v>0</v>
      </c>
      <c r="AD18" s="185">
        <v>0</v>
      </c>
      <c r="AE18" s="186">
        <v>0</v>
      </c>
      <c r="AF18" s="185">
        <v>0</v>
      </c>
      <c r="AG18" s="185">
        <v>0</v>
      </c>
      <c r="AH18" s="185">
        <v>0</v>
      </c>
      <c r="AI18" s="185">
        <v>0</v>
      </c>
      <c r="AJ18" s="185">
        <v>0</v>
      </c>
      <c r="AK18" s="185">
        <v>0</v>
      </c>
      <c r="AL18" s="185">
        <v>0</v>
      </c>
      <c r="AM18" s="185">
        <v>0</v>
      </c>
      <c r="AN18" s="186">
        <v>0</v>
      </c>
      <c r="AO18" s="185">
        <v>0</v>
      </c>
      <c r="AP18" s="185">
        <v>0</v>
      </c>
      <c r="AQ18" s="185">
        <v>0</v>
      </c>
      <c r="AR18" s="185">
        <v>0</v>
      </c>
      <c r="AS18" s="185">
        <v>0</v>
      </c>
      <c r="AT18" s="185">
        <v>0</v>
      </c>
      <c r="AU18" s="185">
        <v>0</v>
      </c>
      <c r="AV18" s="185">
        <v>0</v>
      </c>
      <c r="AW18" s="186">
        <v>0</v>
      </c>
      <c r="AX18" s="185">
        <v>0</v>
      </c>
      <c r="AY18" s="185">
        <v>0</v>
      </c>
      <c r="AZ18" s="185">
        <v>0</v>
      </c>
      <c r="BA18" s="185">
        <v>0</v>
      </c>
      <c r="BB18" s="185">
        <v>0</v>
      </c>
      <c r="BC18" s="185">
        <v>0</v>
      </c>
      <c r="BD18" s="185">
        <v>0</v>
      </c>
      <c r="BE18" s="185">
        <v>0</v>
      </c>
      <c r="BF18" s="186">
        <v>0</v>
      </c>
      <c r="BG18" s="185">
        <v>0</v>
      </c>
      <c r="BH18" s="185">
        <v>0</v>
      </c>
      <c r="BI18" s="185">
        <v>0</v>
      </c>
      <c r="BJ18" s="185">
        <v>0</v>
      </c>
      <c r="BK18" s="185">
        <v>0</v>
      </c>
      <c r="BL18" s="185">
        <v>0</v>
      </c>
      <c r="BM18" s="185">
        <v>0</v>
      </c>
      <c r="BN18" s="185">
        <v>0</v>
      </c>
      <c r="BO18" s="186">
        <v>0</v>
      </c>
      <c r="BP18" s="185">
        <v>0</v>
      </c>
      <c r="BQ18" s="185">
        <v>0</v>
      </c>
      <c r="BR18" s="185">
        <v>0</v>
      </c>
      <c r="BS18" s="185">
        <v>0</v>
      </c>
      <c r="BT18" s="185">
        <v>0</v>
      </c>
      <c r="BU18" s="185">
        <v>0</v>
      </c>
      <c r="BV18" s="185">
        <v>0</v>
      </c>
      <c r="BW18" s="185">
        <v>0</v>
      </c>
      <c r="BX18" s="185">
        <v>0</v>
      </c>
      <c r="BY18" s="317">
        <v>0</v>
      </c>
      <c r="BZ18" s="318">
        <v>0</v>
      </c>
      <c r="CA18" s="318">
        <v>0</v>
      </c>
      <c r="CB18" s="318">
        <v>0</v>
      </c>
      <c r="CC18" s="318">
        <v>0</v>
      </c>
      <c r="CD18" s="319">
        <v>0</v>
      </c>
      <c r="CF18" s="25">
        <f t="shared" si="0"/>
        <v>0</v>
      </c>
      <c r="CH18" s="4" t="str">
        <v>ok</v>
      </c>
    </row>
    <row r="19" spans="1:86" x14ac:dyDescent="0.35">
      <c r="A19" t="s">
        <v>144</v>
      </c>
      <c r="B19" s="4" t="s">
        <v>93</v>
      </c>
      <c r="C19" s="4" t="s">
        <v>145</v>
      </c>
      <c r="D19" s="4" t="s">
        <v>146</v>
      </c>
      <c r="E19" s="50"/>
      <c r="F19" s="50"/>
      <c r="G19" s="50"/>
      <c r="H19" s="38"/>
      <c r="I19" s="38"/>
      <c r="J19" s="38"/>
      <c r="K19" s="38"/>
      <c r="L19" s="38"/>
      <c r="M19" s="192"/>
      <c r="N19" s="38"/>
      <c r="R19" s="38"/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18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18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18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18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181">
        <v>0</v>
      </c>
      <c r="BP19" s="21">
        <v>0</v>
      </c>
      <c r="BQ19" s="21">
        <v>0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310">
        <v>0</v>
      </c>
      <c r="BZ19" s="311">
        <v>0</v>
      </c>
      <c r="CA19" s="311">
        <v>0</v>
      </c>
      <c r="CB19" s="311">
        <v>0</v>
      </c>
      <c r="CC19" s="311">
        <v>0</v>
      </c>
      <c r="CD19" s="312">
        <v>0</v>
      </c>
      <c r="CF19" s="25">
        <f t="shared" si="0"/>
        <v>0</v>
      </c>
      <c r="CH19" s="4" t="str">
        <v>ok</v>
      </c>
    </row>
    <row r="20" spans="1:86" x14ac:dyDescent="0.35">
      <c r="A20" s="77" t="s">
        <v>147</v>
      </c>
      <c r="B20" s="4" t="s">
        <v>93</v>
      </c>
      <c r="C20" s="4" t="s">
        <v>148</v>
      </c>
      <c r="D20" s="4" t="s">
        <v>149</v>
      </c>
      <c r="E20" s="50"/>
      <c r="F20" s="50"/>
      <c r="G20" s="50"/>
      <c r="H20" s="38"/>
      <c r="I20" s="38"/>
      <c r="J20" s="38"/>
      <c r="K20" s="38"/>
      <c r="L20" s="38"/>
      <c r="M20" s="192"/>
      <c r="N20" s="38"/>
      <c r="R20" s="38"/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18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18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18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18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181">
        <v>0</v>
      </c>
      <c r="BP20" s="21">
        <v>0</v>
      </c>
      <c r="BQ20" s="21">
        <v>0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310">
        <v>0</v>
      </c>
      <c r="BZ20" s="311">
        <v>0</v>
      </c>
      <c r="CA20" s="311">
        <v>0</v>
      </c>
      <c r="CB20" s="311">
        <v>0</v>
      </c>
      <c r="CC20" s="311">
        <v>0</v>
      </c>
      <c r="CD20" s="312">
        <v>0</v>
      </c>
      <c r="CF20" s="25">
        <f t="shared" si="0"/>
        <v>0</v>
      </c>
      <c r="CH20" s="4" t="str">
        <v>ok</v>
      </c>
    </row>
    <row r="21" spans="1:86" ht="15" thickBot="1" x14ac:dyDescent="0.4">
      <c r="A21" t="s">
        <v>150</v>
      </c>
      <c r="B21" s="4" t="s">
        <v>93</v>
      </c>
      <c r="C21" s="4" t="s">
        <v>148</v>
      </c>
      <c r="D21" s="4" t="s">
        <v>151</v>
      </c>
      <c r="E21" s="50"/>
      <c r="F21" s="50"/>
      <c r="G21" s="50"/>
      <c r="H21" s="38"/>
      <c r="I21" s="38"/>
      <c r="J21" s="38"/>
      <c r="K21" s="38"/>
      <c r="L21" s="38"/>
      <c r="M21" s="38"/>
      <c r="N21" s="38"/>
      <c r="R21" s="38"/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18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18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18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18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181">
        <v>0</v>
      </c>
      <c r="BP21" s="21">
        <v>0</v>
      </c>
      <c r="BQ21" s="21">
        <v>0</v>
      </c>
      <c r="BR21" s="21">
        <v>0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310">
        <v>0</v>
      </c>
      <c r="BZ21" s="311">
        <v>0</v>
      </c>
      <c r="CA21" s="311">
        <v>0</v>
      </c>
      <c r="CB21" s="311">
        <v>0</v>
      </c>
      <c r="CC21" s="311">
        <v>0</v>
      </c>
      <c r="CD21" s="312">
        <v>0</v>
      </c>
      <c r="CF21" s="25">
        <f t="shared" si="0"/>
        <v>0</v>
      </c>
      <c r="CH21" s="4" t="str">
        <v>ok</v>
      </c>
    </row>
    <row r="22" spans="1:86" s="8" customFormat="1" x14ac:dyDescent="0.35">
      <c r="A22" s="8" t="s">
        <v>368</v>
      </c>
      <c r="B22" s="320" t="s">
        <v>73</v>
      </c>
      <c r="C22" s="320" t="s">
        <v>145</v>
      </c>
      <c r="D22" s="320" t="s">
        <v>369</v>
      </c>
      <c r="E22" s="321" cm="1">
        <f t="array" ref="E22:G30">[1]MSUT!$E$22:$G$30</f>
        <v>1</v>
      </c>
      <c r="F22" s="322">
        <v>0</v>
      </c>
      <c r="G22" s="323">
        <v>0</v>
      </c>
      <c r="H22" s="321">
        <v>0</v>
      </c>
      <c r="I22" s="321">
        <v>0</v>
      </c>
      <c r="J22" s="323">
        <v>0</v>
      </c>
      <c r="K22" s="321">
        <v>0</v>
      </c>
      <c r="L22" s="321">
        <v>0</v>
      </c>
      <c r="M22" s="323">
        <v>0</v>
      </c>
      <c r="N22" s="321">
        <v>0</v>
      </c>
      <c r="O22" s="321">
        <v>0</v>
      </c>
      <c r="P22" s="323">
        <v>0</v>
      </c>
      <c r="Q22" s="321">
        <v>0</v>
      </c>
      <c r="R22" s="321">
        <v>0</v>
      </c>
      <c r="S22" s="323">
        <v>0</v>
      </c>
      <c r="T22" s="321">
        <v>0</v>
      </c>
      <c r="U22" s="321">
        <v>0</v>
      </c>
      <c r="V22" s="324">
        <v>0</v>
      </c>
      <c r="W22" s="325"/>
      <c r="X22" s="325"/>
      <c r="Y22" s="325"/>
      <c r="Z22" s="325"/>
      <c r="AA22" s="325"/>
      <c r="AB22" s="325"/>
      <c r="AC22" s="325"/>
      <c r="AD22" s="325"/>
      <c r="AE22" s="325"/>
      <c r="AF22" s="325"/>
      <c r="AG22" s="325"/>
      <c r="AH22" s="325"/>
      <c r="AI22" s="325"/>
      <c r="AJ22" s="325"/>
      <c r="AK22" s="325"/>
      <c r="AL22" s="325"/>
      <c r="AM22" s="325"/>
      <c r="AN22" s="325"/>
      <c r="BY22" s="320"/>
      <c r="BZ22" s="320"/>
      <c r="CA22" s="320"/>
      <c r="CB22" s="320"/>
      <c r="CC22" s="320"/>
      <c r="CD22" s="320"/>
      <c r="CF22" s="24">
        <f t="shared" ref="CF22:CF53" si="1">SUM(E22:V22)</f>
        <v>1</v>
      </c>
      <c r="CH22" s="320"/>
    </row>
    <row r="23" spans="1:86" x14ac:dyDescent="0.35">
      <c r="A23" t="s">
        <v>166</v>
      </c>
      <c r="B23" s="4" t="s">
        <v>73</v>
      </c>
      <c r="C23" s="4" t="s">
        <v>145</v>
      </c>
      <c r="D23" s="4" t="s">
        <v>167</v>
      </c>
      <c r="E23" s="33">
        <v>1</v>
      </c>
      <c r="F23" s="326">
        <v>0</v>
      </c>
      <c r="G23" s="199">
        <v>0</v>
      </c>
      <c r="H23" s="33">
        <v>0</v>
      </c>
      <c r="I23" s="33">
        <v>0</v>
      </c>
      <c r="J23" s="199">
        <v>0</v>
      </c>
      <c r="K23" s="33">
        <v>0</v>
      </c>
      <c r="L23" s="33">
        <v>0</v>
      </c>
      <c r="M23" s="199">
        <v>0</v>
      </c>
      <c r="N23" s="33">
        <v>0</v>
      </c>
      <c r="O23" s="33">
        <v>0</v>
      </c>
      <c r="P23" s="199">
        <v>0</v>
      </c>
      <c r="Q23" s="33">
        <v>0</v>
      </c>
      <c r="R23" s="33">
        <v>0</v>
      </c>
      <c r="S23" s="199">
        <v>0</v>
      </c>
      <c r="T23" s="33">
        <v>0</v>
      </c>
      <c r="U23" s="33">
        <v>0</v>
      </c>
      <c r="V23" s="34">
        <v>0</v>
      </c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CF23" s="25">
        <f t="shared" si="1"/>
        <v>1</v>
      </c>
    </row>
    <row r="24" spans="1:86" x14ac:dyDescent="0.35">
      <c r="A24" t="s">
        <v>156</v>
      </c>
      <c r="B24" s="4" t="s">
        <v>73</v>
      </c>
      <c r="C24" s="4" t="s">
        <v>145</v>
      </c>
      <c r="D24" s="4" t="s">
        <v>157</v>
      </c>
      <c r="E24" s="33">
        <v>1</v>
      </c>
      <c r="F24" s="326">
        <v>0</v>
      </c>
      <c r="G24" s="199">
        <v>0</v>
      </c>
      <c r="H24" s="33">
        <v>0</v>
      </c>
      <c r="I24" s="33">
        <v>0</v>
      </c>
      <c r="J24" s="199">
        <v>0</v>
      </c>
      <c r="K24" s="33">
        <v>0</v>
      </c>
      <c r="L24" s="33">
        <v>0</v>
      </c>
      <c r="M24" s="199">
        <v>0</v>
      </c>
      <c r="N24" s="33">
        <v>0</v>
      </c>
      <c r="O24" s="33">
        <v>0</v>
      </c>
      <c r="P24" s="199">
        <v>0</v>
      </c>
      <c r="Q24" s="33">
        <v>0</v>
      </c>
      <c r="R24" s="33">
        <v>0</v>
      </c>
      <c r="S24" s="199">
        <v>0</v>
      </c>
      <c r="T24" s="33">
        <v>0</v>
      </c>
      <c r="U24" s="33">
        <v>0</v>
      </c>
      <c r="V24" s="34">
        <v>0</v>
      </c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CF24" s="391">
        <f t="shared" si="1"/>
        <v>1</v>
      </c>
    </row>
    <row r="25" spans="1:86" x14ac:dyDescent="0.35">
      <c r="A25" t="s">
        <v>158</v>
      </c>
      <c r="B25" s="4" t="s">
        <v>73</v>
      </c>
      <c r="C25" s="4" t="s">
        <v>145</v>
      </c>
      <c r="D25" s="4" t="s">
        <v>159</v>
      </c>
      <c r="E25" s="33">
        <v>1</v>
      </c>
      <c r="F25" s="326">
        <v>0</v>
      </c>
      <c r="G25" s="199">
        <v>0</v>
      </c>
      <c r="H25" s="33">
        <v>0</v>
      </c>
      <c r="I25" s="33">
        <v>0</v>
      </c>
      <c r="J25" s="199">
        <v>0</v>
      </c>
      <c r="K25" s="33">
        <v>0</v>
      </c>
      <c r="L25" s="33">
        <v>0</v>
      </c>
      <c r="M25" s="199">
        <v>0</v>
      </c>
      <c r="N25" s="33">
        <v>0</v>
      </c>
      <c r="O25" s="33">
        <v>0</v>
      </c>
      <c r="P25" s="199">
        <v>0</v>
      </c>
      <c r="Q25" s="33">
        <v>0</v>
      </c>
      <c r="R25" s="33">
        <v>0</v>
      </c>
      <c r="S25" s="199">
        <v>0</v>
      </c>
      <c r="T25" s="33">
        <v>0</v>
      </c>
      <c r="U25" s="33">
        <v>0</v>
      </c>
      <c r="V25" s="34">
        <v>0</v>
      </c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CF25" s="391">
        <f t="shared" si="1"/>
        <v>1</v>
      </c>
    </row>
    <row r="26" spans="1:86" x14ac:dyDescent="0.35">
      <c r="A26" t="s">
        <v>160</v>
      </c>
      <c r="B26" s="4" t="s">
        <v>73</v>
      </c>
      <c r="C26" s="4" t="s">
        <v>145</v>
      </c>
      <c r="D26" s="4" t="s">
        <v>161</v>
      </c>
      <c r="E26" s="33">
        <v>1</v>
      </c>
      <c r="F26" s="326">
        <v>0</v>
      </c>
      <c r="G26" s="199">
        <v>0</v>
      </c>
      <c r="H26" s="33">
        <v>0</v>
      </c>
      <c r="I26" s="33">
        <v>0</v>
      </c>
      <c r="J26" s="199">
        <v>0</v>
      </c>
      <c r="K26" s="33">
        <v>0</v>
      </c>
      <c r="L26" s="33">
        <v>0</v>
      </c>
      <c r="M26" s="199">
        <v>0</v>
      </c>
      <c r="N26" s="33">
        <v>0</v>
      </c>
      <c r="O26" s="33">
        <v>0</v>
      </c>
      <c r="P26" s="199">
        <v>0</v>
      </c>
      <c r="Q26" s="33">
        <v>0</v>
      </c>
      <c r="R26" s="33">
        <v>0</v>
      </c>
      <c r="S26" s="199">
        <v>0</v>
      </c>
      <c r="T26" s="33">
        <v>0</v>
      </c>
      <c r="U26" s="33">
        <v>0</v>
      </c>
      <c r="V26" s="34">
        <v>0</v>
      </c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CF26" s="391">
        <f t="shared" si="1"/>
        <v>1</v>
      </c>
    </row>
    <row r="27" spans="1:86" x14ac:dyDescent="0.35">
      <c r="A27" t="s">
        <v>162</v>
      </c>
      <c r="B27" s="4" t="s">
        <v>73</v>
      </c>
      <c r="C27" s="4" t="s">
        <v>145</v>
      </c>
      <c r="D27" s="4" t="s">
        <v>163</v>
      </c>
      <c r="E27" s="33">
        <v>1</v>
      </c>
      <c r="F27" s="326">
        <v>0</v>
      </c>
      <c r="G27" s="199">
        <v>0</v>
      </c>
      <c r="H27" s="33">
        <v>0</v>
      </c>
      <c r="I27" s="33">
        <v>0</v>
      </c>
      <c r="J27" s="199">
        <v>0</v>
      </c>
      <c r="K27" s="33">
        <v>0</v>
      </c>
      <c r="L27" s="33">
        <v>0</v>
      </c>
      <c r="M27" s="199">
        <v>0</v>
      </c>
      <c r="N27" s="33">
        <v>0</v>
      </c>
      <c r="O27" s="33">
        <v>0</v>
      </c>
      <c r="P27" s="199">
        <v>0</v>
      </c>
      <c r="Q27" s="33">
        <v>0</v>
      </c>
      <c r="R27" s="33">
        <v>0</v>
      </c>
      <c r="S27" s="199">
        <v>0</v>
      </c>
      <c r="T27" s="33">
        <v>0</v>
      </c>
      <c r="U27" s="33">
        <v>0</v>
      </c>
      <c r="V27" s="34">
        <v>0</v>
      </c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CF27" s="391">
        <f t="shared" si="1"/>
        <v>1</v>
      </c>
    </row>
    <row r="28" spans="1:86" x14ac:dyDescent="0.35">
      <c r="A28" t="s">
        <v>164</v>
      </c>
      <c r="B28" s="4" t="s">
        <v>73</v>
      </c>
      <c r="C28" s="4" t="s">
        <v>145</v>
      </c>
      <c r="D28" s="4" t="s">
        <v>165</v>
      </c>
      <c r="E28" s="33">
        <v>1</v>
      </c>
      <c r="F28" s="326">
        <v>0</v>
      </c>
      <c r="G28" s="199">
        <v>0</v>
      </c>
      <c r="H28" s="33">
        <v>0</v>
      </c>
      <c r="I28" s="33">
        <v>0</v>
      </c>
      <c r="J28" s="199">
        <v>0</v>
      </c>
      <c r="K28" s="33">
        <v>0</v>
      </c>
      <c r="L28" s="33">
        <v>0</v>
      </c>
      <c r="M28" s="199">
        <v>0</v>
      </c>
      <c r="N28" s="33">
        <v>0</v>
      </c>
      <c r="O28" s="33">
        <v>0</v>
      </c>
      <c r="P28" s="199">
        <v>0</v>
      </c>
      <c r="Q28" s="33">
        <v>0</v>
      </c>
      <c r="R28" s="33">
        <v>0</v>
      </c>
      <c r="S28" s="199">
        <v>0</v>
      </c>
      <c r="T28" s="33">
        <v>0</v>
      </c>
      <c r="U28" s="33">
        <v>0</v>
      </c>
      <c r="V28" s="34">
        <v>0</v>
      </c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CF28" s="391">
        <f t="shared" si="1"/>
        <v>1</v>
      </c>
    </row>
    <row r="29" spans="1:86" x14ac:dyDescent="0.35">
      <c r="A29" t="s">
        <v>168</v>
      </c>
      <c r="B29" s="4" t="s">
        <v>73</v>
      </c>
      <c r="C29" s="4" t="s">
        <v>148</v>
      </c>
      <c r="D29" s="4" t="s">
        <v>169</v>
      </c>
      <c r="E29" s="33">
        <v>0</v>
      </c>
      <c r="F29" s="35">
        <v>73.060957317118934</v>
      </c>
      <c r="G29" s="327">
        <v>0</v>
      </c>
      <c r="H29" s="33">
        <v>0</v>
      </c>
      <c r="I29" s="33">
        <v>0</v>
      </c>
      <c r="J29" s="199">
        <v>0</v>
      </c>
      <c r="K29" s="33">
        <v>0</v>
      </c>
      <c r="L29" s="33">
        <v>0</v>
      </c>
      <c r="M29" s="199">
        <v>0</v>
      </c>
      <c r="N29" s="33">
        <v>0</v>
      </c>
      <c r="O29" s="33">
        <v>0</v>
      </c>
      <c r="P29" s="199">
        <v>0</v>
      </c>
      <c r="Q29" s="33">
        <v>0</v>
      </c>
      <c r="R29" s="33">
        <v>0</v>
      </c>
      <c r="S29" s="199">
        <v>0</v>
      </c>
      <c r="T29" s="33">
        <v>0</v>
      </c>
      <c r="U29" s="33">
        <v>0</v>
      </c>
      <c r="V29" s="34">
        <v>0</v>
      </c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CF29" s="26">
        <f t="shared" si="1"/>
        <v>73.060957317118934</v>
      </c>
    </row>
    <row r="30" spans="1:86" ht="15" thickBot="1" x14ac:dyDescent="0.4">
      <c r="A30" t="s">
        <v>170</v>
      </c>
      <c r="B30" s="4" t="s">
        <v>73</v>
      </c>
      <c r="C30" s="4" t="s">
        <v>148</v>
      </c>
      <c r="D30" s="4" t="s">
        <v>171</v>
      </c>
      <c r="E30" s="201">
        <v>0</v>
      </c>
      <c r="F30" s="328">
        <v>0</v>
      </c>
      <c r="G30" s="329">
        <v>97.114448944395548</v>
      </c>
      <c r="H30" s="201">
        <v>0</v>
      </c>
      <c r="I30" s="201">
        <v>0</v>
      </c>
      <c r="J30" s="202">
        <v>0</v>
      </c>
      <c r="K30" s="201">
        <v>0</v>
      </c>
      <c r="L30" s="201">
        <v>0</v>
      </c>
      <c r="M30" s="202">
        <v>0</v>
      </c>
      <c r="N30" s="201">
        <v>0</v>
      </c>
      <c r="O30" s="201">
        <v>0</v>
      </c>
      <c r="P30" s="202">
        <v>0</v>
      </c>
      <c r="Q30" s="201">
        <v>0</v>
      </c>
      <c r="R30" s="201">
        <v>0</v>
      </c>
      <c r="S30" s="202">
        <v>0</v>
      </c>
      <c r="T30" s="201">
        <v>0</v>
      </c>
      <c r="U30" s="201">
        <v>0</v>
      </c>
      <c r="V30" s="204">
        <v>0</v>
      </c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CF30" s="26">
        <f t="shared" si="1"/>
        <v>97.114448944395548</v>
      </c>
    </row>
    <row r="31" spans="1:86" x14ac:dyDescent="0.35">
      <c r="A31" t="s">
        <v>368</v>
      </c>
      <c r="B31" s="4" t="s">
        <v>88</v>
      </c>
      <c r="C31" s="4" t="s">
        <v>145</v>
      </c>
      <c r="D31" s="4" t="s">
        <v>369</v>
      </c>
      <c r="E31" s="33">
        <v>0</v>
      </c>
      <c r="F31" s="33">
        <v>0</v>
      </c>
      <c r="G31" s="199">
        <v>0</v>
      </c>
      <c r="H31" s="33">
        <v>0</v>
      </c>
      <c r="I31" s="33">
        <v>0</v>
      </c>
      <c r="J31" s="199">
        <v>0</v>
      </c>
      <c r="K31" s="33">
        <v>0</v>
      </c>
      <c r="L31" s="33">
        <v>0</v>
      </c>
      <c r="M31" s="199">
        <v>0</v>
      </c>
      <c r="N31" s="33">
        <v>0</v>
      </c>
      <c r="O31" s="33">
        <v>0</v>
      </c>
      <c r="P31" s="199">
        <v>0</v>
      </c>
      <c r="Q31" s="33">
        <v>0</v>
      </c>
      <c r="R31" s="33">
        <v>0</v>
      </c>
      <c r="S31" s="199">
        <v>0</v>
      </c>
      <c r="T31" s="33">
        <v>0</v>
      </c>
      <c r="U31" s="33">
        <v>0</v>
      </c>
      <c r="V31" s="34">
        <v>0</v>
      </c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CF31" s="25">
        <f t="shared" si="1"/>
        <v>0</v>
      </c>
    </row>
    <row r="32" spans="1:86" x14ac:dyDescent="0.35">
      <c r="A32" t="s">
        <v>166</v>
      </c>
      <c r="B32" s="4" t="s">
        <v>88</v>
      </c>
      <c r="C32" s="4" t="s">
        <v>145</v>
      </c>
      <c r="D32" s="4" t="s">
        <v>167</v>
      </c>
      <c r="E32" s="33">
        <v>0</v>
      </c>
      <c r="F32" s="33">
        <v>0</v>
      </c>
      <c r="G32" s="199">
        <v>0</v>
      </c>
      <c r="H32" s="33">
        <v>0</v>
      </c>
      <c r="I32" s="33">
        <v>0</v>
      </c>
      <c r="J32" s="199">
        <v>0</v>
      </c>
      <c r="K32" s="33">
        <v>0</v>
      </c>
      <c r="L32" s="33">
        <v>0</v>
      </c>
      <c r="M32" s="199">
        <v>0</v>
      </c>
      <c r="N32" s="33">
        <v>0</v>
      </c>
      <c r="O32" s="33">
        <v>0</v>
      </c>
      <c r="P32" s="199">
        <v>0</v>
      </c>
      <c r="Q32" s="33">
        <v>0</v>
      </c>
      <c r="R32" s="33">
        <v>0</v>
      </c>
      <c r="S32" s="199">
        <v>0</v>
      </c>
      <c r="T32" s="33">
        <v>0</v>
      </c>
      <c r="U32" s="33">
        <v>0</v>
      </c>
      <c r="V32" s="34">
        <v>0</v>
      </c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CF32" s="25">
        <f t="shared" si="1"/>
        <v>0</v>
      </c>
    </row>
    <row r="33" spans="1:84" x14ac:dyDescent="0.35">
      <c r="A33" t="s">
        <v>156</v>
      </c>
      <c r="B33" s="4" t="s">
        <v>88</v>
      </c>
      <c r="C33" s="4" t="s">
        <v>145</v>
      </c>
      <c r="D33" s="4" t="s">
        <v>157</v>
      </c>
      <c r="E33" s="33">
        <v>0</v>
      </c>
      <c r="F33" s="33">
        <v>0</v>
      </c>
      <c r="G33" s="199">
        <v>0</v>
      </c>
      <c r="H33" s="33">
        <v>0</v>
      </c>
      <c r="I33" s="33">
        <v>0</v>
      </c>
      <c r="J33" s="199">
        <v>0</v>
      </c>
      <c r="K33" s="33">
        <v>0</v>
      </c>
      <c r="L33" s="33">
        <v>0</v>
      </c>
      <c r="M33" s="199">
        <v>0</v>
      </c>
      <c r="N33" s="33">
        <v>0</v>
      </c>
      <c r="O33" s="33">
        <v>0</v>
      </c>
      <c r="P33" s="199">
        <v>0</v>
      </c>
      <c r="Q33" s="33">
        <v>0</v>
      </c>
      <c r="R33" s="33">
        <v>0</v>
      </c>
      <c r="S33" s="199">
        <v>0</v>
      </c>
      <c r="T33" s="33">
        <v>0</v>
      </c>
      <c r="U33" s="33">
        <v>0</v>
      </c>
      <c r="V33" s="34">
        <v>0</v>
      </c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CF33" s="25">
        <f t="shared" si="1"/>
        <v>0</v>
      </c>
    </row>
    <row r="34" spans="1:84" x14ac:dyDescent="0.35">
      <c r="A34" t="s">
        <v>158</v>
      </c>
      <c r="B34" s="4" t="s">
        <v>88</v>
      </c>
      <c r="C34" s="4" t="s">
        <v>145</v>
      </c>
      <c r="D34" s="4" t="s">
        <v>159</v>
      </c>
      <c r="E34" s="33">
        <v>0</v>
      </c>
      <c r="F34" s="33">
        <v>0</v>
      </c>
      <c r="G34" s="199">
        <v>0</v>
      </c>
      <c r="H34" s="33">
        <v>0</v>
      </c>
      <c r="I34" s="33">
        <v>0</v>
      </c>
      <c r="J34" s="199">
        <v>0</v>
      </c>
      <c r="K34" s="33">
        <v>0</v>
      </c>
      <c r="L34" s="33">
        <v>0</v>
      </c>
      <c r="M34" s="199">
        <v>0</v>
      </c>
      <c r="N34" s="33">
        <v>0</v>
      </c>
      <c r="O34" s="33">
        <v>0</v>
      </c>
      <c r="P34" s="199">
        <v>0</v>
      </c>
      <c r="Q34" s="33">
        <v>0</v>
      </c>
      <c r="R34" s="33">
        <v>0</v>
      </c>
      <c r="S34" s="199">
        <v>0</v>
      </c>
      <c r="T34" s="33">
        <v>0</v>
      </c>
      <c r="U34" s="33">
        <v>0</v>
      </c>
      <c r="V34" s="34">
        <v>0</v>
      </c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CF34" s="25">
        <f t="shared" si="1"/>
        <v>0</v>
      </c>
    </row>
    <row r="35" spans="1:84" x14ac:dyDescent="0.35">
      <c r="A35" t="s">
        <v>160</v>
      </c>
      <c r="B35" s="4" t="s">
        <v>88</v>
      </c>
      <c r="C35" s="4" t="s">
        <v>145</v>
      </c>
      <c r="D35" s="4" t="s">
        <v>161</v>
      </c>
      <c r="E35" s="33">
        <v>0</v>
      </c>
      <c r="F35" s="33">
        <v>0</v>
      </c>
      <c r="G35" s="199">
        <v>0</v>
      </c>
      <c r="H35" s="33">
        <v>0</v>
      </c>
      <c r="I35" s="33">
        <v>0</v>
      </c>
      <c r="J35" s="199">
        <v>0</v>
      </c>
      <c r="K35" s="33">
        <v>0</v>
      </c>
      <c r="L35" s="33">
        <v>0</v>
      </c>
      <c r="M35" s="199">
        <v>0</v>
      </c>
      <c r="N35" s="33">
        <v>0</v>
      </c>
      <c r="O35" s="33">
        <v>0</v>
      </c>
      <c r="P35" s="199">
        <v>0</v>
      </c>
      <c r="Q35" s="33">
        <v>0</v>
      </c>
      <c r="R35" s="33">
        <v>0</v>
      </c>
      <c r="S35" s="199">
        <v>0</v>
      </c>
      <c r="T35" s="33">
        <v>0</v>
      </c>
      <c r="U35" s="33">
        <v>0</v>
      </c>
      <c r="V35" s="34">
        <v>0</v>
      </c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CF35" s="25">
        <f t="shared" si="1"/>
        <v>0</v>
      </c>
    </row>
    <row r="36" spans="1:84" x14ac:dyDescent="0.35">
      <c r="A36" t="s">
        <v>162</v>
      </c>
      <c r="B36" s="4" t="s">
        <v>88</v>
      </c>
      <c r="C36" s="4" t="s">
        <v>145</v>
      </c>
      <c r="D36" s="4" t="s">
        <v>163</v>
      </c>
      <c r="E36" s="33">
        <v>0</v>
      </c>
      <c r="F36" s="33">
        <v>0</v>
      </c>
      <c r="G36" s="199">
        <v>0</v>
      </c>
      <c r="H36" s="33">
        <v>0</v>
      </c>
      <c r="I36" s="33">
        <v>0</v>
      </c>
      <c r="J36" s="199">
        <v>0</v>
      </c>
      <c r="K36" s="33">
        <v>0</v>
      </c>
      <c r="L36" s="33">
        <v>0</v>
      </c>
      <c r="M36" s="199">
        <v>0</v>
      </c>
      <c r="N36" s="33">
        <v>0</v>
      </c>
      <c r="O36" s="33">
        <v>0</v>
      </c>
      <c r="P36" s="199">
        <v>0</v>
      </c>
      <c r="Q36" s="33">
        <v>0</v>
      </c>
      <c r="R36" s="33">
        <v>0</v>
      </c>
      <c r="S36" s="199">
        <v>0</v>
      </c>
      <c r="T36" s="33">
        <v>0</v>
      </c>
      <c r="U36" s="33">
        <v>0</v>
      </c>
      <c r="V36" s="34">
        <v>0</v>
      </c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CF36" s="25">
        <f t="shared" si="1"/>
        <v>0</v>
      </c>
    </row>
    <row r="37" spans="1:84" x14ac:dyDescent="0.35">
      <c r="A37" t="s">
        <v>164</v>
      </c>
      <c r="B37" s="4" t="s">
        <v>88</v>
      </c>
      <c r="C37" s="4" t="s">
        <v>145</v>
      </c>
      <c r="D37" s="4" t="s">
        <v>165</v>
      </c>
      <c r="E37" s="33">
        <v>0</v>
      </c>
      <c r="F37" s="33">
        <v>0</v>
      </c>
      <c r="G37" s="199">
        <v>0</v>
      </c>
      <c r="H37" s="33">
        <v>0</v>
      </c>
      <c r="I37" s="33">
        <v>0</v>
      </c>
      <c r="J37" s="199">
        <v>0</v>
      </c>
      <c r="K37" s="33">
        <v>0</v>
      </c>
      <c r="L37" s="33">
        <v>0</v>
      </c>
      <c r="M37" s="199">
        <v>0</v>
      </c>
      <c r="N37" s="33">
        <v>0</v>
      </c>
      <c r="O37" s="33">
        <v>0</v>
      </c>
      <c r="P37" s="199">
        <v>0</v>
      </c>
      <c r="Q37" s="33">
        <v>0</v>
      </c>
      <c r="R37" s="33">
        <v>0</v>
      </c>
      <c r="S37" s="199">
        <v>0</v>
      </c>
      <c r="T37" s="33">
        <v>0</v>
      </c>
      <c r="U37" s="33">
        <v>0</v>
      </c>
      <c r="V37" s="34">
        <v>0</v>
      </c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CF37" s="25">
        <f t="shared" si="1"/>
        <v>0</v>
      </c>
    </row>
    <row r="38" spans="1:84" x14ac:dyDescent="0.35">
      <c r="A38" t="s">
        <v>168</v>
      </c>
      <c r="B38" s="4" t="s">
        <v>88</v>
      </c>
      <c r="C38" s="4" t="s">
        <v>148</v>
      </c>
      <c r="D38" s="4" t="s">
        <v>169</v>
      </c>
      <c r="E38" s="33">
        <v>0</v>
      </c>
      <c r="F38" s="33">
        <v>0</v>
      </c>
      <c r="G38" s="199">
        <v>0</v>
      </c>
      <c r="H38" s="33">
        <v>0</v>
      </c>
      <c r="I38" s="33">
        <v>0</v>
      </c>
      <c r="J38" s="199">
        <v>0</v>
      </c>
      <c r="K38" s="33">
        <v>0</v>
      </c>
      <c r="L38" s="33">
        <v>0</v>
      </c>
      <c r="M38" s="199">
        <v>0</v>
      </c>
      <c r="N38" s="33">
        <v>0</v>
      </c>
      <c r="O38" s="33">
        <v>0</v>
      </c>
      <c r="P38" s="199">
        <v>0</v>
      </c>
      <c r="Q38" s="33">
        <v>0</v>
      </c>
      <c r="R38" s="33">
        <v>0</v>
      </c>
      <c r="S38" s="199">
        <v>0</v>
      </c>
      <c r="T38" s="33">
        <v>0</v>
      </c>
      <c r="U38" s="33">
        <v>0</v>
      </c>
      <c r="V38" s="34">
        <v>0</v>
      </c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CF38" s="25">
        <f t="shared" si="1"/>
        <v>0</v>
      </c>
    </row>
    <row r="39" spans="1:84" ht="15" thickBot="1" x14ac:dyDescent="0.4">
      <c r="A39" t="s">
        <v>170</v>
      </c>
      <c r="B39" s="4" t="s">
        <v>88</v>
      </c>
      <c r="C39" s="4" t="s">
        <v>148</v>
      </c>
      <c r="D39" s="4" t="s">
        <v>171</v>
      </c>
      <c r="E39" s="201">
        <v>0</v>
      </c>
      <c r="F39" s="201">
        <v>0</v>
      </c>
      <c r="G39" s="202">
        <v>0</v>
      </c>
      <c r="H39" s="201">
        <v>0</v>
      </c>
      <c r="I39" s="201">
        <v>0</v>
      </c>
      <c r="J39" s="202">
        <v>0</v>
      </c>
      <c r="K39" s="201">
        <v>0</v>
      </c>
      <c r="L39" s="201">
        <v>0</v>
      </c>
      <c r="M39" s="202">
        <v>0</v>
      </c>
      <c r="N39" s="201">
        <v>0</v>
      </c>
      <c r="O39" s="201">
        <v>0</v>
      </c>
      <c r="P39" s="202">
        <v>0</v>
      </c>
      <c r="Q39" s="201">
        <v>0</v>
      </c>
      <c r="R39" s="201">
        <v>0</v>
      </c>
      <c r="S39" s="202">
        <v>0</v>
      </c>
      <c r="T39" s="201">
        <v>0</v>
      </c>
      <c r="U39" s="201">
        <v>0</v>
      </c>
      <c r="V39" s="204">
        <v>0</v>
      </c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CF39" s="25">
        <f t="shared" si="1"/>
        <v>0</v>
      </c>
    </row>
    <row r="40" spans="1:84" x14ac:dyDescent="0.35">
      <c r="A40" t="s">
        <v>368</v>
      </c>
      <c r="B40" s="4" t="s">
        <v>90</v>
      </c>
      <c r="C40" s="4" t="s">
        <v>145</v>
      </c>
      <c r="D40" s="4" t="s">
        <v>369</v>
      </c>
      <c r="E40" s="33">
        <v>0</v>
      </c>
      <c r="F40" s="33">
        <v>0</v>
      </c>
      <c r="G40" s="199">
        <v>0</v>
      </c>
      <c r="H40" s="33">
        <v>0</v>
      </c>
      <c r="I40" s="33">
        <v>0</v>
      </c>
      <c r="J40" s="199">
        <v>0</v>
      </c>
      <c r="K40" s="33">
        <v>0</v>
      </c>
      <c r="L40" s="33">
        <v>0</v>
      </c>
      <c r="M40" s="199">
        <v>0</v>
      </c>
      <c r="N40" s="33">
        <v>0</v>
      </c>
      <c r="O40" s="33">
        <v>0</v>
      </c>
      <c r="P40" s="199">
        <v>0</v>
      </c>
      <c r="Q40" s="33">
        <v>0</v>
      </c>
      <c r="R40" s="33">
        <v>0</v>
      </c>
      <c r="S40" s="199">
        <v>0</v>
      </c>
      <c r="T40" s="33">
        <v>0</v>
      </c>
      <c r="U40" s="33">
        <v>0</v>
      </c>
      <c r="V40" s="34">
        <v>0</v>
      </c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CF40" s="25">
        <f t="shared" si="1"/>
        <v>0</v>
      </c>
    </row>
    <row r="41" spans="1:84" x14ac:dyDescent="0.35">
      <c r="A41" t="s">
        <v>166</v>
      </c>
      <c r="B41" s="4" t="s">
        <v>90</v>
      </c>
      <c r="C41" s="4" t="s">
        <v>145</v>
      </c>
      <c r="D41" s="4" t="s">
        <v>167</v>
      </c>
      <c r="E41" s="33">
        <v>0</v>
      </c>
      <c r="F41" s="33">
        <v>0</v>
      </c>
      <c r="G41" s="199">
        <v>0</v>
      </c>
      <c r="H41" s="33">
        <v>0</v>
      </c>
      <c r="I41" s="33">
        <v>0</v>
      </c>
      <c r="J41" s="199">
        <v>0</v>
      </c>
      <c r="K41" s="33">
        <v>0</v>
      </c>
      <c r="L41" s="33">
        <v>0</v>
      </c>
      <c r="M41" s="199">
        <v>0</v>
      </c>
      <c r="N41" s="33">
        <v>0</v>
      </c>
      <c r="O41" s="33">
        <v>0</v>
      </c>
      <c r="P41" s="199">
        <v>0</v>
      </c>
      <c r="Q41" s="33">
        <v>0</v>
      </c>
      <c r="R41" s="33">
        <v>0</v>
      </c>
      <c r="S41" s="199">
        <v>0</v>
      </c>
      <c r="T41" s="33">
        <v>0</v>
      </c>
      <c r="U41" s="33">
        <v>0</v>
      </c>
      <c r="V41" s="34">
        <v>0</v>
      </c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CF41" s="25">
        <f t="shared" si="1"/>
        <v>0</v>
      </c>
    </row>
    <row r="42" spans="1:84" x14ac:dyDescent="0.35">
      <c r="A42" t="s">
        <v>156</v>
      </c>
      <c r="B42" s="4" t="s">
        <v>90</v>
      </c>
      <c r="C42" s="4" t="s">
        <v>145</v>
      </c>
      <c r="D42" s="4" t="s">
        <v>157</v>
      </c>
      <c r="E42" s="33">
        <v>0</v>
      </c>
      <c r="F42" s="33">
        <v>0</v>
      </c>
      <c r="G42" s="199">
        <v>0</v>
      </c>
      <c r="H42" s="33">
        <v>0</v>
      </c>
      <c r="I42" s="33">
        <v>0</v>
      </c>
      <c r="J42" s="199">
        <v>0</v>
      </c>
      <c r="K42" s="33">
        <v>0</v>
      </c>
      <c r="L42" s="33">
        <v>0</v>
      </c>
      <c r="M42" s="199">
        <v>0</v>
      </c>
      <c r="N42" s="33">
        <v>0</v>
      </c>
      <c r="O42" s="33">
        <v>0</v>
      </c>
      <c r="P42" s="199">
        <v>0</v>
      </c>
      <c r="Q42" s="33">
        <v>0</v>
      </c>
      <c r="R42" s="33">
        <v>0</v>
      </c>
      <c r="S42" s="199">
        <v>0</v>
      </c>
      <c r="T42" s="33">
        <v>0</v>
      </c>
      <c r="U42" s="33">
        <v>0</v>
      </c>
      <c r="V42" s="34">
        <v>0</v>
      </c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CF42" s="25">
        <f t="shared" si="1"/>
        <v>0</v>
      </c>
    </row>
    <row r="43" spans="1:84" x14ac:dyDescent="0.35">
      <c r="A43" t="s">
        <v>158</v>
      </c>
      <c r="B43" s="4" t="s">
        <v>90</v>
      </c>
      <c r="C43" s="4" t="s">
        <v>145</v>
      </c>
      <c r="D43" s="4" t="s">
        <v>159</v>
      </c>
      <c r="E43" s="33">
        <v>0</v>
      </c>
      <c r="F43" s="33">
        <v>0</v>
      </c>
      <c r="G43" s="199">
        <v>0</v>
      </c>
      <c r="H43" s="33">
        <v>0</v>
      </c>
      <c r="I43" s="33">
        <v>0</v>
      </c>
      <c r="J43" s="199">
        <v>0</v>
      </c>
      <c r="K43" s="33">
        <v>0</v>
      </c>
      <c r="L43" s="33">
        <v>0</v>
      </c>
      <c r="M43" s="199">
        <v>0</v>
      </c>
      <c r="N43" s="33">
        <v>0</v>
      </c>
      <c r="O43" s="33">
        <v>0</v>
      </c>
      <c r="P43" s="199">
        <v>0</v>
      </c>
      <c r="Q43" s="33">
        <v>0</v>
      </c>
      <c r="R43" s="33">
        <v>0</v>
      </c>
      <c r="S43" s="199">
        <v>0</v>
      </c>
      <c r="T43" s="33">
        <v>0</v>
      </c>
      <c r="U43" s="33">
        <v>0</v>
      </c>
      <c r="V43" s="34">
        <v>0</v>
      </c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CF43" s="25">
        <f t="shared" si="1"/>
        <v>0</v>
      </c>
    </row>
    <row r="44" spans="1:84" x14ac:dyDescent="0.35">
      <c r="A44" t="s">
        <v>160</v>
      </c>
      <c r="B44" s="4" t="s">
        <v>90</v>
      </c>
      <c r="C44" s="4" t="s">
        <v>145</v>
      </c>
      <c r="D44" s="4" t="s">
        <v>161</v>
      </c>
      <c r="E44" s="33">
        <v>0</v>
      </c>
      <c r="F44" s="33">
        <v>0</v>
      </c>
      <c r="G44" s="199">
        <v>0</v>
      </c>
      <c r="H44" s="33">
        <v>0</v>
      </c>
      <c r="I44" s="33">
        <v>0</v>
      </c>
      <c r="J44" s="199">
        <v>0</v>
      </c>
      <c r="K44" s="33">
        <v>0</v>
      </c>
      <c r="L44" s="33">
        <v>0</v>
      </c>
      <c r="M44" s="199">
        <v>0</v>
      </c>
      <c r="N44" s="33">
        <v>0</v>
      </c>
      <c r="O44" s="33">
        <v>0</v>
      </c>
      <c r="P44" s="199">
        <v>0</v>
      </c>
      <c r="Q44" s="33">
        <v>0</v>
      </c>
      <c r="R44" s="33">
        <v>0</v>
      </c>
      <c r="S44" s="199">
        <v>0</v>
      </c>
      <c r="T44" s="33">
        <v>0</v>
      </c>
      <c r="U44" s="33">
        <v>0</v>
      </c>
      <c r="V44" s="34">
        <v>0</v>
      </c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CF44" s="25">
        <f t="shared" si="1"/>
        <v>0</v>
      </c>
    </row>
    <row r="45" spans="1:84" x14ac:dyDescent="0.35">
      <c r="A45" t="s">
        <v>162</v>
      </c>
      <c r="B45" s="4" t="s">
        <v>90</v>
      </c>
      <c r="C45" s="4" t="s">
        <v>145</v>
      </c>
      <c r="D45" s="4" t="s">
        <v>163</v>
      </c>
      <c r="E45" s="33">
        <v>0</v>
      </c>
      <c r="F45" s="33">
        <v>0</v>
      </c>
      <c r="G45" s="199">
        <v>0</v>
      </c>
      <c r="H45" s="33">
        <v>0</v>
      </c>
      <c r="I45" s="33">
        <v>0</v>
      </c>
      <c r="J45" s="199">
        <v>0</v>
      </c>
      <c r="K45" s="33">
        <v>0</v>
      </c>
      <c r="L45" s="33">
        <v>0</v>
      </c>
      <c r="M45" s="199">
        <v>0</v>
      </c>
      <c r="N45" s="33">
        <v>0</v>
      </c>
      <c r="O45" s="33">
        <v>0</v>
      </c>
      <c r="P45" s="199">
        <v>0</v>
      </c>
      <c r="Q45" s="33">
        <v>0</v>
      </c>
      <c r="R45" s="33">
        <v>0</v>
      </c>
      <c r="S45" s="199">
        <v>0</v>
      </c>
      <c r="T45" s="33">
        <v>0</v>
      </c>
      <c r="U45" s="33">
        <v>0</v>
      </c>
      <c r="V45" s="34">
        <v>0</v>
      </c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CF45" s="25">
        <f t="shared" si="1"/>
        <v>0</v>
      </c>
    </row>
    <row r="46" spans="1:84" x14ac:dyDescent="0.35">
      <c r="A46" t="s">
        <v>164</v>
      </c>
      <c r="B46" s="4" t="s">
        <v>90</v>
      </c>
      <c r="C46" s="4" t="s">
        <v>145</v>
      </c>
      <c r="D46" s="4" t="s">
        <v>165</v>
      </c>
      <c r="E46" s="33">
        <v>0</v>
      </c>
      <c r="F46" s="33">
        <v>0</v>
      </c>
      <c r="G46" s="199">
        <v>0</v>
      </c>
      <c r="H46" s="33">
        <v>0</v>
      </c>
      <c r="I46" s="33">
        <v>0</v>
      </c>
      <c r="J46" s="199">
        <v>0</v>
      </c>
      <c r="K46" s="33">
        <v>0</v>
      </c>
      <c r="L46" s="33">
        <v>0</v>
      </c>
      <c r="M46" s="199">
        <v>0</v>
      </c>
      <c r="N46" s="33">
        <v>0</v>
      </c>
      <c r="O46" s="33">
        <v>0</v>
      </c>
      <c r="P46" s="199">
        <v>0</v>
      </c>
      <c r="Q46" s="33">
        <v>0</v>
      </c>
      <c r="R46" s="33">
        <v>0</v>
      </c>
      <c r="S46" s="199">
        <v>0</v>
      </c>
      <c r="T46" s="33">
        <v>0</v>
      </c>
      <c r="U46" s="33">
        <v>0</v>
      </c>
      <c r="V46" s="34">
        <v>0</v>
      </c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CF46" s="25">
        <f t="shared" si="1"/>
        <v>0</v>
      </c>
    </row>
    <row r="47" spans="1:84" x14ac:dyDescent="0.35">
      <c r="A47" t="s">
        <v>370</v>
      </c>
      <c r="B47" s="4" t="s">
        <v>90</v>
      </c>
      <c r="C47" s="4" t="s">
        <v>148</v>
      </c>
      <c r="D47" s="4" t="s">
        <v>169</v>
      </c>
      <c r="E47" s="33">
        <v>0</v>
      </c>
      <c r="F47" s="33">
        <v>0</v>
      </c>
      <c r="G47" s="199">
        <v>0</v>
      </c>
      <c r="H47" s="33">
        <v>0</v>
      </c>
      <c r="I47" s="33">
        <v>0</v>
      </c>
      <c r="J47" s="199">
        <v>0</v>
      </c>
      <c r="K47" s="33">
        <v>0</v>
      </c>
      <c r="L47" s="33">
        <v>0</v>
      </c>
      <c r="M47" s="199">
        <v>0</v>
      </c>
      <c r="N47" s="33">
        <v>0</v>
      </c>
      <c r="O47" s="33">
        <v>0</v>
      </c>
      <c r="P47" s="199">
        <v>0</v>
      </c>
      <c r="Q47" s="33">
        <v>0</v>
      </c>
      <c r="R47" s="33">
        <v>0</v>
      </c>
      <c r="S47" s="199">
        <v>0</v>
      </c>
      <c r="T47" s="33">
        <v>0</v>
      </c>
      <c r="U47" s="33">
        <v>0</v>
      </c>
      <c r="V47" s="34">
        <v>0</v>
      </c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CF47" s="25">
        <f t="shared" si="1"/>
        <v>0</v>
      </c>
    </row>
    <row r="48" spans="1:84" ht="15" thickBot="1" x14ac:dyDescent="0.4">
      <c r="A48" t="s">
        <v>170</v>
      </c>
      <c r="B48" s="4" t="s">
        <v>90</v>
      </c>
      <c r="C48" s="4" t="s">
        <v>148</v>
      </c>
      <c r="D48" s="4" t="s">
        <v>171</v>
      </c>
      <c r="E48" s="201">
        <v>0</v>
      </c>
      <c r="F48" s="201">
        <v>0</v>
      </c>
      <c r="G48" s="202">
        <v>0</v>
      </c>
      <c r="H48" s="201">
        <v>0</v>
      </c>
      <c r="I48" s="201">
        <v>0</v>
      </c>
      <c r="J48" s="202">
        <v>0</v>
      </c>
      <c r="K48" s="201">
        <v>0</v>
      </c>
      <c r="L48" s="201">
        <v>0</v>
      </c>
      <c r="M48" s="202">
        <v>0</v>
      </c>
      <c r="N48" s="201">
        <v>0</v>
      </c>
      <c r="O48" s="201">
        <v>0</v>
      </c>
      <c r="P48" s="202">
        <v>0</v>
      </c>
      <c r="Q48" s="201">
        <v>0</v>
      </c>
      <c r="R48" s="201">
        <v>0</v>
      </c>
      <c r="S48" s="202">
        <v>0</v>
      </c>
      <c r="T48" s="201">
        <v>0</v>
      </c>
      <c r="U48" s="201">
        <v>0</v>
      </c>
      <c r="V48" s="204">
        <v>0</v>
      </c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CF48" s="25">
        <f t="shared" si="1"/>
        <v>0</v>
      </c>
    </row>
    <row r="49" spans="1:84" x14ac:dyDescent="0.35">
      <c r="A49" t="s">
        <v>368</v>
      </c>
      <c r="B49" s="4" t="s">
        <v>91</v>
      </c>
      <c r="C49" s="4" t="s">
        <v>145</v>
      </c>
      <c r="D49" s="4" t="s">
        <v>369</v>
      </c>
      <c r="E49" s="33">
        <v>0</v>
      </c>
      <c r="F49" s="33">
        <v>0</v>
      </c>
      <c r="G49" s="199">
        <v>0</v>
      </c>
      <c r="H49" s="33">
        <v>0</v>
      </c>
      <c r="I49" s="33">
        <v>0</v>
      </c>
      <c r="J49" s="199">
        <v>0</v>
      </c>
      <c r="K49" s="33">
        <v>0</v>
      </c>
      <c r="L49" s="33">
        <v>0</v>
      </c>
      <c r="M49" s="199">
        <v>0</v>
      </c>
      <c r="N49" s="33">
        <v>0</v>
      </c>
      <c r="O49" s="33">
        <v>0</v>
      </c>
      <c r="P49" s="199">
        <v>0</v>
      </c>
      <c r="Q49" s="33">
        <v>0</v>
      </c>
      <c r="R49" s="33">
        <v>0</v>
      </c>
      <c r="S49" s="199">
        <v>0</v>
      </c>
      <c r="T49" s="33">
        <v>0</v>
      </c>
      <c r="U49" s="33">
        <v>0</v>
      </c>
      <c r="V49" s="34">
        <v>0</v>
      </c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CF49" s="25">
        <f t="shared" si="1"/>
        <v>0</v>
      </c>
    </row>
    <row r="50" spans="1:84" x14ac:dyDescent="0.35">
      <c r="A50" t="s">
        <v>166</v>
      </c>
      <c r="B50" s="4" t="s">
        <v>91</v>
      </c>
      <c r="C50" s="4" t="s">
        <v>145</v>
      </c>
      <c r="D50" s="4" t="s">
        <v>167</v>
      </c>
      <c r="E50" s="33">
        <v>0</v>
      </c>
      <c r="F50" s="33">
        <v>0</v>
      </c>
      <c r="G50" s="199">
        <v>0</v>
      </c>
      <c r="H50" s="33">
        <v>0</v>
      </c>
      <c r="I50" s="33">
        <v>0</v>
      </c>
      <c r="J50" s="199">
        <v>0</v>
      </c>
      <c r="K50" s="33">
        <v>0</v>
      </c>
      <c r="L50" s="33">
        <v>0</v>
      </c>
      <c r="M50" s="199">
        <v>0</v>
      </c>
      <c r="N50" s="33">
        <v>0</v>
      </c>
      <c r="O50" s="33">
        <v>0</v>
      </c>
      <c r="P50" s="199">
        <v>0</v>
      </c>
      <c r="Q50" s="33">
        <v>0</v>
      </c>
      <c r="R50" s="33">
        <v>0</v>
      </c>
      <c r="S50" s="199">
        <v>0</v>
      </c>
      <c r="T50" s="33">
        <v>0</v>
      </c>
      <c r="U50" s="33">
        <v>0</v>
      </c>
      <c r="V50" s="34">
        <v>0</v>
      </c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CF50" s="25">
        <f t="shared" si="1"/>
        <v>0</v>
      </c>
    </row>
    <row r="51" spans="1:84" x14ac:dyDescent="0.35">
      <c r="A51" t="s">
        <v>156</v>
      </c>
      <c r="B51" s="4" t="s">
        <v>91</v>
      </c>
      <c r="C51" s="4" t="s">
        <v>145</v>
      </c>
      <c r="D51" s="4" t="s">
        <v>157</v>
      </c>
      <c r="E51" s="33">
        <v>0</v>
      </c>
      <c r="F51" s="33">
        <v>0</v>
      </c>
      <c r="G51" s="199">
        <v>0</v>
      </c>
      <c r="H51" s="33">
        <v>0</v>
      </c>
      <c r="I51" s="33">
        <v>0</v>
      </c>
      <c r="J51" s="199">
        <v>0</v>
      </c>
      <c r="K51" s="33">
        <v>0</v>
      </c>
      <c r="L51" s="33">
        <v>0</v>
      </c>
      <c r="M51" s="199">
        <v>0</v>
      </c>
      <c r="N51" s="33">
        <v>0</v>
      </c>
      <c r="O51" s="33">
        <v>0</v>
      </c>
      <c r="P51" s="199">
        <v>0</v>
      </c>
      <c r="Q51" s="33">
        <v>0</v>
      </c>
      <c r="R51" s="33">
        <v>0</v>
      </c>
      <c r="S51" s="199">
        <v>0</v>
      </c>
      <c r="T51" s="33">
        <v>0</v>
      </c>
      <c r="U51" s="33">
        <v>0</v>
      </c>
      <c r="V51" s="34">
        <v>0</v>
      </c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CF51" s="25">
        <f t="shared" si="1"/>
        <v>0</v>
      </c>
    </row>
    <row r="52" spans="1:84" x14ac:dyDescent="0.35">
      <c r="A52" t="s">
        <v>158</v>
      </c>
      <c r="B52" s="4" t="s">
        <v>91</v>
      </c>
      <c r="C52" s="4" t="s">
        <v>145</v>
      </c>
      <c r="D52" s="4" t="s">
        <v>159</v>
      </c>
      <c r="E52" s="33">
        <v>0</v>
      </c>
      <c r="F52" s="33">
        <v>0</v>
      </c>
      <c r="G52" s="199">
        <v>0</v>
      </c>
      <c r="H52" s="33">
        <v>0</v>
      </c>
      <c r="I52" s="33">
        <v>0</v>
      </c>
      <c r="J52" s="199">
        <v>0</v>
      </c>
      <c r="K52" s="33">
        <v>0</v>
      </c>
      <c r="L52" s="33">
        <v>0</v>
      </c>
      <c r="M52" s="199">
        <v>0</v>
      </c>
      <c r="N52" s="33">
        <v>0</v>
      </c>
      <c r="O52" s="33">
        <v>0</v>
      </c>
      <c r="P52" s="199">
        <v>0</v>
      </c>
      <c r="Q52" s="33">
        <v>0</v>
      </c>
      <c r="R52" s="33">
        <v>0</v>
      </c>
      <c r="S52" s="199">
        <v>0</v>
      </c>
      <c r="T52" s="33">
        <v>0</v>
      </c>
      <c r="U52" s="33">
        <v>0</v>
      </c>
      <c r="V52" s="34">
        <v>0</v>
      </c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CF52" s="25">
        <f t="shared" si="1"/>
        <v>0</v>
      </c>
    </row>
    <row r="53" spans="1:84" x14ac:dyDescent="0.35">
      <c r="A53" t="s">
        <v>160</v>
      </c>
      <c r="B53" s="4" t="s">
        <v>91</v>
      </c>
      <c r="C53" s="4" t="s">
        <v>145</v>
      </c>
      <c r="D53" s="4" t="s">
        <v>161</v>
      </c>
      <c r="E53" s="33">
        <v>0</v>
      </c>
      <c r="F53" s="33">
        <v>0</v>
      </c>
      <c r="G53" s="199">
        <v>0</v>
      </c>
      <c r="H53" s="33">
        <v>0</v>
      </c>
      <c r="I53" s="33">
        <v>0</v>
      </c>
      <c r="J53" s="199">
        <v>0</v>
      </c>
      <c r="K53" s="33">
        <v>0</v>
      </c>
      <c r="L53" s="33">
        <v>0</v>
      </c>
      <c r="M53" s="199">
        <v>0</v>
      </c>
      <c r="N53" s="33">
        <v>0</v>
      </c>
      <c r="O53" s="33">
        <v>0</v>
      </c>
      <c r="P53" s="199">
        <v>0</v>
      </c>
      <c r="Q53" s="33">
        <v>0</v>
      </c>
      <c r="R53" s="33">
        <v>0</v>
      </c>
      <c r="S53" s="199">
        <v>0</v>
      </c>
      <c r="T53" s="33">
        <v>0</v>
      </c>
      <c r="U53" s="33">
        <v>0</v>
      </c>
      <c r="V53" s="34">
        <v>0</v>
      </c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CF53" s="25">
        <f t="shared" si="1"/>
        <v>0</v>
      </c>
    </row>
    <row r="54" spans="1:84" x14ac:dyDescent="0.35">
      <c r="A54" t="s">
        <v>162</v>
      </c>
      <c r="B54" s="4" t="s">
        <v>91</v>
      </c>
      <c r="C54" s="4" t="s">
        <v>145</v>
      </c>
      <c r="D54" s="4" t="s">
        <v>163</v>
      </c>
      <c r="E54" s="33">
        <v>0</v>
      </c>
      <c r="F54" s="33">
        <v>0</v>
      </c>
      <c r="G54" s="199">
        <v>0</v>
      </c>
      <c r="H54" s="33">
        <v>0</v>
      </c>
      <c r="I54" s="33">
        <v>0</v>
      </c>
      <c r="J54" s="199">
        <v>0</v>
      </c>
      <c r="K54" s="33">
        <v>0</v>
      </c>
      <c r="L54" s="33">
        <v>0</v>
      </c>
      <c r="M54" s="199">
        <v>0</v>
      </c>
      <c r="N54" s="33">
        <v>0</v>
      </c>
      <c r="O54" s="33">
        <v>0</v>
      </c>
      <c r="P54" s="199">
        <v>0</v>
      </c>
      <c r="Q54" s="33">
        <v>0</v>
      </c>
      <c r="R54" s="33">
        <v>0</v>
      </c>
      <c r="S54" s="199">
        <v>0</v>
      </c>
      <c r="T54" s="33">
        <v>0</v>
      </c>
      <c r="U54" s="33">
        <v>0</v>
      </c>
      <c r="V54" s="34">
        <v>0</v>
      </c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CF54" s="25">
        <f t="shared" ref="CF54:CF75" si="2">SUM(E54:V54)</f>
        <v>0</v>
      </c>
    </row>
    <row r="55" spans="1:84" x14ac:dyDescent="0.35">
      <c r="A55" t="s">
        <v>164</v>
      </c>
      <c r="B55" s="4" t="s">
        <v>91</v>
      </c>
      <c r="C55" s="4" t="s">
        <v>145</v>
      </c>
      <c r="D55" s="4" t="s">
        <v>165</v>
      </c>
      <c r="E55" s="33">
        <v>0</v>
      </c>
      <c r="F55" s="33">
        <v>0</v>
      </c>
      <c r="G55" s="199">
        <v>0</v>
      </c>
      <c r="H55" s="33">
        <v>0</v>
      </c>
      <c r="I55" s="33">
        <v>0</v>
      </c>
      <c r="J55" s="199">
        <v>0</v>
      </c>
      <c r="K55" s="33">
        <v>0</v>
      </c>
      <c r="L55" s="33">
        <v>0</v>
      </c>
      <c r="M55" s="199">
        <v>0</v>
      </c>
      <c r="N55" s="33">
        <v>0</v>
      </c>
      <c r="O55" s="33">
        <v>0</v>
      </c>
      <c r="P55" s="199">
        <v>0</v>
      </c>
      <c r="Q55" s="33">
        <v>0</v>
      </c>
      <c r="R55" s="33">
        <v>0</v>
      </c>
      <c r="S55" s="199">
        <v>0</v>
      </c>
      <c r="T55" s="33">
        <v>0</v>
      </c>
      <c r="U55" s="33">
        <v>0</v>
      </c>
      <c r="V55" s="34">
        <v>0</v>
      </c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CF55" s="25">
        <f t="shared" si="2"/>
        <v>0</v>
      </c>
    </row>
    <row r="56" spans="1:84" x14ac:dyDescent="0.35">
      <c r="A56" t="s">
        <v>168</v>
      </c>
      <c r="B56" s="4" t="s">
        <v>91</v>
      </c>
      <c r="C56" s="4" t="s">
        <v>148</v>
      </c>
      <c r="D56" s="4" t="s">
        <v>169</v>
      </c>
      <c r="E56" s="33">
        <v>0</v>
      </c>
      <c r="F56" s="33">
        <v>0</v>
      </c>
      <c r="G56" s="199">
        <v>0</v>
      </c>
      <c r="H56" s="33">
        <v>0</v>
      </c>
      <c r="I56" s="33">
        <v>0</v>
      </c>
      <c r="J56" s="199">
        <v>0</v>
      </c>
      <c r="K56" s="33">
        <v>0</v>
      </c>
      <c r="L56" s="33">
        <v>0</v>
      </c>
      <c r="M56" s="199">
        <v>0</v>
      </c>
      <c r="N56" s="33">
        <v>0</v>
      </c>
      <c r="O56" s="33">
        <v>0</v>
      </c>
      <c r="P56" s="199">
        <v>0</v>
      </c>
      <c r="Q56" s="33">
        <v>0</v>
      </c>
      <c r="R56" s="33">
        <v>0</v>
      </c>
      <c r="S56" s="199">
        <v>0</v>
      </c>
      <c r="T56" s="33">
        <v>0</v>
      </c>
      <c r="U56" s="33">
        <v>0</v>
      </c>
      <c r="V56" s="34">
        <v>0</v>
      </c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CF56" s="25">
        <f t="shared" si="2"/>
        <v>0</v>
      </c>
    </row>
    <row r="57" spans="1:84" ht="15" thickBot="1" x14ac:dyDescent="0.4">
      <c r="A57" t="s">
        <v>170</v>
      </c>
      <c r="B57" s="4" t="s">
        <v>91</v>
      </c>
      <c r="C57" s="4" t="s">
        <v>148</v>
      </c>
      <c r="D57" s="4" t="s">
        <v>171</v>
      </c>
      <c r="E57" s="201">
        <v>0</v>
      </c>
      <c r="F57" s="201">
        <v>0</v>
      </c>
      <c r="G57" s="202">
        <v>0</v>
      </c>
      <c r="H57" s="201">
        <v>0</v>
      </c>
      <c r="I57" s="201">
        <v>0</v>
      </c>
      <c r="J57" s="202">
        <v>0</v>
      </c>
      <c r="K57" s="201">
        <v>0</v>
      </c>
      <c r="L57" s="201">
        <v>0</v>
      </c>
      <c r="M57" s="202">
        <v>0</v>
      </c>
      <c r="N57" s="201">
        <v>0</v>
      </c>
      <c r="O57" s="201">
        <v>0</v>
      </c>
      <c r="P57" s="202">
        <v>0</v>
      </c>
      <c r="Q57" s="201">
        <v>0</v>
      </c>
      <c r="R57" s="201">
        <v>0</v>
      </c>
      <c r="S57" s="202">
        <v>0</v>
      </c>
      <c r="T57" s="201">
        <v>0</v>
      </c>
      <c r="U57" s="201">
        <v>0</v>
      </c>
      <c r="V57" s="204">
        <v>0</v>
      </c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CF57" s="25">
        <f t="shared" si="2"/>
        <v>0</v>
      </c>
    </row>
    <row r="58" spans="1:84" x14ac:dyDescent="0.35">
      <c r="A58" t="s">
        <v>368</v>
      </c>
      <c r="B58" s="4" t="s">
        <v>92</v>
      </c>
      <c r="C58" s="4" t="s">
        <v>145</v>
      </c>
      <c r="D58" s="4" t="s">
        <v>369</v>
      </c>
      <c r="E58" s="33">
        <v>0</v>
      </c>
      <c r="F58" s="33">
        <v>0</v>
      </c>
      <c r="G58" s="199">
        <v>0</v>
      </c>
      <c r="H58" s="33">
        <v>0</v>
      </c>
      <c r="I58" s="33">
        <v>0</v>
      </c>
      <c r="J58" s="199">
        <v>0</v>
      </c>
      <c r="K58" s="33">
        <v>0</v>
      </c>
      <c r="L58" s="33">
        <v>0</v>
      </c>
      <c r="M58" s="199">
        <v>0</v>
      </c>
      <c r="N58" s="33">
        <v>0</v>
      </c>
      <c r="O58" s="33">
        <v>0</v>
      </c>
      <c r="P58" s="199">
        <v>0</v>
      </c>
      <c r="Q58" s="33">
        <v>0</v>
      </c>
      <c r="R58" s="33">
        <v>0</v>
      </c>
      <c r="S58" s="199">
        <v>0</v>
      </c>
      <c r="T58" s="33">
        <v>0</v>
      </c>
      <c r="U58" s="33">
        <v>0</v>
      </c>
      <c r="V58" s="34">
        <v>0</v>
      </c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CF58" s="25">
        <f t="shared" si="2"/>
        <v>0</v>
      </c>
    </row>
    <row r="59" spans="1:84" x14ac:dyDescent="0.35">
      <c r="A59" t="s">
        <v>166</v>
      </c>
      <c r="B59" s="4" t="s">
        <v>92</v>
      </c>
      <c r="C59" s="4" t="s">
        <v>145</v>
      </c>
      <c r="D59" s="4" t="s">
        <v>167</v>
      </c>
      <c r="E59" s="33">
        <v>0</v>
      </c>
      <c r="F59" s="33">
        <v>0</v>
      </c>
      <c r="G59" s="199">
        <v>0</v>
      </c>
      <c r="H59" s="33">
        <v>0</v>
      </c>
      <c r="I59" s="33">
        <v>0</v>
      </c>
      <c r="J59" s="199">
        <v>0</v>
      </c>
      <c r="K59" s="33">
        <v>0</v>
      </c>
      <c r="L59" s="33">
        <v>0</v>
      </c>
      <c r="M59" s="199">
        <v>0</v>
      </c>
      <c r="N59" s="33">
        <v>0</v>
      </c>
      <c r="O59" s="33">
        <v>0</v>
      </c>
      <c r="P59" s="199">
        <v>0</v>
      </c>
      <c r="Q59" s="33">
        <v>0</v>
      </c>
      <c r="R59" s="33">
        <v>0</v>
      </c>
      <c r="S59" s="199">
        <v>0</v>
      </c>
      <c r="T59" s="33">
        <v>0</v>
      </c>
      <c r="U59" s="33">
        <v>0</v>
      </c>
      <c r="V59" s="34">
        <v>0</v>
      </c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CF59" s="25">
        <f t="shared" si="2"/>
        <v>0</v>
      </c>
    </row>
    <row r="60" spans="1:84" x14ac:dyDescent="0.35">
      <c r="A60" t="s">
        <v>156</v>
      </c>
      <c r="B60" s="4" t="s">
        <v>92</v>
      </c>
      <c r="C60" s="4" t="s">
        <v>145</v>
      </c>
      <c r="D60" s="4" t="s">
        <v>157</v>
      </c>
      <c r="E60" s="33">
        <v>0</v>
      </c>
      <c r="F60" s="33">
        <v>0</v>
      </c>
      <c r="G60" s="199">
        <v>0</v>
      </c>
      <c r="H60" s="33">
        <v>0</v>
      </c>
      <c r="I60" s="33">
        <v>0</v>
      </c>
      <c r="J60" s="199">
        <v>0</v>
      </c>
      <c r="K60" s="33">
        <v>0</v>
      </c>
      <c r="L60" s="33">
        <v>0</v>
      </c>
      <c r="M60" s="199">
        <v>0</v>
      </c>
      <c r="N60" s="33">
        <v>0</v>
      </c>
      <c r="O60" s="33">
        <v>0</v>
      </c>
      <c r="P60" s="199">
        <v>0</v>
      </c>
      <c r="Q60" s="33">
        <v>0</v>
      </c>
      <c r="R60" s="33">
        <v>0</v>
      </c>
      <c r="S60" s="199">
        <v>0</v>
      </c>
      <c r="T60" s="33">
        <v>0</v>
      </c>
      <c r="U60" s="33">
        <v>0</v>
      </c>
      <c r="V60" s="34">
        <v>0</v>
      </c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CF60" s="25">
        <f t="shared" si="2"/>
        <v>0</v>
      </c>
    </row>
    <row r="61" spans="1:84" x14ac:dyDescent="0.35">
      <c r="A61" t="s">
        <v>158</v>
      </c>
      <c r="B61" s="4" t="s">
        <v>92</v>
      </c>
      <c r="C61" s="4" t="s">
        <v>145</v>
      </c>
      <c r="D61" s="4" t="s">
        <v>159</v>
      </c>
      <c r="E61" s="33">
        <v>0</v>
      </c>
      <c r="F61" s="33">
        <v>0</v>
      </c>
      <c r="G61" s="199">
        <v>0</v>
      </c>
      <c r="H61" s="33">
        <v>0</v>
      </c>
      <c r="I61" s="33">
        <v>0</v>
      </c>
      <c r="J61" s="199">
        <v>0</v>
      </c>
      <c r="K61" s="33">
        <v>0</v>
      </c>
      <c r="L61" s="33">
        <v>0</v>
      </c>
      <c r="M61" s="199">
        <v>0</v>
      </c>
      <c r="N61" s="33">
        <v>0</v>
      </c>
      <c r="O61" s="33">
        <v>0</v>
      </c>
      <c r="P61" s="199">
        <v>0</v>
      </c>
      <c r="Q61" s="33">
        <v>0</v>
      </c>
      <c r="R61" s="33">
        <v>0</v>
      </c>
      <c r="S61" s="199">
        <v>0</v>
      </c>
      <c r="T61" s="33">
        <v>0</v>
      </c>
      <c r="U61" s="33">
        <v>0</v>
      </c>
      <c r="V61" s="34">
        <v>0</v>
      </c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CF61" s="25">
        <f t="shared" si="2"/>
        <v>0</v>
      </c>
    </row>
    <row r="62" spans="1:84" x14ac:dyDescent="0.35">
      <c r="A62" t="s">
        <v>160</v>
      </c>
      <c r="B62" s="4" t="s">
        <v>92</v>
      </c>
      <c r="C62" s="4" t="s">
        <v>145</v>
      </c>
      <c r="D62" s="4" t="s">
        <v>161</v>
      </c>
      <c r="E62" s="33">
        <v>0</v>
      </c>
      <c r="F62" s="33">
        <v>0</v>
      </c>
      <c r="G62" s="199">
        <v>0</v>
      </c>
      <c r="H62" s="33">
        <v>0</v>
      </c>
      <c r="I62" s="33">
        <v>0</v>
      </c>
      <c r="J62" s="199">
        <v>0</v>
      </c>
      <c r="K62" s="33">
        <v>0</v>
      </c>
      <c r="L62" s="33">
        <v>0</v>
      </c>
      <c r="M62" s="199">
        <v>0</v>
      </c>
      <c r="N62" s="33">
        <v>0</v>
      </c>
      <c r="O62" s="33">
        <v>0</v>
      </c>
      <c r="P62" s="199">
        <v>0</v>
      </c>
      <c r="Q62" s="33">
        <v>0</v>
      </c>
      <c r="R62" s="33">
        <v>0</v>
      </c>
      <c r="S62" s="199">
        <v>0</v>
      </c>
      <c r="T62" s="33">
        <v>0</v>
      </c>
      <c r="U62" s="33">
        <v>0</v>
      </c>
      <c r="V62" s="34">
        <v>0</v>
      </c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CF62" s="25">
        <f t="shared" si="2"/>
        <v>0</v>
      </c>
    </row>
    <row r="63" spans="1:84" x14ac:dyDescent="0.35">
      <c r="A63" t="s">
        <v>162</v>
      </c>
      <c r="B63" s="4" t="s">
        <v>92</v>
      </c>
      <c r="C63" s="4" t="s">
        <v>145</v>
      </c>
      <c r="D63" s="4" t="s">
        <v>163</v>
      </c>
      <c r="E63" s="33">
        <v>0</v>
      </c>
      <c r="F63" s="33">
        <v>0</v>
      </c>
      <c r="G63" s="199">
        <v>0</v>
      </c>
      <c r="H63" s="33">
        <v>0</v>
      </c>
      <c r="I63" s="33">
        <v>0</v>
      </c>
      <c r="J63" s="199">
        <v>0</v>
      </c>
      <c r="K63" s="33">
        <v>0</v>
      </c>
      <c r="L63" s="33">
        <v>0</v>
      </c>
      <c r="M63" s="199">
        <v>0</v>
      </c>
      <c r="N63" s="33">
        <v>0</v>
      </c>
      <c r="O63" s="33">
        <v>0</v>
      </c>
      <c r="P63" s="199">
        <v>0</v>
      </c>
      <c r="Q63" s="33">
        <v>0</v>
      </c>
      <c r="R63" s="33">
        <v>0</v>
      </c>
      <c r="S63" s="199">
        <v>0</v>
      </c>
      <c r="T63" s="33">
        <v>0</v>
      </c>
      <c r="U63" s="33">
        <v>0</v>
      </c>
      <c r="V63" s="34">
        <v>0</v>
      </c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CF63" s="25">
        <f t="shared" si="2"/>
        <v>0</v>
      </c>
    </row>
    <row r="64" spans="1:84" x14ac:dyDescent="0.35">
      <c r="A64" t="s">
        <v>164</v>
      </c>
      <c r="B64" s="4" t="s">
        <v>92</v>
      </c>
      <c r="C64" s="4" t="s">
        <v>145</v>
      </c>
      <c r="D64" s="4" t="s">
        <v>165</v>
      </c>
      <c r="E64" s="33">
        <v>0</v>
      </c>
      <c r="F64" s="33">
        <v>0</v>
      </c>
      <c r="G64" s="199">
        <v>0</v>
      </c>
      <c r="H64" s="33">
        <v>0</v>
      </c>
      <c r="I64" s="33">
        <v>0</v>
      </c>
      <c r="J64" s="199">
        <v>0</v>
      </c>
      <c r="K64" s="33">
        <v>0</v>
      </c>
      <c r="L64" s="33">
        <v>0</v>
      </c>
      <c r="M64" s="199">
        <v>0</v>
      </c>
      <c r="N64" s="33">
        <v>0</v>
      </c>
      <c r="O64" s="33">
        <v>0</v>
      </c>
      <c r="P64" s="199">
        <v>0</v>
      </c>
      <c r="Q64" s="33">
        <v>0</v>
      </c>
      <c r="R64" s="33">
        <v>0</v>
      </c>
      <c r="S64" s="199">
        <v>0</v>
      </c>
      <c r="T64" s="33">
        <v>0</v>
      </c>
      <c r="U64" s="33">
        <v>0</v>
      </c>
      <c r="V64" s="34">
        <v>0</v>
      </c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CF64" s="25">
        <f t="shared" si="2"/>
        <v>0</v>
      </c>
    </row>
    <row r="65" spans="1:86" x14ac:dyDescent="0.35">
      <c r="A65" t="s">
        <v>168</v>
      </c>
      <c r="B65" s="4" t="s">
        <v>92</v>
      </c>
      <c r="C65" s="4" t="s">
        <v>148</v>
      </c>
      <c r="D65" s="4" t="s">
        <v>169</v>
      </c>
      <c r="E65" s="33">
        <v>0</v>
      </c>
      <c r="F65" s="33">
        <v>0</v>
      </c>
      <c r="G65" s="199">
        <v>0</v>
      </c>
      <c r="H65" s="33">
        <v>0</v>
      </c>
      <c r="I65" s="33">
        <v>0</v>
      </c>
      <c r="J65" s="199">
        <v>0</v>
      </c>
      <c r="K65" s="33">
        <v>0</v>
      </c>
      <c r="L65" s="33">
        <v>0</v>
      </c>
      <c r="M65" s="199">
        <v>0</v>
      </c>
      <c r="N65" s="33">
        <v>0</v>
      </c>
      <c r="O65" s="33">
        <v>0</v>
      </c>
      <c r="P65" s="199">
        <v>0</v>
      </c>
      <c r="Q65" s="33">
        <v>0</v>
      </c>
      <c r="R65" s="33">
        <v>0</v>
      </c>
      <c r="S65" s="199">
        <v>0</v>
      </c>
      <c r="T65" s="33">
        <v>0</v>
      </c>
      <c r="U65" s="33">
        <v>0</v>
      </c>
      <c r="V65" s="34">
        <v>0</v>
      </c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CF65" s="25">
        <f t="shared" si="2"/>
        <v>0</v>
      </c>
    </row>
    <row r="66" spans="1:86" ht="15" thickBot="1" x14ac:dyDescent="0.4">
      <c r="A66" t="s">
        <v>170</v>
      </c>
      <c r="B66" s="4" t="s">
        <v>92</v>
      </c>
      <c r="C66" s="4" t="s">
        <v>148</v>
      </c>
      <c r="D66" s="4" t="s">
        <v>171</v>
      </c>
      <c r="E66" s="201">
        <v>0</v>
      </c>
      <c r="F66" s="201">
        <v>0</v>
      </c>
      <c r="G66" s="202">
        <v>0</v>
      </c>
      <c r="H66" s="201">
        <v>0</v>
      </c>
      <c r="I66" s="201">
        <v>0</v>
      </c>
      <c r="J66" s="202">
        <v>0</v>
      </c>
      <c r="K66" s="201">
        <v>0</v>
      </c>
      <c r="L66" s="201">
        <v>0</v>
      </c>
      <c r="M66" s="202">
        <v>0</v>
      </c>
      <c r="N66" s="201">
        <v>0</v>
      </c>
      <c r="O66" s="201">
        <v>0</v>
      </c>
      <c r="P66" s="202">
        <v>0</v>
      </c>
      <c r="Q66" s="201">
        <v>0</v>
      </c>
      <c r="R66" s="201">
        <v>0</v>
      </c>
      <c r="S66" s="202">
        <v>0</v>
      </c>
      <c r="T66" s="201">
        <v>0</v>
      </c>
      <c r="U66" s="201">
        <v>0</v>
      </c>
      <c r="V66" s="204">
        <v>0</v>
      </c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CF66" s="25">
        <f t="shared" si="2"/>
        <v>0</v>
      </c>
    </row>
    <row r="67" spans="1:86" x14ac:dyDescent="0.35">
      <c r="A67" t="s">
        <v>368</v>
      </c>
      <c r="B67" s="4" t="s">
        <v>93</v>
      </c>
      <c r="C67" s="4" t="s">
        <v>145</v>
      </c>
      <c r="D67" s="4" t="s">
        <v>369</v>
      </c>
      <c r="E67" s="33">
        <v>0</v>
      </c>
      <c r="F67" s="33">
        <v>0</v>
      </c>
      <c r="G67" s="199">
        <v>0</v>
      </c>
      <c r="H67" s="33">
        <v>0</v>
      </c>
      <c r="I67" s="33">
        <v>0</v>
      </c>
      <c r="J67" s="199">
        <v>0</v>
      </c>
      <c r="K67" s="33">
        <v>0</v>
      </c>
      <c r="L67" s="33">
        <v>0</v>
      </c>
      <c r="M67" s="199">
        <v>0</v>
      </c>
      <c r="N67" s="33">
        <v>0</v>
      </c>
      <c r="O67" s="33">
        <v>0</v>
      </c>
      <c r="P67" s="199">
        <v>0</v>
      </c>
      <c r="Q67" s="33">
        <v>0</v>
      </c>
      <c r="R67" s="33">
        <v>0</v>
      </c>
      <c r="S67" s="199">
        <v>0</v>
      </c>
      <c r="T67" s="33">
        <v>0</v>
      </c>
      <c r="U67" s="33">
        <v>0</v>
      </c>
      <c r="V67" s="34">
        <v>0</v>
      </c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CF67" s="25">
        <f t="shared" si="2"/>
        <v>0</v>
      </c>
    </row>
    <row r="68" spans="1:86" x14ac:dyDescent="0.35">
      <c r="A68" t="s">
        <v>166</v>
      </c>
      <c r="B68" s="4" t="s">
        <v>93</v>
      </c>
      <c r="C68" s="4" t="s">
        <v>145</v>
      </c>
      <c r="D68" s="4" t="s">
        <v>167</v>
      </c>
      <c r="E68" s="33">
        <v>0</v>
      </c>
      <c r="F68" s="33">
        <v>0</v>
      </c>
      <c r="G68" s="199">
        <v>0</v>
      </c>
      <c r="H68" s="33">
        <v>0</v>
      </c>
      <c r="I68" s="33">
        <v>0</v>
      </c>
      <c r="J68" s="199">
        <v>0</v>
      </c>
      <c r="K68" s="33">
        <v>0</v>
      </c>
      <c r="L68" s="33">
        <v>0</v>
      </c>
      <c r="M68" s="199">
        <v>0</v>
      </c>
      <c r="N68" s="33">
        <v>0</v>
      </c>
      <c r="O68" s="33">
        <v>0</v>
      </c>
      <c r="P68" s="199">
        <v>0</v>
      </c>
      <c r="Q68" s="33">
        <v>0</v>
      </c>
      <c r="R68" s="33">
        <v>0</v>
      </c>
      <c r="S68" s="199">
        <v>0</v>
      </c>
      <c r="T68" s="33">
        <v>0</v>
      </c>
      <c r="U68" s="33">
        <v>0</v>
      </c>
      <c r="V68" s="34">
        <v>0</v>
      </c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CF68" s="25">
        <f t="shared" si="2"/>
        <v>0</v>
      </c>
    </row>
    <row r="69" spans="1:86" x14ac:dyDescent="0.35">
      <c r="A69" t="s">
        <v>156</v>
      </c>
      <c r="B69" s="4" t="s">
        <v>93</v>
      </c>
      <c r="C69" s="4" t="s">
        <v>145</v>
      </c>
      <c r="D69" s="4" t="s">
        <v>157</v>
      </c>
      <c r="E69" s="33">
        <v>0</v>
      </c>
      <c r="F69" s="33">
        <v>0</v>
      </c>
      <c r="G69" s="199">
        <v>0</v>
      </c>
      <c r="H69" s="33">
        <v>0</v>
      </c>
      <c r="I69" s="33">
        <v>0</v>
      </c>
      <c r="J69" s="199">
        <v>0</v>
      </c>
      <c r="K69" s="33">
        <v>0</v>
      </c>
      <c r="L69" s="33">
        <v>0</v>
      </c>
      <c r="M69" s="199">
        <v>0</v>
      </c>
      <c r="N69" s="33">
        <v>0</v>
      </c>
      <c r="O69" s="33">
        <v>0</v>
      </c>
      <c r="P69" s="199">
        <v>0</v>
      </c>
      <c r="Q69" s="33">
        <v>0</v>
      </c>
      <c r="R69" s="33">
        <v>0</v>
      </c>
      <c r="S69" s="199">
        <v>0</v>
      </c>
      <c r="T69" s="33">
        <v>0</v>
      </c>
      <c r="U69" s="33">
        <v>0</v>
      </c>
      <c r="V69" s="34">
        <v>0</v>
      </c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CF69" s="25">
        <f t="shared" si="2"/>
        <v>0</v>
      </c>
    </row>
    <row r="70" spans="1:86" x14ac:dyDescent="0.35">
      <c r="A70" t="s">
        <v>158</v>
      </c>
      <c r="B70" s="4" t="s">
        <v>93</v>
      </c>
      <c r="C70" s="4" t="s">
        <v>145</v>
      </c>
      <c r="D70" s="4" t="s">
        <v>159</v>
      </c>
      <c r="E70" s="33">
        <v>0</v>
      </c>
      <c r="F70" s="33">
        <v>0</v>
      </c>
      <c r="G70" s="199">
        <v>0</v>
      </c>
      <c r="H70" s="33">
        <v>0</v>
      </c>
      <c r="I70" s="33">
        <v>0</v>
      </c>
      <c r="J70" s="199">
        <v>0</v>
      </c>
      <c r="K70" s="33">
        <v>0</v>
      </c>
      <c r="L70" s="33">
        <v>0</v>
      </c>
      <c r="M70" s="199">
        <v>0</v>
      </c>
      <c r="N70" s="33">
        <v>0</v>
      </c>
      <c r="O70" s="33">
        <v>0</v>
      </c>
      <c r="P70" s="199">
        <v>0</v>
      </c>
      <c r="Q70" s="33">
        <v>0</v>
      </c>
      <c r="R70" s="33">
        <v>0</v>
      </c>
      <c r="S70" s="199">
        <v>0</v>
      </c>
      <c r="T70" s="33">
        <v>0</v>
      </c>
      <c r="U70" s="33">
        <v>0</v>
      </c>
      <c r="V70" s="34">
        <v>0</v>
      </c>
      <c r="W70" s="38"/>
      <c r="AG70" s="38"/>
      <c r="AH70" s="38"/>
      <c r="AI70" s="38"/>
      <c r="AJ70" s="38"/>
      <c r="AK70" s="38"/>
      <c r="AL70" s="38"/>
      <c r="AM70" s="38"/>
      <c r="AN70" s="38"/>
      <c r="CF70" s="25">
        <f t="shared" si="2"/>
        <v>0</v>
      </c>
    </row>
    <row r="71" spans="1:86" x14ac:dyDescent="0.35">
      <c r="A71" t="s">
        <v>160</v>
      </c>
      <c r="B71" s="4" t="s">
        <v>93</v>
      </c>
      <c r="C71" s="4" t="s">
        <v>145</v>
      </c>
      <c r="D71" s="4" t="s">
        <v>161</v>
      </c>
      <c r="E71" s="33">
        <v>0</v>
      </c>
      <c r="F71" s="33">
        <v>0</v>
      </c>
      <c r="G71" s="199">
        <v>0</v>
      </c>
      <c r="H71" s="33">
        <v>0</v>
      </c>
      <c r="I71" s="33">
        <v>0</v>
      </c>
      <c r="J71" s="199">
        <v>0</v>
      </c>
      <c r="K71" s="33">
        <v>0</v>
      </c>
      <c r="L71" s="33">
        <v>0</v>
      </c>
      <c r="M71" s="199">
        <v>0</v>
      </c>
      <c r="N71" s="33">
        <v>0</v>
      </c>
      <c r="O71" s="33">
        <v>0</v>
      </c>
      <c r="P71" s="199">
        <v>0</v>
      </c>
      <c r="Q71" s="33">
        <v>0</v>
      </c>
      <c r="R71" s="33">
        <v>0</v>
      </c>
      <c r="S71" s="199">
        <v>0</v>
      </c>
      <c r="T71" s="33">
        <v>0</v>
      </c>
      <c r="U71" s="33">
        <v>0</v>
      </c>
      <c r="V71" s="34">
        <v>0</v>
      </c>
      <c r="W71" s="38"/>
      <c r="AG71" s="38"/>
      <c r="AH71" s="38"/>
      <c r="AI71" s="38"/>
      <c r="AJ71" s="38"/>
      <c r="AK71" s="38"/>
      <c r="AL71" s="38"/>
      <c r="AM71" s="38"/>
      <c r="AN71" s="38"/>
      <c r="CF71" s="25">
        <f t="shared" si="2"/>
        <v>0</v>
      </c>
    </row>
    <row r="72" spans="1:86" x14ac:dyDescent="0.35">
      <c r="A72" t="s">
        <v>162</v>
      </c>
      <c r="B72" s="4" t="s">
        <v>93</v>
      </c>
      <c r="C72" s="4" t="s">
        <v>145</v>
      </c>
      <c r="D72" s="4" t="s">
        <v>163</v>
      </c>
      <c r="E72" s="33">
        <v>0</v>
      </c>
      <c r="F72" s="33">
        <v>0</v>
      </c>
      <c r="G72" s="199">
        <v>0</v>
      </c>
      <c r="H72" s="33">
        <v>0</v>
      </c>
      <c r="I72" s="33">
        <v>0</v>
      </c>
      <c r="J72" s="199">
        <v>0</v>
      </c>
      <c r="K72" s="33">
        <v>0</v>
      </c>
      <c r="L72" s="33">
        <v>0</v>
      </c>
      <c r="M72" s="199">
        <v>0</v>
      </c>
      <c r="N72" s="33">
        <v>0</v>
      </c>
      <c r="O72" s="33">
        <v>0</v>
      </c>
      <c r="P72" s="199">
        <v>0</v>
      </c>
      <c r="Q72" s="33">
        <v>0</v>
      </c>
      <c r="R72" s="33">
        <v>0</v>
      </c>
      <c r="S72" s="199">
        <v>0</v>
      </c>
      <c r="T72" s="33">
        <v>0</v>
      </c>
      <c r="U72" s="33">
        <v>0</v>
      </c>
      <c r="V72" s="34">
        <v>0</v>
      </c>
      <c r="W72" s="38"/>
      <c r="AG72" s="38"/>
      <c r="AH72" s="38"/>
      <c r="AI72" s="38"/>
      <c r="AJ72" s="38"/>
      <c r="AK72" s="38"/>
      <c r="AL72" s="38"/>
      <c r="AM72" s="38"/>
      <c r="AN72" s="38"/>
      <c r="CF72" s="25">
        <f t="shared" si="2"/>
        <v>0</v>
      </c>
    </row>
    <row r="73" spans="1:86" x14ac:dyDescent="0.35">
      <c r="A73" t="s">
        <v>164</v>
      </c>
      <c r="B73" s="4" t="s">
        <v>93</v>
      </c>
      <c r="C73" s="4" t="s">
        <v>145</v>
      </c>
      <c r="D73" s="4" t="s">
        <v>165</v>
      </c>
      <c r="E73" s="33">
        <v>0</v>
      </c>
      <c r="F73" s="33">
        <v>0</v>
      </c>
      <c r="G73" s="199">
        <v>0</v>
      </c>
      <c r="H73" s="33">
        <v>0</v>
      </c>
      <c r="I73" s="33">
        <v>0</v>
      </c>
      <c r="J73" s="199">
        <v>0</v>
      </c>
      <c r="K73" s="33">
        <v>0</v>
      </c>
      <c r="L73" s="33">
        <v>0</v>
      </c>
      <c r="M73" s="199">
        <v>0</v>
      </c>
      <c r="N73" s="33">
        <v>0</v>
      </c>
      <c r="O73" s="33">
        <v>0</v>
      </c>
      <c r="P73" s="199">
        <v>0</v>
      </c>
      <c r="Q73" s="33">
        <v>0</v>
      </c>
      <c r="R73" s="33">
        <v>0</v>
      </c>
      <c r="S73" s="199">
        <v>0</v>
      </c>
      <c r="T73" s="33">
        <v>0</v>
      </c>
      <c r="U73" s="33">
        <v>0</v>
      </c>
      <c r="V73" s="34">
        <v>0</v>
      </c>
      <c r="W73" s="38"/>
      <c r="AG73" s="38"/>
      <c r="AH73" s="38"/>
      <c r="AI73" s="38"/>
      <c r="AJ73" s="38"/>
      <c r="AK73" s="38"/>
      <c r="AL73" s="38"/>
      <c r="AM73" s="38"/>
      <c r="AN73" s="38"/>
      <c r="CF73" s="25">
        <f t="shared" si="2"/>
        <v>0</v>
      </c>
    </row>
    <row r="74" spans="1:86" x14ac:dyDescent="0.35">
      <c r="A74" t="s">
        <v>168</v>
      </c>
      <c r="B74" s="4" t="s">
        <v>93</v>
      </c>
      <c r="C74" s="4" t="s">
        <v>148</v>
      </c>
      <c r="D74" s="4" t="s">
        <v>169</v>
      </c>
      <c r="E74" s="33">
        <v>0</v>
      </c>
      <c r="F74" s="33">
        <v>0</v>
      </c>
      <c r="G74" s="199">
        <v>0</v>
      </c>
      <c r="H74" s="33">
        <v>0</v>
      </c>
      <c r="I74" s="33">
        <v>0</v>
      </c>
      <c r="J74" s="199">
        <v>0</v>
      </c>
      <c r="K74" s="33">
        <v>0</v>
      </c>
      <c r="L74" s="33">
        <v>0</v>
      </c>
      <c r="M74" s="199">
        <v>0</v>
      </c>
      <c r="N74" s="33">
        <v>0</v>
      </c>
      <c r="O74" s="33">
        <v>0</v>
      </c>
      <c r="P74" s="199">
        <v>0</v>
      </c>
      <c r="Q74" s="33">
        <v>0</v>
      </c>
      <c r="R74" s="33">
        <v>0</v>
      </c>
      <c r="S74" s="199">
        <v>0</v>
      </c>
      <c r="T74" s="33">
        <v>0</v>
      </c>
      <c r="U74" s="33">
        <v>0</v>
      </c>
      <c r="V74" s="34">
        <v>0</v>
      </c>
      <c r="W74" s="76"/>
      <c r="X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CF74" s="25">
        <f t="shared" si="2"/>
        <v>0</v>
      </c>
    </row>
    <row r="75" spans="1:86" s="7" customFormat="1" ht="15" thickBot="1" x14ac:dyDescent="0.4">
      <c r="A75" s="7" t="s">
        <v>170</v>
      </c>
      <c r="B75" s="6" t="s">
        <v>93</v>
      </c>
      <c r="C75" s="6" t="s">
        <v>148</v>
      </c>
      <c r="D75" s="6" t="s">
        <v>171</v>
      </c>
      <c r="E75" s="36">
        <v>0</v>
      </c>
      <c r="F75" s="36">
        <v>0</v>
      </c>
      <c r="G75" s="205">
        <v>0</v>
      </c>
      <c r="H75" s="36">
        <v>0</v>
      </c>
      <c r="I75" s="36">
        <v>0</v>
      </c>
      <c r="J75" s="205">
        <v>0</v>
      </c>
      <c r="K75" s="36">
        <v>0</v>
      </c>
      <c r="L75" s="36">
        <v>0</v>
      </c>
      <c r="M75" s="205">
        <v>0</v>
      </c>
      <c r="N75" s="36">
        <v>0</v>
      </c>
      <c r="O75" s="36">
        <v>0</v>
      </c>
      <c r="P75" s="205">
        <v>0</v>
      </c>
      <c r="Q75" s="36">
        <v>0</v>
      </c>
      <c r="R75" s="36">
        <v>0</v>
      </c>
      <c r="S75" s="205">
        <v>0</v>
      </c>
      <c r="T75" s="36">
        <v>0</v>
      </c>
      <c r="U75" s="36">
        <v>0</v>
      </c>
      <c r="V75" s="37">
        <v>0</v>
      </c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BY75" s="6"/>
      <c r="BZ75" s="6"/>
      <c r="CA75" s="6"/>
      <c r="CB75" s="6"/>
      <c r="CC75" s="6"/>
      <c r="CD75" s="6"/>
      <c r="CF75" s="32">
        <f t="shared" si="2"/>
        <v>0</v>
      </c>
      <c r="CH75" s="6"/>
    </row>
    <row r="76" spans="1:86" x14ac:dyDescent="0.35">
      <c r="A76" t="s">
        <v>176</v>
      </c>
      <c r="B76" s="4" t="s">
        <v>73</v>
      </c>
      <c r="C76" s="4" t="s">
        <v>145</v>
      </c>
      <c r="D76" s="4" t="s">
        <v>177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9"/>
      <c r="W76" s="41">
        <v>0</v>
      </c>
      <c r="X76" s="41">
        <v>0</v>
      </c>
      <c r="Y76" s="40">
        <f>'[1]Steel_NG-DR'!$H$15*'Inputs by region STEEL'!G$5</f>
        <v>1.9500181678711294E-2</v>
      </c>
      <c r="Z76" s="40">
        <f>'[1]Steel_100%H2-DR'!$H$15*'Inputs by region STEEL'!G$5</f>
        <v>1.9500181678711294E-2</v>
      </c>
      <c r="AA76" s="41">
        <v>0</v>
      </c>
      <c r="AB76" s="41">
        <v>0</v>
      </c>
      <c r="AC76" s="41">
        <v>0</v>
      </c>
      <c r="AD76" s="41">
        <v>0</v>
      </c>
      <c r="AE76" s="43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3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3">
        <v>0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3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  <c r="BL76" s="41">
        <v>0</v>
      </c>
      <c r="BM76" s="41">
        <v>0</v>
      </c>
      <c r="BN76" s="41">
        <v>0</v>
      </c>
      <c r="BO76" s="43">
        <v>0</v>
      </c>
      <c r="BP76" s="41">
        <v>0</v>
      </c>
      <c r="BQ76" s="41">
        <v>0</v>
      </c>
      <c r="BR76" s="41">
        <v>0</v>
      </c>
      <c r="BS76" s="41">
        <v>0</v>
      </c>
      <c r="BT76" s="41">
        <v>0</v>
      </c>
      <c r="BU76" s="41">
        <v>0</v>
      </c>
      <c r="BV76" s="41">
        <v>0</v>
      </c>
      <c r="BW76" s="41">
        <v>0</v>
      </c>
      <c r="BX76" s="41">
        <v>0</v>
      </c>
    </row>
    <row r="77" spans="1:86" x14ac:dyDescent="0.35">
      <c r="A77" s="77" t="s">
        <v>183</v>
      </c>
      <c r="B77" s="4" t="s">
        <v>73</v>
      </c>
      <c r="C77" s="4" t="s">
        <v>145</v>
      </c>
      <c r="D77" s="4" t="s">
        <v>184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9"/>
      <c r="W77" s="41">
        <v>0</v>
      </c>
      <c r="X77" s="41">
        <v>0</v>
      </c>
      <c r="Y77" s="41">
        <f>'[1]Steel_NG-DR'!$H$29*'Inputs by region STEEL'!G$6</f>
        <v>0</v>
      </c>
      <c r="Z77" s="41">
        <f>'[1]Steel_100%H2-DR'!$H$29*'Inputs by region STEEL'!G$6</f>
        <v>0</v>
      </c>
      <c r="AA77" s="41">
        <v>0</v>
      </c>
      <c r="AB77" s="41">
        <v>0</v>
      </c>
      <c r="AC77" s="41">
        <v>0</v>
      </c>
      <c r="AD77" s="41">
        <v>0</v>
      </c>
      <c r="AE77" s="43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3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3">
        <v>0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3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3">
        <v>0</v>
      </c>
      <c r="BP77" s="41">
        <v>0</v>
      </c>
      <c r="BQ77" s="41">
        <v>0</v>
      </c>
      <c r="BR77" s="41">
        <v>0</v>
      </c>
      <c r="BS77" s="41">
        <v>0</v>
      </c>
      <c r="BT77" s="41">
        <v>0</v>
      </c>
      <c r="BU77" s="41">
        <v>0</v>
      </c>
      <c r="BV77" s="41">
        <v>0</v>
      </c>
      <c r="BW77" s="41">
        <v>0</v>
      </c>
      <c r="BX77" s="41">
        <v>0</v>
      </c>
    </row>
    <row r="78" spans="1:86" x14ac:dyDescent="0.35">
      <c r="A78" t="s">
        <v>185</v>
      </c>
      <c r="B78" s="4" t="s">
        <v>73</v>
      </c>
      <c r="C78" s="4" t="s">
        <v>145</v>
      </c>
      <c r="D78" s="4" t="s">
        <v>186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Q78" s="38"/>
      <c r="R78" s="38"/>
      <c r="S78" s="38"/>
      <c r="T78" s="38"/>
      <c r="U78" s="38"/>
      <c r="V78" s="39"/>
      <c r="W78" s="41">
        <v>0</v>
      </c>
      <c r="X78" s="41">
        <v>0</v>
      </c>
      <c r="Y78" s="40">
        <f>'[1]Steel_NG-DR'!$H$31*'Inputs by region STEEL'!G$7</f>
        <v>1.9404661061278542E-3</v>
      </c>
      <c r="Z78" s="40">
        <f>'[1]Steel_100%H2-DR'!$H$31*'Inputs by region STEEL'!G$7</f>
        <v>1.9404661061278542E-3</v>
      </c>
      <c r="AA78" s="41">
        <v>0</v>
      </c>
      <c r="AB78" s="41">
        <v>0</v>
      </c>
      <c r="AC78" s="41">
        <v>0</v>
      </c>
      <c r="AD78" s="41">
        <v>0</v>
      </c>
      <c r="AE78" s="43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3">
        <v>0</v>
      </c>
      <c r="AO78" s="41">
        <v>0</v>
      </c>
      <c r="AP78" s="41">
        <v>0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3">
        <v>0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3">
        <v>0</v>
      </c>
      <c r="BG78" s="41">
        <v>0</v>
      </c>
      <c r="BH78" s="41">
        <v>0</v>
      </c>
      <c r="BI78" s="41">
        <v>0</v>
      </c>
      <c r="BJ78" s="41">
        <v>0</v>
      </c>
      <c r="BK78" s="41">
        <v>0</v>
      </c>
      <c r="BL78" s="41">
        <v>0</v>
      </c>
      <c r="BM78" s="41">
        <v>0</v>
      </c>
      <c r="BN78" s="41">
        <v>0</v>
      </c>
      <c r="BO78" s="43">
        <v>0</v>
      </c>
      <c r="BP78" s="41">
        <v>0</v>
      </c>
      <c r="BQ78" s="41">
        <v>0</v>
      </c>
      <c r="BR78" s="41">
        <v>0</v>
      </c>
      <c r="BS78" s="41">
        <v>0</v>
      </c>
      <c r="BT78" s="41">
        <v>0</v>
      </c>
      <c r="BU78" s="41">
        <v>0</v>
      </c>
      <c r="BV78" s="41">
        <v>0</v>
      </c>
      <c r="BW78" s="41">
        <v>0</v>
      </c>
      <c r="BX78" s="41">
        <v>0</v>
      </c>
    </row>
    <row r="79" spans="1:86" x14ac:dyDescent="0.35">
      <c r="A79" t="s">
        <v>187</v>
      </c>
      <c r="B79" s="4" t="s">
        <v>73</v>
      </c>
      <c r="C79" s="4" t="s">
        <v>145</v>
      </c>
      <c r="D79" s="4" t="s">
        <v>188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9"/>
      <c r="W79" s="41">
        <v>0</v>
      </c>
      <c r="X79" s="41">
        <v>0</v>
      </c>
      <c r="Y79" s="40">
        <f>'[1]Steel_NG-DR'!$H$32*'Inputs by region STEEL'!G$8</f>
        <v>5.8423628191201782E-3</v>
      </c>
      <c r="Z79" s="40">
        <f>'[1]Steel_100%H2-DR'!$H$32*'Inputs by region STEEL'!G$8</f>
        <v>5.8423628191201782E-3</v>
      </c>
      <c r="AA79" s="41">
        <v>0</v>
      </c>
      <c r="AB79" s="41">
        <v>0</v>
      </c>
      <c r="AC79" s="41">
        <v>0</v>
      </c>
      <c r="AD79" s="41">
        <v>0</v>
      </c>
      <c r="AE79" s="43">
        <v>0</v>
      </c>
      <c r="AF79" s="41">
        <v>0</v>
      </c>
      <c r="AG79" s="41">
        <v>0</v>
      </c>
      <c r="AH79" s="41">
        <v>0</v>
      </c>
      <c r="AI79" s="41">
        <v>0</v>
      </c>
      <c r="AJ79" s="41">
        <v>0</v>
      </c>
      <c r="AK79" s="41">
        <v>0</v>
      </c>
      <c r="AL79" s="41">
        <v>0</v>
      </c>
      <c r="AM79" s="41">
        <v>0</v>
      </c>
      <c r="AN79" s="43">
        <v>0</v>
      </c>
      <c r="AO79" s="41">
        <v>0</v>
      </c>
      <c r="AP79" s="41">
        <v>0</v>
      </c>
      <c r="AQ79" s="41">
        <v>0</v>
      </c>
      <c r="AR79" s="41">
        <v>0</v>
      </c>
      <c r="AS79" s="41">
        <v>0</v>
      </c>
      <c r="AT79" s="41">
        <v>0</v>
      </c>
      <c r="AU79" s="41">
        <v>0</v>
      </c>
      <c r="AV79" s="41">
        <v>0</v>
      </c>
      <c r="AW79" s="43">
        <v>0</v>
      </c>
      <c r="AX79" s="41">
        <v>0</v>
      </c>
      <c r="AY79" s="41">
        <v>0</v>
      </c>
      <c r="AZ79" s="41">
        <v>0</v>
      </c>
      <c r="BA79" s="41">
        <v>0</v>
      </c>
      <c r="BB79" s="41">
        <v>0</v>
      </c>
      <c r="BC79" s="41">
        <v>0</v>
      </c>
      <c r="BD79" s="41">
        <v>0</v>
      </c>
      <c r="BE79" s="41">
        <v>0</v>
      </c>
      <c r="BF79" s="43">
        <v>0</v>
      </c>
      <c r="BG79" s="41">
        <v>0</v>
      </c>
      <c r="BH79" s="41">
        <v>0</v>
      </c>
      <c r="BI79" s="41">
        <v>0</v>
      </c>
      <c r="BJ79" s="41">
        <v>0</v>
      </c>
      <c r="BK79" s="41">
        <v>0</v>
      </c>
      <c r="BL79" s="41">
        <v>0</v>
      </c>
      <c r="BM79" s="41">
        <v>0</v>
      </c>
      <c r="BN79" s="41">
        <v>0</v>
      </c>
      <c r="BO79" s="43">
        <v>0</v>
      </c>
      <c r="BP79" s="41">
        <v>0</v>
      </c>
      <c r="BQ79" s="41">
        <v>0</v>
      </c>
      <c r="BR79" s="41">
        <v>0</v>
      </c>
      <c r="BS79" s="41">
        <v>0</v>
      </c>
      <c r="BT79" s="41">
        <v>0</v>
      </c>
      <c r="BU79" s="41">
        <v>0</v>
      </c>
      <c r="BV79" s="41">
        <v>0</v>
      </c>
      <c r="BW79" s="41">
        <v>0</v>
      </c>
      <c r="BX79" s="41">
        <v>0</v>
      </c>
    </row>
    <row r="80" spans="1:86" x14ac:dyDescent="0.35">
      <c r="A80" t="s">
        <v>189</v>
      </c>
      <c r="B80" s="4" t="s">
        <v>73</v>
      </c>
      <c r="C80" s="4" t="s">
        <v>145</v>
      </c>
      <c r="D80" s="4" t="s">
        <v>190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9"/>
      <c r="W80" s="41">
        <v>0</v>
      </c>
      <c r="X80" s="40">
        <f>'[1]Steel_BF-BOF with H2'!$H$39*'[1]Steel_BF-BOF with H2'!$N$27</f>
        <v>7.0611384178638645E-2</v>
      </c>
      <c r="Y80" s="40">
        <f>'[1]Steel_NG-DR'!$H$33*'Inputs by region STEEL'!G$9</f>
        <v>4.8981233243967828E-4</v>
      </c>
      <c r="Z80" s="40">
        <f>'[1]Steel_100%H2-DR'!$H$33*'Inputs by region STEEL'!G$9</f>
        <v>4.8981233243967828E-4</v>
      </c>
      <c r="AA80" s="40">
        <f>'[1]Steel_BF-BOF with char (+CCUS)'!$H$26*'[1]Steel_BF-BOF with char (+CCUS)'!$N$26</f>
        <v>1.4658301341380521E-2</v>
      </c>
      <c r="AB80" s="40">
        <f>'[1]Steel_BF-BOF with char (+CCUS)'!$H$53*'[1]Steel_BF-BOF with char (+CCUS)'!$N$53</f>
        <v>1.4658301341380521E-2</v>
      </c>
      <c r="AC80" s="41">
        <v>0</v>
      </c>
      <c r="AD80" s="41">
        <v>0</v>
      </c>
      <c r="AE80" s="43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3">
        <v>0</v>
      </c>
      <c r="AO80" s="41">
        <v>0</v>
      </c>
      <c r="AP80" s="41">
        <v>0</v>
      </c>
      <c r="AQ80" s="41">
        <v>0</v>
      </c>
      <c r="AR80" s="41">
        <v>0</v>
      </c>
      <c r="AS80" s="41">
        <v>0</v>
      </c>
      <c r="AT80" s="41">
        <v>0</v>
      </c>
      <c r="AU80" s="41">
        <v>0</v>
      </c>
      <c r="AV80" s="41">
        <v>0</v>
      </c>
      <c r="AW80" s="43">
        <v>0</v>
      </c>
      <c r="AX80" s="41">
        <v>0</v>
      </c>
      <c r="AY80" s="41">
        <v>0</v>
      </c>
      <c r="AZ80" s="41">
        <v>0</v>
      </c>
      <c r="BA80" s="41">
        <v>0</v>
      </c>
      <c r="BB80" s="41">
        <v>0</v>
      </c>
      <c r="BC80" s="41">
        <v>0</v>
      </c>
      <c r="BD80" s="41">
        <v>0</v>
      </c>
      <c r="BE80" s="41">
        <v>0</v>
      </c>
      <c r="BF80" s="43">
        <v>0</v>
      </c>
      <c r="BG80" s="41">
        <v>0</v>
      </c>
      <c r="BH80" s="41">
        <v>0</v>
      </c>
      <c r="BI80" s="41">
        <v>0</v>
      </c>
      <c r="BJ80" s="41">
        <v>0</v>
      </c>
      <c r="BK80" s="41">
        <v>0</v>
      </c>
      <c r="BL80" s="41">
        <v>0</v>
      </c>
      <c r="BM80" s="41">
        <v>0</v>
      </c>
      <c r="BN80" s="41">
        <v>0</v>
      </c>
      <c r="BO80" s="43">
        <v>0</v>
      </c>
      <c r="BP80" s="41">
        <v>0</v>
      </c>
      <c r="BQ80" s="41">
        <v>0</v>
      </c>
      <c r="BR80" s="41">
        <v>0</v>
      </c>
      <c r="BS80" s="41">
        <v>0</v>
      </c>
      <c r="BT80" s="41">
        <v>0</v>
      </c>
      <c r="BU80" s="41">
        <v>0</v>
      </c>
      <c r="BV80" s="41">
        <v>0</v>
      </c>
      <c r="BW80" s="41">
        <v>0</v>
      </c>
      <c r="BX80" s="41">
        <v>0</v>
      </c>
    </row>
    <row r="81" spans="1:76" x14ac:dyDescent="0.35">
      <c r="A81" t="s">
        <v>87</v>
      </c>
      <c r="B81" s="4" t="s">
        <v>73</v>
      </c>
      <c r="C81" s="4" t="s">
        <v>145</v>
      </c>
      <c r="D81" s="4" t="s">
        <v>196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9"/>
      <c r="W81" s="41">
        <v>0</v>
      </c>
      <c r="X81" s="41">
        <v>0</v>
      </c>
      <c r="Y81" s="41">
        <v>0</v>
      </c>
      <c r="Z81" s="41">
        <v>0</v>
      </c>
      <c r="AA81" s="40">
        <f>'[1]Steel_BF-BOF with char (+CCUS)'!$H$27*'Inputs by region STEEL'!G$9</f>
        <v>3.0740776778828832E-3</v>
      </c>
      <c r="AB81" s="40">
        <f>'[1]Steel_BF-BOF with char (+CCUS)'!$H$54*'Inputs by region STEEL'!G$9</f>
        <v>3.0740776778828832E-3</v>
      </c>
      <c r="AC81" s="41">
        <v>0</v>
      </c>
      <c r="AD81" s="41">
        <v>0</v>
      </c>
      <c r="AE81" s="43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0</v>
      </c>
      <c r="AL81" s="41">
        <v>0</v>
      </c>
      <c r="AM81" s="41">
        <v>0</v>
      </c>
      <c r="AN81" s="43">
        <v>0</v>
      </c>
      <c r="AO81" s="41">
        <v>0</v>
      </c>
      <c r="AP81" s="41">
        <v>0</v>
      </c>
      <c r="AQ81" s="41">
        <v>0</v>
      </c>
      <c r="AR81" s="41">
        <v>0</v>
      </c>
      <c r="AS81" s="41">
        <v>0</v>
      </c>
      <c r="AT81" s="41">
        <v>0</v>
      </c>
      <c r="AU81" s="41">
        <v>0</v>
      </c>
      <c r="AV81" s="41">
        <v>0</v>
      </c>
      <c r="AW81" s="43">
        <v>0</v>
      </c>
      <c r="AX81" s="41">
        <v>0</v>
      </c>
      <c r="AY81" s="41">
        <v>0</v>
      </c>
      <c r="AZ81" s="41">
        <v>0</v>
      </c>
      <c r="BA81" s="41">
        <v>0</v>
      </c>
      <c r="BB81" s="41">
        <v>0</v>
      </c>
      <c r="BC81" s="41">
        <v>0</v>
      </c>
      <c r="BD81" s="41">
        <v>0</v>
      </c>
      <c r="BE81" s="41">
        <v>0</v>
      </c>
      <c r="BF81" s="43">
        <v>0</v>
      </c>
      <c r="BG81" s="41">
        <v>0</v>
      </c>
      <c r="BH81" s="41">
        <v>0</v>
      </c>
      <c r="BI81" s="41">
        <v>0</v>
      </c>
      <c r="BJ81" s="41">
        <v>0</v>
      </c>
      <c r="BK81" s="41">
        <v>0</v>
      </c>
      <c r="BL81" s="41">
        <v>0</v>
      </c>
      <c r="BM81" s="41">
        <v>0</v>
      </c>
      <c r="BN81" s="41">
        <v>0</v>
      </c>
      <c r="BO81" s="43">
        <v>0</v>
      </c>
      <c r="BP81" s="41">
        <v>0</v>
      </c>
      <c r="BQ81" s="41">
        <v>0</v>
      </c>
      <c r="BR81" s="41">
        <v>0</v>
      </c>
      <c r="BS81" s="41">
        <v>0</v>
      </c>
      <c r="BT81" s="41">
        <v>0</v>
      </c>
      <c r="BU81" s="41">
        <v>0</v>
      </c>
      <c r="BV81" s="41">
        <v>0</v>
      </c>
      <c r="BW81" s="41">
        <v>0</v>
      </c>
      <c r="BX81" s="41">
        <v>0</v>
      </c>
    </row>
    <row r="82" spans="1:76" x14ac:dyDescent="0.35">
      <c r="A82" t="s">
        <v>191</v>
      </c>
      <c r="B82" s="4" t="s">
        <v>73</v>
      </c>
      <c r="C82" s="4" t="s">
        <v>145</v>
      </c>
      <c r="D82" s="4" t="s">
        <v>192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9"/>
      <c r="W82" s="41">
        <v>0</v>
      </c>
      <c r="X82" s="41">
        <v>0</v>
      </c>
      <c r="Y82" s="40">
        <f>'[1]Steel_NG-DR'!$H$34*'Inputs by region STEEL'!G$10</f>
        <v>2.4658201215687387E-3</v>
      </c>
      <c r="Z82" s="40">
        <f>'[1]Steel_100%H2-DR'!$H$34*'Inputs by region STEEL'!G$10</f>
        <v>2.4658201215687387E-3</v>
      </c>
      <c r="AA82" s="41">
        <v>0</v>
      </c>
      <c r="AB82" s="41">
        <v>0</v>
      </c>
      <c r="AC82" s="41">
        <v>0</v>
      </c>
      <c r="AD82" s="41">
        <v>0</v>
      </c>
      <c r="AE82" s="43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3">
        <v>0</v>
      </c>
      <c r="AO82" s="41">
        <v>0</v>
      </c>
      <c r="AP82" s="41">
        <v>0</v>
      </c>
      <c r="AQ82" s="41">
        <v>0</v>
      </c>
      <c r="AR82" s="41">
        <v>0</v>
      </c>
      <c r="AS82" s="41">
        <v>0</v>
      </c>
      <c r="AT82" s="41">
        <v>0</v>
      </c>
      <c r="AU82" s="41">
        <v>0</v>
      </c>
      <c r="AV82" s="41">
        <v>0</v>
      </c>
      <c r="AW82" s="43">
        <v>0</v>
      </c>
      <c r="AX82" s="41">
        <v>0</v>
      </c>
      <c r="AY82" s="41">
        <v>0</v>
      </c>
      <c r="AZ82" s="41">
        <v>0</v>
      </c>
      <c r="BA82" s="41">
        <v>0</v>
      </c>
      <c r="BB82" s="41">
        <v>0</v>
      </c>
      <c r="BC82" s="41">
        <v>0</v>
      </c>
      <c r="BD82" s="41">
        <v>0</v>
      </c>
      <c r="BE82" s="41">
        <v>0</v>
      </c>
      <c r="BF82" s="43">
        <v>0</v>
      </c>
      <c r="BG82" s="41">
        <v>0</v>
      </c>
      <c r="BH82" s="41">
        <v>0</v>
      </c>
      <c r="BI82" s="41">
        <v>0</v>
      </c>
      <c r="BJ82" s="41">
        <v>0</v>
      </c>
      <c r="BK82" s="41">
        <v>0</v>
      </c>
      <c r="BL82" s="41">
        <v>0</v>
      </c>
      <c r="BM82" s="41">
        <v>0</v>
      </c>
      <c r="BN82" s="41">
        <v>0</v>
      </c>
      <c r="BO82" s="43">
        <v>0</v>
      </c>
      <c r="BP82" s="41">
        <v>0</v>
      </c>
      <c r="BQ82" s="41">
        <v>0</v>
      </c>
      <c r="BR82" s="41">
        <v>0</v>
      </c>
      <c r="BS82" s="41">
        <v>0</v>
      </c>
      <c r="BT82" s="41">
        <v>0</v>
      </c>
      <c r="BU82" s="41">
        <v>0</v>
      </c>
      <c r="BV82" s="41">
        <v>0</v>
      </c>
      <c r="BW82" s="41">
        <v>0</v>
      </c>
      <c r="BX82" s="41">
        <v>0</v>
      </c>
    </row>
    <row r="83" spans="1:76" x14ac:dyDescent="0.35">
      <c r="A83" t="s">
        <v>193</v>
      </c>
      <c r="B83" s="4" t="s">
        <v>73</v>
      </c>
      <c r="C83" s="4" t="s">
        <v>145</v>
      </c>
      <c r="D83" s="4" t="s">
        <v>194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9"/>
      <c r="W83" s="41">
        <v>0</v>
      </c>
      <c r="X83" s="41">
        <v>0</v>
      </c>
      <c r="Y83" s="40">
        <f>'[1]Steel_NG-DR'!$H$35*'Inputs by region STEEL'!G$11</f>
        <v>4.922711058263972E-4</v>
      </c>
      <c r="Z83" s="40">
        <f>'[1]Steel_100%H2-DR'!$H$35*'Inputs by region STEEL'!G$11</f>
        <v>4.922711058263972E-4</v>
      </c>
      <c r="AA83" s="41">
        <v>0</v>
      </c>
      <c r="AB83" s="41">
        <v>0</v>
      </c>
      <c r="AC83" s="41">
        <v>0</v>
      </c>
      <c r="AD83" s="41">
        <v>0</v>
      </c>
      <c r="AE83" s="43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3">
        <v>0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41">
        <v>0</v>
      </c>
      <c r="AU83" s="41">
        <v>0</v>
      </c>
      <c r="AV83" s="41">
        <v>0</v>
      </c>
      <c r="AW83" s="43">
        <v>0</v>
      </c>
      <c r="AX83" s="41">
        <v>0</v>
      </c>
      <c r="AY83" s="41">
        <v>0</v>
      </c>
      <c r="AZ83" s="41">
        <v>0</v>
      </c>
      <c r="BA83" s="41">
        <v>0</v>
      </c>
      <c r="BB83" s="41">
        <v>0</v>
      </c>
      <c r="BC83" s="41">
        <v>0</v>
      </c>
      <c r="BD83" s="41">
        <v>0</v>
      </c>
      <c r="BE83" s="41">
        <v>0</v>
      </c>
      <c r="BF83" s="43">
        <v>0</v>
      </c>
      <c r="BG83" s="41">
        <v>0</v>
      </c>
      <c r="BH83" s="41">
        <v>0</v>
      </c>
      <c r="BI83" s="41">
        <v>0</v>
      </c>
      <c r="BJ83" s="41">
        <v>0</v>
      </c>
      <c r="BK83" s="41">
        <v>0</v>
      </c>
      <c r="BL83" s="41">
        <v>0</v>
      </c>
      <c r="BM83" s="41">
        <v>0</v>
      </c>
      <c r="BN83" s="41">
        <v>0</v>
      </c>
      <c r="BO83" s="43">
        <v>0</v>
      </c>
      <c r="BP83" s="41">
        <v>0</v>
      </c>
      <c r="BQ83" s="41">
        <v>0</v>
      </c>
      <c r="BR83" s="41">
        <v>0</v>
      </c>
      <c r="BS83" s="41">
        <v>0</v>
      </c>
      <c r="BT83" s="41">
        <v>0</v>
      </c>
      <c r="BU83" s="41">
        <v>0</v>
      </c>
      <c r="BV83" s="41">
        <v>0</v>
      </c>
      <c r="BW83" s="41">
        <v>0</v>
      </c>
      <c r="BX83" s="41">
        <v>0</v>
      </c>
    </row>
    <row r="84" spans="1:76" x14ac:dyDescent="0.35">
      <c r="A84" t="s">
        <v>195</v>
      </c>
      <c r="B84" s="4" t="s">
        <v>73</v>
      </c>
      <c r="C84" s="4" t="s">
        <v>145</v>
      </c>
      <c r="D84" s="4" t="s">
        <v>196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9"/>
      <c r="W84" s="41">
        <v>0</v>
      </c>
      <c r="X84" s="41">
        <v>0</v>
      </c>
      <c r="Y84" s="41">
        <f>'[1]Steel_NG-DR'!$H$36*'Inputs by region STEEL'!G$12</f>
        <v>0</v>
      </c>
      <c r="Z84" s="41">
        <f>'[1]Steel_100%H2-DR'!$H$36*'Inputs by region STEEL'!G$12</f>
        <v>0</v>
      </c>
      <c r="AA84" s="41">
        <v>0</v>
      </c>
      <c r="AB84" s="41">
        <v>0</v>
      </c>
      <c r="AC84" s="41">
        <v>0</v>
      </c>
      <c r="AD84" s="41">
        <v>0</v>
      </c>
      <c r="AE84" s="43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3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43">
        <v>0</v>
      </c>
      <c r="AX84" s="41">
        <v>0</v>
      </c>
      <c r="AY84" s="41">
        <v>0</v>
      </c>
      <c r="AZ84" s="41">
        <v>0</v>
      </c>
      <c r="BA84" s="41">
        <v>0</v>
      </c>
      <c r="BB84" s="41">
        <v>0</v>
      </c>
      <c r="BC84" s="41">
        <v>0</v>
      </c>
      <c r="BD84" s="41">
        <v>0</v>
      </c>
      <c r="BE84" s="41">
        <v>0</v>
      </c>
      <c r="BF84" s="43">
        <v>0</v>
      </c>
      <c r="BG84" s="41">
        <v>0</v>
      </c>
      <c r="BH84" s="41">
        <v>0</v>
      </c>
      <c r="BI84" s="41">
        <v>0</v>
      </c>
      <c r="BJ84" s="41">
        <v>0</v>
      </c>
      <c r="BK84" s="41">
        <v>0</v>
      </c>
      <c r="BL84" s="41">
        <v>0</v>
      </c>
      <c r="BM84" s="41">
        <v>0</v>
      </c>
      <c r="BN84" s="41">
        <v>0</v>
      </c>
      <c r="BO84" s="43">
        <v>0</v>
      </c>
      <c r="BP84" s="41">
        <v>0</v>
      </c>
      <c r="BQ84" s="41">
        <v>0</v>
      </c>
      <c r="BR84" s="41">
        <v>0</v>
      </c>
      <c r="BS84" s="41">
        <v>0</v>
      </c>
      <c r="BT84" s="41">
        <v>0</v>
      </c>
      <c r="BU84" s="41">
        <v>0</v>
      </c>
      <c r="BV84" s="41">
        <v>0</v>
      </c>
      <c r="BW84" s="41">
        <v>0</v>
      </c>
      <c r="BX84" s="41">
        <v>0</v>
      </c>
    </row>
    <row r="85" spans="1:76" x14ac:dyDescent="0.35">
      <c r="A85" t="s">
        <v>197</v>
      </c>
      <c r="B85" s="4" t="s">
        <v>73</v>
      </c>
      <c r="C85" s="4" t="s">
        <v>181</v>
      </c>
      <c r="D85" s="4" t="s">
        <v>198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9"/>
      <c r="W85" s="41">
        <v>0</v>
      </c>
      <c r="X85" s="41">
        <v>0</v>
      </c>
      <c r="Y85" s="40">
        <f>('[1]Steel_NG-DR'!$H$37+'[1]Steel_NG-DR'!$H$16)*'Inputs by region STEEL'!G$13</f>
        <v>3.7860913795851507E-4</v>
      </c>
      <c r="Z85" s="40">
        <f>('[1]Steel_100%H2-DR'!$H$16+'[1]Steel_100%H2-DR'!$H$37)*'Inputs by region STEEL'!G$13</f>
        <v>3.6586167200000007E-4</v>
      </c>
      <c r="AA85" s="41">
        <v>0</v>
      </c>
      <c r="AB85" s="41">
        <v>0</v>
      </c>
      <c r="AC85" s="41">
        <v>0</v>
      </c>
      <c r="AD85" s="41">
        <v>0</v>
      </c>
      <c r="AE85" s="43">
        <v>0</v>
      </c>
      <c r="AF85" s="41">
        <v>0</v>
      </c>
      <c r="AG85" s="41">
        <v>0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3">
        <v>0</v>
      </c>
      <c r="AO85" s="41">
        <v>0</v>
      </c>
      <c r="AP85" s="41">
        <v>0</v>
      </c>
      <c r="AQ85" s="41">
        <v>0</v>
      </c>
      <c r="AR85" s="41">
        <v>0</v>
      </c>
      <c r="AS85" s="41">
        <v>0</v>
      </c>
      <c r="AT85" s="41">
        <v>0</v>
      </c>
      <c r="AU85" s="41">
        <v>0</v>
      </c>
      <c r="AV85" s="41">
        <v>0</v>
      </c>
      <c r="AW85" s="43">
        <v>0</v>
      </c>
      <c r="AX85" s="41">
        <v>0</v>
      </c>
      <c r="AY85" s="41">
        <v>0</v>
      </c>
      <c r="AZ85" s="41">
        <v>0</v>
      </c>
      <c r="BA85" s="41">
        <v>0</v>
      </c>
      <c r="BB85" s="41">
        <v>0</v>
      </c>
      <c r="BC85" s="41">
        <v>0</v>
      </c>
      <c r="BD85" s="41">
        <v>0</v>
      </c>
      <c r="BE85" s="41">
        <v>0</v>
      </c>
      <c r="BF85" s="43">
        <v>0</v>
      </c>
      <c r="BG85" s="41">
        <v>0</v>
      </c>
      <c r="BH85" s="41">
        <v>0</v>
      </c>
      <c r="BI85" s="41">
        <v>0</v>
      </c>
      <c r="BJ85" s="41">
        <v>0</v>
      </c>
      <c r="BK85" s="41">
        <v>0</v>
      </c>
      <c r="BL85" s="41">
        <v>0</v>
      </c>
      <c r="BM85" s="41">
        <v>0</v>
      </c>
      <c r="BN85" s="41">
        <v>0</v>
      </c>
      <c r="BO85" s="43">
        <v>0</v>
      </c>
      <c r="BP85" s="41">
        <v>0</v>
      </c>
      <c r="BQ85" s="41">
        <v>0</v>
      </c>
      <c r="BR85" s="41">
        <v>0</v>
      </c>
      <c r="BS85" s="41">
        <v>0</v>
      </c>
      <c r="BT85" s="41">
        <v>0</v>
      </c>
      <c r="BU85" s="41">
        <v>0</v>
      </c>
      <c r="BV85" s="41">
        <v>0</v>
      </c>
      <c r="BW85" s="41">
        <v>0</v>
      </c>
      <c r="BX85" s="41">
        <v>0</v>
      </c>
    </row>
    <row r="86" spans="1:76" x14ac:dyDescent="0.35">
      <c r="A86" t="s">
        <v>199</v>
      </c>
      <c r="B86" s="4" t="s">
        <v>73</v>
      </c>
      <c r="C86" s="4" t="s">
        <v>181</v>
      </c>
      <c r="D86" s="4" t="s">
        <v>200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9"/>
      <c r="W86" s="41">
        <v>0</v>
      </c>
      <c r="X86" s="41">
        <v>0</v>
      </c>
      <c r="Y86" s="40">
        <f>('[1]Steel_NG-DR'!$H$37+'[1]Steel_NG-DR'!$H$16)*'Inputs by region STEEL'!G$14</f>
        <v>7.1686251377883477E-4</v>
      </c>
      <c r="Z86" s="40">
        <f>('[1]Steel_100%H2-DR'!$H$16+'[1]Steel_100%H2-DR'!$H$37)*'Inputs by region STEEL'!G$14</f>
        <v>6.9272632800000005E-4</v>
      </c>
      <c r="AA86" s="41">
        <v>0</v>
      </c>
      <c r="AB86" s="41">
        <v>0</v>
      </c>
      <c r="AC86" s="41">
        <v>0</v>
      </c>
      <c r="AD86" s="41">
        <v>0</v>
      </c>
      <c r="AE86" s="43">
        <v>0</v>
      </c>
      <c r="AF86" s="41">
        <v>0</v>
      </c>
      <c r="AG86" s="41">
        <v>0</v>
      </c>
      <c r="AH86" s="41">
        <v>0</v>
      </c>
      <c r="AI86" s="41">
        <v>0</v>
      </c>
      <c r="AJ86" s="41">
        <v>0</v>
      </c>
      <c r="AK86" s="41">
        <v>0</v>
      </c>
      <c r="AL86" s="41">
        <v>0</v>
      </c>
      <c r="AM86" s="41">
        <v>0</v>
      </c>
      <c r="AN86" s="43">
        <v>0</v>
      </c>
      <c r="AO86" s="41">
        <v>0</v>
      </c>
      <c r="AP86" s="41">
        <v>0</v>
      </c>
      <c r="AQ86" s="41">
        <v>0</v>
      </c>
      <c r="AR86" s="41">
        <v>0</v>
      </c>
      <c r="AS86" s="41">
        <v>0</v>
      </c>
      <c r="AT86" s="41">
        <v>0</v>
      </c>
      <c r="AU86" s="41">
        <v>0</v>
      </c>
      <c r="AV86" s="41">
        <v>0</v>
      </c>
      <c r="AW86" s="43">
        <v>0</v>
      </c>
      <c r="AX86" s="41">
        <v>0</v>
      </c>
      <c r="AY86" s="41">
        <v>0</v>
      </c>
      <c r="AZ86" s="41">
        <v>0</v>
      </c>
      <c r="BA86" s="41">
        <v>0</v>
      </c>
      <c r="BB86" s="41">
        <v>0</v>
      </c>
      <c r="BC86" s="41">
        <v>0</v>
      </c>
      <c r="BD86" s="41">
        <v>0</v>
      </c>
      <c r="BE86" s="41">
        <v>0</v>
      </c>
      <c r="BF86" s="43">
        <v>0</v>
      </c>
      <c r="BG86" s="41">
        <v>0</v>
      </c>
      <c r="BH86" s="41">
        <v>0</v>
      </c>
      <c r="BI86" s="41">
        <v>0</v>
      </c>
      <c r="BJ86" s="41">
        <v>0</v>
      </c>
      <c r="BK86" s="41">
        <v>0</v>
      </c>
      <c r="BL86" s="41">
        <v>0</v>
      </c>
      <c r="BM86" s="41">
        <v>0</v>
      </c>
      <c r="BN86" s="41">
        <v>0</v>
      </c>
      <c r="BO86" s="43">
        <v>0</v>
      </c>
      <c r="BP86" s="41">
        <v>0</v>
      </c>
      <c r="BQ86" s="41">
        <v>0</v>
      </c>
      <c r="BR86" s="41">
        <v>0</v>
      </c>
      <c r="BS86" s="41">
        <v>0</v>
      </c>
      <c r="BT86" s="41">
        <v>0</v>
      </c>
      <c r="BU86" s="41">
        <v>0</v>
      </c>
      <c r="BV86" s="41">
        <v>0</v>
      </c>
      <c r="BW86" s="41">
        <v>0</v>
      </c>
      <c r="BX86" s="41">
        <v>0</v>
      </c>
    </row>
    <row r="87" spans="1:76" ht="15" thickBot="1" x14ac:dyDescent="0.4">
      <c r="A87" t="s">
        <v>201</v>
      </c>
      <c r="B87" s="4" t="s">
        <v>73</v>
      </c>
      <c r="C87" s="4" t="s">
        <v>181</v>
      </c>
      <c r="D87" s="4" t="s">
        <v>202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9"/>
      <c r="W87" s="44">
        <v>0</v>
      </c>
      <c r="X87" s="44">
        <v>0</v>
      </c>
      <c r="Y87" s="45">
        <f>('[1]Steel_NG-DR'!$H$37+'[1]Steel_NG-DR'!$H$16)*'Inputs by region STEEL'!G$15</f>
        <v>2.438307869996036E-3</v>
      </c>
      <c r="Z87" s="45">
        <f>('[1]Steel_100%H2-DR'!$H$16+'[1]Steel_100%H2-DR'!$H$37)*'Inputs by region STEEL'!G$15</f>
        <v>2.3562119999999999E-3</v>
      </c>
      <c r="AA87" s="44">
        <v>0</v>
      </c>
      <c r="AB87" s="44">
        <v>0</v>
      </c>
      <c r="AC87" s="44">
        <v>0</v>
      </c>
      <c r="AD87" s="44">
        <v>0</v>
      </c>
      <c r="AE87" s="46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6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6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6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6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v>0</v>
      </c>
      <c r="BU87" s="44">
        <v>0</v>
      </c>
      <c r="BV87" s="44">
        <v>0</v>
      </c>
      <c r="BW87" s="44">
        <v>0</v>
      </c>
      <c r="BX87" s="44">
        <v>0</v>
      </c>
    </row>
    <row r="88" spans="1:76" x14ac:dyDescent="0.35">
      <c r="A88" t="s">
        <v>176</v>
      </c>
      <c r="B88" s="4" t="s">
        <v>88</v>
      </c>
      <c r="C88" s="4" t="s">
        <v>145</v>
      </c>
      <c r="D88" s="4" t="s">
        <v>177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9"/>
      <c r="W88" s="41">
        <v>0</v>
      </c>
      <c r="X88" s="41">
        <v>0</v>
      </c>
      <c r="Y88" s="40">
        <f>'[1]Steel_NG-DR'!$H$15*'Inputs by region STEEL'!H$5</f>
        <v>0.16108845734587587</v>
      </c>
      <c r="Z88" s="40">
        <f>'[1]Steel_100%H2-DR'!$H$15*'Inputs by region STEEL'!H$5</f>
        <v>0.16108845734587587</v>
      </c>
      <c r="AA88" s="41">
        <v>0</v>
      </c>
      <c r="AB88" s="41">
        <v>0</v>
      </c>
      <c r="AC88" s="41">
        <v>0</v>
      </c>
      <c r="AD88" s="41">
        <v>0</v>
      </c>
      <c r="AE88" s="43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3">
        <v>0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0</v>
      </c>
      <c r="AU88" s="41">
        <v>0</v>
      </c>
      <c r="AV88" s="41">
        <v>0</v>
      </c>
      <c r="AW88" s="43">
        <v>0</v>
      </c>
      <c r="AX88" s="41">
        <v>0</v>
      </c>
      <c r="AY88" s="41">
        <v>0</v>
      </c>
      <c r="AZ88" s="41">
        <v>0</v>
      </c>
      <c r="BA88" s="41">
        <v>0</v>
      </c>
      <c r="BB88" s="41">
        <v>0</v>
      </c>
      <c r="BC88" s="41">
        <v>0</v>
      </c>
      <c r="BD88" s="41">
        <v>0</v>
      </c>
      <c r="BE88" s="41">
        <v>0</v>
      </c>
      <c r="BF88" s="43">
        <v>0</v>
      </c>
      <c r="BG88" s="41">
        <v>0</v>
      </c>
      <c r="BH88" s="41">
        <v>0</v>
      </c>
      <c r="BI88" s="41">
        <v>0</v>
      </c>
      <c r="BJ88" s="41">
        <v>0</v>
      </c>
      <c r="BK88" s="41">
        <v>0</v>
      </c>
      <c r="BL88" s="41">
        <v>0</v>
      </c>
      <c r="BM88" s="41">
        <v>0</v>
      </c>
      <c r="BN88" s="41">
        <v>0</v>
      </c>
      <c r="BO88" s="43">
        <v>0</v>
      </c>
      <c r="BP88" s="41">
        <v>0</v>
      </c>
      <c r="BQ88" s="41">
        <v>0</v>
      </c>
      <c r="BR88" s="41">
        <v>0</v>
      </c>
      <c r="BS88" s="41">
        <v>0</v>
      </c>
      <c r="BT88" s="41">
        <v>0</v>
      </c>
      <c r="BU88" s="41">
        <v>0</v>
      </c>
      <c r="BV88" s="41">
        <v>0</v>
      </c>
      <c r="BW88" s="41">
        <v>0</v>
      </c>
      <c r="BX88" s="41">
        <v>0</v>
      </c>
    </row>
    <row r="89" spans="1:76" x14ac:dyDescent="0.35">
      <c r="A89" s="77" t="s">
        <v>183</v>
      </c>
      <c r="B89" s="4" t="s">
        <v>88</v>
      </c>
      <c r="C89" s="4" t="s">
        <v>145</v>
      </c>
      <c r="D89" s="4" t="s">
        <v>184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9"/>
      <c r="W89" s="41">
        <v>0</v>
      </c>
      <c r="X89" s="41">
        <v>0</v>
      </c>
      <c r="Y89" s="41">
        <f>'[1]Steel_NG-DR'!$H$29*'Inputs by region STEEL'!H$6</f>
        <v>0</v>
      </c>
      <c r="Z89" s="41">
        <f>'[1]Steel_100%H2-DR'!$H$29*'Inputs by region STEEL'!H$6</f>
        <v>0</v>
      </c>
      <c r="AA89" s="41">
        <v>0</v>
      </c>
      <c r="AB89" s="41">
        <v>0</v>
      </c>
      <c r="AC89" s="41">
        <v>0</v>
      </c>
      <c r="AD89" s="41">
        <v>0</v>
      </c>
      <c r="AE89" s="43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3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0</v>
      </c>
      <c r="AT89" s="41">
        <v>0</v>
      </c>
      <c r="AU89" s="41">
        <v>0</v>
      </c>
      <c r="AV89" s="41">
        <v>0</v>
      </c>
      <c r="AW89" s="43">
        <v>0</v>
      </c>
      <c r="AX89" s="41">
        <v>0</v>
      </c>
      <c r="AY89" s="41">
        <v>0</v>
      </c>
      <c r="AZ89" s="41">
        <v>0</v>
      </c>
      <c r="BA89" s="41">
        <v>0</v>
      </c>
      <c r="BB89" s="41">
        <v>0</v>
      </c>
      <c r="BC89" s="41">
        <v>0</v>
      </c>
      <c r="BD89" s="41">
        <v>0</v>
      </c>
      <c r="BE89" s="41">
        <v>0</v>
      </c>
      <c r="BF89" s="43">
        <v>0</v>
      </c>
      <c r="BG89" s="41">
        <v>0</v>
      </c>
      <c r="BH89" s="41">
        <v>0</v>
      </c>
      <c r="BI89" s="41">
        <v>0</v>
      </c>
      <c r="BJ89" s="41">
        <v>0</v>
      </c>
      <c r="BK89" s="41">
        <v>0</v>
      </c>
      <c r="BL89" s="41">
        <v>0</v>
      </c>
      <c r="BM89" s="41">
        <v>0</v>
      </c>
      <c r="BN89" s="41">
        <v>0</v>
      </c>
      <c r="BO89" s="43">
        <v>0</v>
      </c>
      <c r="BP89" s="41">
        <v>0</v>
      </c>
      <c r="BQ89" s="41">
        <v>0</v>
      </c>
      <c r="BR89" s="41">
        <v>0</v>
      </c>
      <c r="BS89" s="41">
        <v>0</v>
      </c>
      <c r="BT89" s="41">
        <v>0</v>
      </c>
      <c r="BU89" s="41">
        <v>0</v>
      </c>
      <c r="BV89" s="41">
        <v>0</v>
      </c>
      <c r="BW89" s="41">
        <v>0</v>
      </c>
      <c r="BX89" s="41">
        <v>0</v>
      </c>
    </row>
    <row r="90" spans="1:76" x14ac:dyDescent="0.35">
      <c r="A90" t="s">
        <v>185</v>
      </c>
      <c r="B90" s="4" t="s">
        <v>88</v>
      </c>
      <c r="C90" s="4" t="s">
        <v>145</v>
      </c>
      <c r="D90" s="4" t="s">
        <v>186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9"/>
      <c r="W90" s="41">
        <v>0</v>
      </c>
      <c r="X90" s="41">
        <v>0</v>
      </c>
      <c r="Y90" s="40">
        <f>'[1]Steel_NG-DR'!$H$31*'Inputs by region STEEL'!H$7</f>
        <v>5.0558836222750793E-4</v>
      </c>
      <c r="Z90" s="40">
        <f>'[1]Steel_100%H2-DR'!$H$31*'Inputs by region STEEL'!H$7</f>
        <v>5.0558836222750793E-4</v>
      </c>
      <c r="AA90" s="41">
        <v>0</v>
      </c>
      <c r="AB90" s="41">
        <v>0</v>
      </c>
      <c r="AC90" s="41">
        <v>0</v>
      </c>
      <c r="AD90" s="41">
        <v>0</v>
      </c>
      <c r="AE90" s="43">
        <v>0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3">
        <v>0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41">
        <v>0</v>
      </c>
      <c r="AU90" s="41">
        <v>0</v>
      </c>
      <c r="AV90" s="41">
        <v>0</v>
      </c>
      <c r="AW90" s="43">
        <v>0</v>
      </c>
      <c r="AX90" s="41">
        <v>0</v>
      </c>
      <c r="AY90" s="41">
        <v>0</v>
      </c>
      <c r="AZ90" s="41">
        <v>0</v>
      </c>
      <c r="BA90" s="41">
        <v>0</v>
      </c>
      <c r="BB90" s="41">
        <v>0</v>
      </c>
      <c r="BC90" s="41">
        <v>0</v>
      </c>
      <c r="BD90" s="41">
        <v>0</v>
      </c>
      <c r="BE90" s="41">
        <v>0</v>
      </c>
      <c r="BF90" s="43">
        <v>0</v>
      </c>
      <c r="BG90" s="41">
        <v>0</v>
      </c>
      <c r="BH90" s="41">
        <v>0</v>
      </c>
      <c r="BI90" s="41">
        <v>0</v>
      </c>
      <c r="BJ90" s="41">
        <v>0</v>
      </c>
      <c r="BK90" s="41">
        <v>0</v>
      </c>
      <c r="BL90" s="41">
        <v>0</v>
      </c>
      <c r="BM90" s="41">
        <v>0</v>
      </c>
      <c r="BN90" s="41">
        <v>0</v>
      </c>
      <c r="BO90" s="43">
        <v>0</v>
      </c>
      <c r="BP90" s="41">
        <v>0</v>
      </c>
      <c r="BQ90" s="41">
        <v>0</v>
      </c>
      <c r="BR90" s="41">
        <v>0</v>
      </c>
      <c r="BS90" s="41">
        <v>0</v>
      </c>
      <c r="BT90" s="41">
        <v>0</v>
      </c>
      <c r="BU90" s="41">
        <v>0</v>
      </c>
      <c r="BV90" s="41">
        <v>0</v>
      </c>
      <c r="BW90" s="41">
        <v>0</v>
      </c>
      <c r="BX90" s="41">
        <v>0</v>
      </c>
    </row>
    <row r="91" spans="1:76" x14ac:dyDescent="0.35">
      <c r="A91" t="s">
        <v>187</v>
      </c>
      <c r="B91" s="4" t="s">
        <v>88</v>
      </c>
      <c r="C91" s="4" t="s">
        <v>145</v>
      </c>
      <c r="D91" s="4" t="s">
        <v>188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9"/>
      <c r="W91" s="41">
        <v>0</v>
      </c>
      <c r="X91" s="41">
        <v>0</v>
      </c>
      <c r="Y91" s="40">
        <f>'[1]Steel_NG-DR'!$H$32*'Inputs by region STEEL'!H$8</f>
        <v>4.8514464106651379E-3</v>
      </c>
      <c r="Z91" s="40">
        <f>'[1]Steel_100%H2-DR'!$H$32*'Inputs by region STEEL'!H$8</f>
        <v>4.8514464106651379E-3</v>
      </c>
      <c r="AA91" s="41">
        <v>0</v>
      </c>
      <c r="AB91" s="41">
        <v>0</v>
      </c>
      <c r="AC91" s="41">
        <v>0</v>
      </c>
      <c r="AD91" s="41">
        <v>0</v>
      </c>
      <c r="AE91" s="43">
        <v>0</v>
      </c>
      <c r="AF91" s="41">
        <v>0</v>
      </c>
      <c r="AG91" s="41">
        <v>0</v>
      </c>
      <c r="AH91" s="41">
        <v>0</v>
      </c>
      <c r="AI91" s="41">
        <v>0</v>
      </c>
      <c r="AJ91" s="41">
        <v>0</v>
      </c>
      <c r="AK91" s="41">
        <v>0</v>
      </c>
      <c r="AL91" s="41">
        <v>0</v>
      </c>
      <c r="AM91" s="41">
        <v>0</v>
      </c>
      <c r="AN91" s="43">
        <v>0</v>
      </c>
      <c r="AO91" s="41">
        <v>0</v>
      </c>
      <c r="AP91" s="41">
        <v>0</v>
      </c>
      <c r="AQ91" s="41">
        <v>0</v>
      </c>
      <c r="AR91" s="41">
        <v>0</v>
      </c>
      <c r="AS91" s="41">
        <v>0</v>
      </c>
      <c r="AT91" s="41">
        <v>0</v>
      </c>
      <c r="AU91" s="41">
        <v>0</v>
      </c>
      <c r="AV91" s="41">
        <v>0</v>
      </c>
      <c r="AW91" s="43">
        <v>0</v>
      </c>
      <c r="AX91" s="41">
        <v>0</v>
      </c>
      <c r="AY91" s="41">
        <v>0</v>
      </c>
      <c r="AZ91" s="41">
        <v>0</v>
      </c>
      <c r="BA91" s="41">
        <v>0</v>
      </c>
      <c r="BB91" s="41">
        <v>0</v>
      </c>
      <c r="BC91" s="41">
        <v>0</v>
      </c>
      <c r="BD91" s="41">
        <v>0</v>
      </c>
      <c r="BE91" s="41">
        <v>0</v>
      </c>
      <c r="BF91" s="43">
        <v>0</v>
      </c>
      <c r="BG91" s="41">
        <v>0</v>
      </c>
      <c r="BH91" s="41">
        <v>0</v>
      </c>
      <c r="BI91" s="41">
        <v>0</v>
      </c>
      <c r="BJ91" s="41">
        <v>0</v>
      </c>
      <c r="BK91" s="41">
        <v>0</v>
      </c>
      <c r="BL91" s="41">
        <v>0</v>
      </c>
      <c r="BM91" s="41">
        <v>0</v>
      </c>
      <c r="BN91" s="41">
        <v>0</v>
      </c>
      <c r="BO91" s="43">
        <v>0</v>
      </c>
      <c r="BP91" s="41">
        <v>0</v>
      </c>
      <c r="BQ91" s="41">
        <v>0</v>
      </c>
      <c r="BR91" s="41">
        <v>0</v>
      </c>
      <c r="BS91" s="41">
        <v>0</v>
      </c>
      <c r="BT91" s="41">
        <v>0</v>
      </c>
      <c r="BU91" s="41">
        <v>0</v>
      </c>
      <c r="BV91" s="41">
        <v>0</v>
      </c>
      <c r="BW91" s="41">
        <v>0</v>
      </c>
      <c r="BX91" s="41">
        <v>0</v>
      </c>
    </row>
    <row r="92" spans="1:76" x14ac:dyDescent="0.35">
      <c r="A92" t="s">
        <v>189</v>
      </c>
      <c r="B92" s="4" t="s">
        <v>88</v>
      </c>
      <c r="C92" s="4" t="s">
        <v>145</v>
      </c>
      <c r="D92" s="4" t="s">
        <v>190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9"/>
      <c r="W92" s="41">
        <v>0</v>
      </c>
      <c r="X92" s="40">
        <f>'[1]Steel_BF-BOF with H2'!$H$39*'[1]Steel_BF-BOF with H2'!$N$28</f>
        <v>4.4451090694311274E-2</v>
      </c>
      <c r="Y92" s="40">
        <f>'[1]Steel_NG-DR'!$H$33*'Inputs by region STEEL'!H$9</f>
        <v>1.109418436791091E-2</v>
      </c>
      <c r="Z92" s="40">
        <f>'[1]Steel_100%H2-DR'!$H$33*'Inputs by region STEEL'!H$9</f>
        <v>1.109418436791091E-2</v>
      </c>
      <c r="AA92" s="40">
        <f>'[1]Steel_BF-BOF with char (+CCUS)'!$H$26*'[1]Steel_BF-BOF with char (+CCUS)'!$N$27</f>
        <v>9.2276548594747033E-3</v>
      </c>
      <c r="AB92" s="40">
        <f>'[1]Steel_BF-BOF with char (+CCUS)'!$H$53*'[1]Steel_BF-BOF with char (+CCUS)'!$N$54</f>
        <v>9.2276548594747033E-3</v>
      </c>
      <c r="AC92" s="41">
        <v>0</v>
      </c>
      <c r="AD92" s="41">
        <v>0</v>
      </c>
      <c r="AE92" s="43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3">
        <v>0</v>
      </c>
      <c r="AO92" s="41">
        <v>0</v>
      </c>
      <c r="AP92" s="41">
        <v>0</v>
      </c>
      <c r="AQ92" s="41">
        <v>0</v>
      </c>
      <c r="AR92" s="41">
        <v>0</v>
      </c>
      <c r="AS92" s="41">
        <v>0</v>
      </c>
      <c r="AT92" s="41">
        <v>0</v>
      </c>
      <c r="AU92" s="41">
        <v>0</v>
      </c>
      <c r="AV92" s="41">
        <v>0</v>
      </c>
      <c r="AW92" s="43">
        <v>0</v>
      </c>
      <c r="AX92" s="41">
        <v>0</v>
      </c>
      <c r="AY92" s="41">
        <v>0</v>
      </c>
      <c r="AZ92" s="41">
        <v>0</v>
      </c>
      <c r="BA92" s="41">
        <v>0</v>
      </c>
      <c r="BB92" s="41">
        <v>0</v>
      </c>
      <c r="BC92" s="41">
        <v>0</v>
      </c>
      <c r="BD92" s="41">
        <v>0</v>
      </c>
      <c r="BE92" s="41">
        <v>0</v>
      </c>
      <c r="BF92" s="43">
        <v>0</v>
      </c>
      <c r="BG92" s="41">
        <v>0</v>
      </c>
      <c r="BH92" s="41">
        <v>0</v>
      </c>
      <c r="BI92" s="41">
        <v>0</v>
      </c>
      <c r="BJ92" s="41">
        <v>0</v>
      </c>
      <c r="BK92" s="41">
        <v>0</v>
      </c>
      <c r="BL92" s="41">
        <v>0</v>
      </c>
      <c r="BM92" s="41">
        <v>0</v>
      </c>
      <c r="BN92" s="41">
        <v>0</v>
      </c>
      <c r="BO92" s="43">
        <v>0</v>
      </c>
      <c r="BP92" s="41">
        <v>0</v>
      </c>
      <c r="BQ92" s="41">
        <v>0</v>
      </c>
      <c r="BR92" s="41">
        <v>0</v>
      </c>
      <c r="BS92" s="41">
        <v>0</v>
      </c>
      <c r="BT92" s="41">
        <v>0</v>
      </c>
      <c r="BU92" s="41">
        <v>0</v>
      </c>
      <c r="BV92" s="41">
        <v>0</v>
      </c>
      <c r="BW92" s="41">
        <v>0</v>
      </c>
      <c r="BX92" s="41">
        <v>0</v>
      </c>
    </row>
    <row r="93" spans="1:76" x14ac:dyDescent="0.35">
      <c r="A93" t="s">
        <v>87</v>
      </c>
      <c r="B93" s="4" t="s">
        <v>88</v>
      </c>
      <c r="C93" s="4" t="s">
        <v>145</v>
      </c>
      <c r="D93" s="4" t="s">
        <v>196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9"/>
      <c r="W93" s="41">
        <v>0</v>
      </c>
      <c r="X93" s="41">
        <v>0</v>
      </c>
      <c r="Y93" s="41">
        <v>0</v>
      </c>
      <c r="Z93" s="41">
        <v>0</v>
      </c>
      <c r="AA93" s="40">
        <f>'[1]Steel_BF-BOF with char (+CCUS)'!$H$27*'Inputs by region STEEL'!H$9</f>
        <v>6.9627451701437512E-2</v>
      </c>
      <c r="AB93" s="40">
        <f>'[1]Steel_BF-BOF with char (+CCUS)'!$H$54*'Inputs by region STEEL'!H$9</f>
        <v>6.9627451701437512E-2</v>
      </c>
      <c r="AC93" s="41">
        <v>0</v>
      </c>
      <c r="AD93" s="41">
        <v>0</v>
      </c>
      <c r="AE93" s="43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3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41">
        <v>0</v>
      </c>
      <c r="AU93" s="41">
        <v>0</v>
      </c>
      <c r="AV93" s="41">
        <v>0</v>
      </c>
      <c r="AW93" s="43">
        <v>0</v>
      </c>
      <c r="AX93" s="41">
        <v>0</v>
      </c>
      <c r="AY93" s="41">
        <v>0</v>
      </c>
      <c r="AZ93" s="41">
        <v>0</v>
      </c>
      <c r="BA93" s="41">
        <v>0</v>
      </c>
      <c r="BB93" s="41">
        <v>0</v>
      </c>
      <c r="BC93" s="41">
        <v>0</v>
      </c>
      <c r="BD93" s="41">
        <v>0</v>
      </c>
      <c r="BE93" s="41">
        <v>0</v>
      </c>
      <c r="BF93" s="43">
        <v>0</v>
      </c>
      <c r="BG93" s="41">
        <v>0</v>
      </c>
      <c r="BH93" s="41">
        <v>0</v>
      </c>
      <c r="BI93" s="41">
        <v>0</v>
      </c>
      <c r="BJ93" s="41">
        <v>0</v>
      </c>
      <c r="BK93" s="41">
        <v>0</v>
      </c>
      <c r="BL93" s="41">
        <v>0</v>
      </c>
      <c r="BM93" s="41">
        <v>0</v>
      </c>
      <c r="BN93" s="41">
        <v>0</v>
      </c>
      <c r="BO93" s="43">
        <v>0</v>
      </c>
      <c r="BP93" s="41">
        <v>0</v>
      </c>
      <c r="BQ93" s="41">
        <v>0</v>
      </c>
      <c r="BR93" s="41">
        <v>0</v>
      </c>
      <c r="BS93" s="41">
        <v>0</v>
      </c>
      <c r="BT93" s="41">
        <v>0</v>
      </c>
      <c r="BU93" s="41">
        <v>0</v>
      </c>
      <c r="BV93" s="41">
        <v>0</v>
      </c>
      <c r="BW93" s="41">
        <v>0</v>
      </c>
      <c r="BX93" s="41">
        <v>0</v>
      </c>
    </row>
    <row r="94" spans="1:76" x14ac:dyDescent="0.35">
      <c r="A94" t="s">
        <v>191</v>
      </c>
      <c r="B94" s="4" t="s">
        <v>88</v>
      </c>
      <c r="C94" s="4" t="s">
        <v>145</v>
      </c>
      <c r="D94" s="4" t="s">
        <v>192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9"/>
      <c r="W94" s="41">
        <v>0</v>
      </c>
      <c r="X94" s="41">
        <v>0</v>
      </c>
      <c r="Y94" s="40">
        <f>'[1]Steel_NG-DR'!$H$34*'Inputs by region STEEL'!H$10</f>
        <v>2.890870278990243E-5</v>
      </c>
      <c r="Z94" s="40">
        <f>'[1]Steel_100%H2-DR'!$H$34*'Inputs by region STEEL'!H$10</f>
        <v>2.890870278990243E-5</v>
      </c>
      <c r="AA94" s="41">
        <v>0</v>
      </c>
      <c r="AB94" s="41">
        <v>0</v>
      </c>
      <c r="AC94" s="41">
        <v>0</v>
      </c>
      <c r="AD94" s="41">
        <v>0</v>
      </c>
      <c r="AE94" s="43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3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43">
        <v>0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3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 s="41">
        <v>0</v>
      </c>
      <c r="BM94" s="41">
        <v>0</v>
      </c>
      <c r="BN94" s="41">
        <v>0</v>
      </c>
      <c r="BO94" s="43">
        <v>0</v>
      </c>
      <c r="BP94" s="41">
        <v>0</v>
      </c>
      <c r="BQ94" s="41">
        <v>0</v>
      </c>
      <c r="BR94" s="41">
        <v>0</v>
      </c>
      <c r="BS94" s="41">
        <v>0</v>
      </c>
      <c r="BT94" s="41">
        <v>0</v>
      </c>
      <c r="BU94" s="41">
        <v>0</v>
      </c>
      <c r="BV94" s="41">
        <v>0</v>
      </c>
      <c r="BW94" s="41">
        <v>0</v>
      </c>
      <c r="BX94" s="41">
        <v>0</v>
      </c>
    </row>
    <row r="95" spans="1:76" x14ac:dyDescent="0.35">
      <c r="A95" t="s">
        <v>193</v>
      </c>
      <c r="B95" s="4" t="s">
        <v>88</v>
      </c>
      <c r="C95" s="4" t="s">
        <v>145</v>
      </c>
      <c r="D95" s="4" t="s">
        <v>194</v>
      </c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9"/>
      <c r="W95" s="41">
        <v>0</v>
      </c>
      <c r="X95" s="41">
        <v>0</v>
      </c>
      <c r="Y95" s="40">
        <f>'[1]Steel_NG-DR'!$H$35*'Inputs by region STEEL'!H$11</f>
        <v>0</v>
      </c>
      <c r="Z95" s="40">
        <f>'[1]Steel_100%H2-DR'!$H$35*'Inputs by region STEEL'!H$11</f>
        <v>0</v>
      </c>
      <c r="AA95" s="41">
        <v>0</v>
      </c>
      <c r="AB95" s="41">
        <v>0</v>
      </c>
      <c r="AC95" s="41">
        <v>0</v>
      </c>
      <c r="AD95" s="41">
        <v>0</v>
      </c>
      <c r="AE95" s="43">
        <v>0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3">
        <v>0</v>
      </c>
      <c r="AO95" s="41">
        <v>0</v>
      </c>
      <c r="AP95" s="41">
        <v>0</v>
      </c>
      <c r="AQ95" s="41">
        <v>0</v>
      </c>
      <c r="AR95" s="41">
        <v>0</v>
      </c>
      <c r="AS95" s="41">
        <v>0</v>
      </c>
      <c r="AT95" s="41">
        <v>0</v>
      </c>
      <c r="AU95" s="41">
        <v>0</v>
      </c>
      <c r="AV95" s="41">
        <v>0</v>
      </c>
      <c r="AW95" s="43">
        <v>0</v>
      </c>
      <c r="AX95" s="41">
        <v>0</v>
      </c>
      <c r="AY95" s="41">
        <v>0</v>
      </c>
      <c r="AZ95" s="41">
        <v>0</v>
      </c>
      <c r="BA95" s="41">
        <v>0</v>
      </c>
      <c r="BB95" s="41">
        <v>0</v>
      </c>
      <c r="BC95" s="41">
        <v>0</v>
      </c>
      <c r="BD95" s="41">
        <v>0</v>
      </c>
      <c r="BE95" s="41">
        <v>0</v>
      </c>
      <c r="BF95" s="43">
        <v>0</v>
      </c>
      <c r="BG95" s="41">
        <v>0</v>
      </c>
      <c r="BH95" s="41">
        <v>0</v>
      </c>
      <c r="BI95" s="41">
        <v>0</v>
      </c>
      <c r="BJ95" s="41">
        <v>0</v>
      </c>
      <c r="BK95" s="41">
        <v>0</v>
      </c>
      <c r="BL95" s="41">
        <v>0</v>
      </c>
      <c r="BM95" s="41">
        <v>0</v>
      </c>
      <c r="BN95" s="41">
        <v>0</v>
      </c>
      <c r="BO95" s="43">
        <v>0</v>
      </c>
      <c r="BP95" s="41">
        <v>0</v>
      </c>
      <c r="BQ95" s="41">
        <v>0</v>
      </c>
      <c r="BR95" s="41">
        <v>0</v>
      </c>
      <c r="BS95" s="41">
        <v>0</v>
      </c>
      <c r="BT95" s="41">
        <v>0</v>
      </c>
      <c r="BU95" s="41">
        <v>0</v>
      </c>
      <c r="BV95" s="41">
        <v>0</v>
      </c>
      <c r="BW95" s="41">
        <v>0</v>
      </c>
      <c r="BX95" s="41">
        <v>0</v>
      </c>
    </row>
    <row r="96" spans="1:76" x14ac:dyDescent="0.35">
      <c r="A96" t="s">
        <v>195</v>
      </c>
      <c r="B96" s="4" t="s">
        <v>88</v>
      </c>
      <c r="C96" s="4" t="s">
        <v>145</v>
      </c>
      <c r="D96" s="4" t="s">
        <v>196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9"/>
      <c r="W96" s="41">
        <v>0</v>
      </c>
      <c r="X96" s="41">
        <v>0</v>
      </c>
      <c r="Y96" s="40">
        <f>'[1]Steel_NG-DR'!$H$36*'Inputs by region STEEL'!H$12</f>
        <v>2.8514320987501449E-3</v>
      </c>
      <c r="Z96" s="40">
        <f>'[1]Steel_100%H2-DR'!$H$36*'Inputs by region STEEL'!H$12</f>
        <v>2.8514320987501449E-3</v>
      </c>
      <c r="AA96" s="41">
        <v>0</v>
      </c>
      <c r="AB96" s="41">
        <v>0</v>
      </c>
      <c r="AC96" s="41">
        <v>0</v>
      </c>
      <c r="AD96" s="41">
        <v>0</v>
      </c>
      <c r="AE96" s="43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3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0</v>
      </c>
      <c r="AW96" s="43">
        <v>0</v>
      </c>
      <c r="AX96" s="41">
        <v>0</v>
      </c>
      <c r="AY96" s="41">
        <v>0</v>
      </c>
      <c r="AZ96" s="41">
        <v>0</v>
      </c>
      <c r="BA96" s="41">
        <v>0</v>
      </c>
      <c r="BB96" s="41">
        <v>0</v>
      </c>
      <c r="BC96" s="41">
        <v>0</v>
      </c>
      <c r="BD96" s="41">
        <v>0</v>
      </c>
      <c r="BE96" s="41">
        <v>0</v>
      </c>
      <c r="BF96" s="43">
        <v>0</v>
      </c>
      <c r="BG96" s="41">
        <v>0</v>
      </c>
      <c r="BH96" s="41">
        <v>0</v>
      </c>
      <c r="BI96" s="41">
        <v>0</v>
      </c>
      <c r="BJ96" s="41">
        <v>0</v>
      </c>
      <c r="BK96" s="41">
        <v>0</v>
      </c>
      <c r="BL96" s="41">
        <v>0</v>
      </c>
      <c r="BM96" s="41">
        <v>0</v>
      </c>
      <c r="BN96" s="41">
        <v>0</v>
      </c>
      <c r="BO96" s="43">
        <v>0</v>
      </c>
      <c r="BP96" s="41">
        <v>0</v>
      </c>
      <c r="BQ96" s="41">
        <v>0</v>
      </c>
      <c r="BR96" s="41">
        <v>0</v>
      </c>
      <c r="BS96" s="41">
        <v>0</v>
      </c>
      <c r="BT96" s="41">
        <v>0</v>
      </c>
      <c r="BU96" s="41">
        <v>0</v>
      </c>
      <c r="BV96" s="41">
        <v>0</v>
      </c>
      <c r="BW96" s="41">
        <v>0</v>
      </c>
      <c r="BX96" s="41">
        <v>0</v>
      </c>
    </row>
    <row r="97" spans="1:76" x14ac:dyDescent="0.35">
      <c r="A97" t="s">
        <v>197</v>
      </c>
      <c r="B97" s="4" t="s">
        <v>88</v>
      </c>
      <c r="C97" s="4" t="s">
        <v>181</v>
      </c>
      <c r="D97" s="4" t="s">
        <v>198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9"/>
      <c r="W97" s="41">
        <v>0</v>
      </c>
      <c r="X97" s="41">
        <v>0</v>
      </c>
      <c r="Y97" s="41">
        <f>('[1]Steel_NG-DR'!$H$37+'[1]Steel_NG-DR'!$H$16)*'Inputs by region STEEL'!H$13</f>
        <v>0</v>
      </c>
      <c r="Z97" s="41">
        <f>('[1]Steel_100%H2-DR'!$H$16+'[1]Steel_100%H2-DR'!$H$37)*'Inputs by region STEEL'!H$13</f>
        <v>0</v>
      </c>
      <c r="AA97" s="41">
        <v>0</v>
      </c>
      <c r="AB97" s="41">
        <v>0</v>
      </c>
      <c r="AC97" s="41">
        <v>0</v>
      </c>
      <c r="AD97" s="41">
        <v>0</v>
      </c>
      <c r="AE97" s="43">
        <v>0</v>
      </c>
      <c r="AF97" s="41">
        <v>0</v>
      </c>
      <c r="AG97" s="41">
        <v>0</v>
      </c>
      <c r="AH97" s="41">
        <v>0</v>
      </c>
      <c r="AI97" s="41">
        <v>0</v>
      </c>
      <c r="AJ97" s="41">
        <v>0</v>
      </c>
      <c r="AK97" s="41">
        <v>0</v>
      </c>
      <c r="AL97" s="41">
        <v>0</v>
      </c>
      <c r="AM97" s="41">
        <v>0</v>
      </c>
      <c r="AN97" s="43">
        <v>0</v>
      </c>
      <c r="AO97" s="41">
        <v>0</v>
      </c>
      <c r="AP97" s="41">
        <v>0</v>
      </c>
      <c r="AQ97" s="41">
        <v>0</v>
      </c>
      <c r="AR97" s="41">
        <v>0</v>
      </c>
      <c r="AS97" s="41">
        <v>0</v>
      </c>
      <c r="AT97" s="41">
        <v>0</v>
      </c>
      <c r="AU97" s="41">
        <v>0</v>
      </c>
      <c r="AV97" s="41">
        <v>0</v>
      </c>
      <c r="AW97" s="43">
        <v>0</v>
      </c>
      <c r="AX97" s="41">
        <v>0</v>
      </c>
      <c r="AY97" s="41">
        <v>0</v>
      </c>
      <c r="AZ97" s="41">
        <v>0</v>
      </c>
      <c r="BA97" s="41">
        <v>0</v>
      </c>
      <c r="BB97" s="41">
        <v>0</v>
      </c>
      <c r="BC97" s="41">
        <v>0</v>
      </c>
      <c r="BD97" s="41">
        <v>0</v>
      </c>
      <c r="BE97" s="41">
        <v>0</v>
      </c>
      <c r="BF97" s="43">
        <v>0</v>
      </c>
      <c r="BG97" s="41">
        <v>0</v>
      </c>
      <c r="BH97" s="41">
        <v>0</v>
      </c>
      <c r="BI97" s="41">
        <v>0</v>
      </c>
      <c r="BJ97" s="41">
        <v>0</v>
      </c>
      <c r="BK97" s="41">
        <v>0</v>
      </c>
      <c r="BL97" s="41">
        <v>0</v>
      </c>
      <c r="BM97" s="41">
        <v>0</v>
      </c>
      <c r="BN97" s="41">
        <v>0</v>
      </c>
      <c r="BO97" s="43">
        <v>0</v>
      </c>
      <c r="BP97" s="41">
        <v>0</v>
      </c>
      <c r="BQ97" s="41">
        <v>0</v>
      </c>
      <c r="BR97" s="41">
        <v>0</v>
      </c>
      <c r="BS97" s="41">
        <v>0</v>
      </c>
      <c r="BT97" s="41">
        <v>0</v>
      </c>
      <c r="BU97" s="41">
        <v>0</v>
      </c>
      <c r="BV97" s="41">
        <v>0</v>
      </c>
      <c r="BW97" s="41">
        <v>0</v>
      </c>
      <c r="BX97" s="41">
        <v>0</v>
      </c>
    </row>
    <row r="98" spans="1:76" x14ac:dyDescent="0.35">
      <c r="A98" t="s">
        <v>199</v>
      </c>
      <c r="B98" s="4" t="s">
        <v>88</v>
      </c>
      <c r="C98" s="4" t="s">
        <v>181</v>
      </c>
      <c r="D98" s="4" t="s">
        <v>200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9"/>
      <c r="W98" s="41">
        <v>0</v>
      </c>
      <c r="X98" s="41">
        <v>0</v>
      </c>
      <c r="Y98" s="41">
        <f>('[1]Steel_NG-DR'!$H$37+'[1]Steel_NG-DR'!$H$16)*'Inputs by region STEEL'!H$13</f>
        <v>0</v>
      </c>
      <c r="Z98" s="41">
        <f>('[1]Steel_100%H2-DR'!$H$16+'[1]Steel_100%H2-DR'!$H$37)*'Inputs by region STEEL'!H$13</f>
        <v>0</v>
      </c>
      <c r="AA98" s="41">
        <v>0</v>
      </c>
      <c r="AB98" s="41">
        <v>0</v>
      </c>
      <c r="AC98" s="41">
        <v>0</v>
      </c>
      <c r="AD98" s="41">
        <v>0</v>
      </c>
      <c r="AE98" s="43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3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3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3">
        <v>0</v>
      </c>
      <c r="BG98" s="41">
        <v>0</v>
      </c>
      <c r="BH98" s="41">
        <v>0</v>
      </c>
      <c r="BI98" s="41">
        <v>0</v>
      </c>
      <c r="BJ98" s="41">
        <v>0</v>
      </c>
      <c r="BK98" s="41">
        <v>0</v>
      </c>
      <c r="BL98" s="41">
        <v>0</v>
      </c>
      <c r="BM98" s="41">
        <v>0</v>
      </c>
      <c r="BN98" s="41">
        <v>0</v>
      </c>
      <c r="BO98" s="43">
        <v>0</v>
      </c>
      <c r="BP98" s="41">
        <v>0</v>
      </c>
      <c r="BQ98" s="41">
        <v>0</v>
      </c>
      <c r="BR98" s="41">
        <v>0</v>
      </c>
      <c r="BS98" s="41">
        <v>0</v>
      </c>
      <c r="BT98" s="41">
        <v>0</v>
      </c>
      <c r="BU98" s="41">
        <v>0</v>
      </c>
      <c r="BV98" s="41">
        <v>0</v>
      </c>
      <c r="BW98" s="41">
        <v>0</v>
      </c>
      <c r="BX98" s="41">
        <v>0</v>
      </c>
    </row>
    <row r="99" spans="1:76" ht="15" thickBot="1" x14ac:dyDescent="0.4">
      <c r="A99" t="s">
        <v>201</v>
      </c>
      <c r="B99" s="4" t="s">
        <v>88</v>
      </c>
      <c r="C99" s="4" t="s">
        <v>181</v>
      </c>
      <c r="D99" s="4" t="s">
        <v>202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9"/>
      <c r="W99" s="44">
        <v>0</v>
      </c>
      <c r="X99" s="44">
        <v>0</v>
      </c>
      <c r="Y99" s="44">
        <f>('[1]Steel_NG-DR'!$H$37+'[1]Steel_NG-DR'!$H$16)*'Inputs by region STEEL'!H$15</f>
        <v>0</v>
      </c>
      <c r="Z99" s="44">
        <f>('[1]Steel_100%H2-DR'!$H$16+'[1]Steel_100%H2-DR'!$H$37)*'Inputs by region STEEL'!H$13</f>
        <v>0</v>
      </c>
      <c r="AA99" s="44">
        <v>0</v>
      </c>
      <c r="AB99" s="44">
        <v>0</v>
      </c>
      <c r="AC99" s="44">
        <v>0</v>
      </c>
      <c r="AD99" s="44">
        <v>0</v>
      </c>
      <c r="AE99" s="46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6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6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6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6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v>0</v>
      </c>
      <c r="BU99" s="44">
        <v>0</v>
      </c>
      <c r="BV99" s="44">
        <v>0</v>
      </c>
      <c r="BW99" s="44">
        <v>0</v>
      </c>
      <c r="BX99" s="44">
        <v>0</v>
      </c>
    </row>
    <row r="100" spans="1:76" x14ac:dyDescent="0.35">
      <c r="A100" t="s">
        <v>176</v>
      </c>
      <c r="B100" s="4" t="s">
        <v>90</v>
      </c>
      <c r="C100" s="4" t="s">
        <v>145</v>
      </c>
      <c r="D100" s="4" t="s">
        <v>177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9"/>
      <c r="W100" s="41">
        <v>0</v>
      </c>
      <c r="X100" s="41">
        <v>0</v>
      </c>
      <c r="Y100" s="40">
        <f>'[1]Steel_NG-DR'!$H$15*'Inputs by region STEEL'!I$5</f>
        <v>2.949251079979006E-2</v>
      </c>
      <c r="Z100" s="40">
        <f>'[1]Steel_100%H2-DR'!$H$15*'Inputs by region STEEL'!I$5</f>
        <v>2.949251079979006E-2</v>
      </c>
      <c r="AA100" s="41">
        <v>0</v>
      </c>
      <c r="AB100" s="41">
        <v>0</v>
      </c>
      <c r="AC100" s="41">
        <v>0</v>
      </c>
      <c r="AD100" s="41">
        <v>0</v>
      </c>
      <c r="AE100" s="43">
        <v>0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3">
        <v>0</v>
      </c>
      <c r="AO100" s="41">
        <v>0</v>
      </c>
      <c r="AP100" s="41">
        <v>0</v>
      </c>
      <c r="AQ100" s="41">
        <v>0</v>
      </c>
      <c r="AR100" s="41">
        <v>0</v>
      </c>
      <c r="AS100" s="41">
        <v>0</v>
      </c>
      <c r="AT100" s="41">
        <v>0</v>
      </c>
      <c r="AU100" s="41">
        <v>0</v>
      </c>
      <c r="AV100" s="41">
        <v>0</v>
      </c>
      <c r="AW100" s="43">
        <v>0</v>
      </c>
      <c r="AX100" s="41">
        <v>0</v>
      </c>
      <c r="AY100" s="41">
        <v>0</v>
      </c>
      <c r="AZ100" s="41">
        <v>0</v>
      </c>
      <c r="BA100" s="41">
        <v>0</v>
      </c>
      <c r="BB100" s="41">
        <v>0</v>
      </c>
      <c r="BC100" s="41">
        <v>0</v>
      </c>
      <c r="BD100" s="41">
        <v>0</v>
      </c>
      <c r="BE100" s="41">
        <v>0</v>
      </c>
      <c r="BF100" s="43">
        <v>0</v>
      </c>
      <c r="BG100" s="41">
        <v>0</v>
      </c>
      <c r="BH100" s="41">
        <v>0</v>
      </c>
      <c r="BI100" s="41">
        <v>0</v>
      </c>
      <c r="BJ100" s="41">
        <v>0</v>
      </c>
      <c r="BK100" s="41">
        <v>0</v>
      </c>
      <c r="BL100" s="41">
        <v>0</v>
      </c>
      <c r="BM100" s="41">
        <v>0</v>
      </c>
      <c r="BN100" s="41">
        <v>0</v>
      </c>
      <c r="BO100" s="43">
        <v>0</v>
      </c>
      <c r="BP100" s="41">
        <v>0</v>
      </c>
      <c r="BQ100" s="41">
        <v>0</v>
      </c>
      <c r="BR100" s="41">
        <v>0</v>
      </c>
      <c r="BS100" s="41">
        <v>0</v>
      </c>
      <c r="BT100" s="41">
        <v>0</v>
      </c>
      <c r="BU100" s="41">
        <v>0</v>
      </c>
      <c r="BV100" s="41">
        <v>0</v>
      </c>
      <c r="BW100" s="41">
        <v>0</v>
      </c>
      <c r="BX100" s="41">
        <v>0</v>
      </c>
    </row>
    <row r="101" spans="1:76" x14ac:dyDescent="0.35">
      <c r="A101" s="77" t="s">
        <v>183</v>
      </c>
      <c r="B101" s="4" t="s">
        <v>90</v>
      </c>
      <c r="C101" s="4" t="s">
        <v>145</v>
      </c>
      <c r="D101" s="4" t="s">
        <v>184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9"/>
      <c r="W101" s="41">
        <v>0</v>
      </c>
      <c r="X101" s="41">
        <v>0</v>
      </c>
      <c r="Y101" s="41">
        <f>'[1]Steel_NG-DR'!$H$29*'Inputs by region STEEL'!I$6</f>
        <v>0</v>
      </c>
      <c r="Z101" s="41">
        <f>'[1]Steel_100%H2-DR'!$H$29*'Inputs by region STEEL'!I$6</f>
        <v>0</v>
      </c>
      <c r="AA101" s="41">
        <v>0</v>
      </c>
      <c r="AB101" s="41">
        <v>0</v>
      </c>
      <c r="AC101" s="41">
        <v>0</v>
      </c>
      <c r="AD101" s="41">
        <v>0</v>
      </c>
      <c r="AE101" s="43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0</v>
      </c>
      <c r="AL101" s="41">
        <v>0</v>
      </c>
      <c r="AM101" s="41">
        <v>0</v>
      </c>
      <c r="AN101" s="43">
        <v>0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41">
        <v>0</v>
      </c>
      <c r="AU101" s="41">
        <v>0</v>
      </c>
      <c r="AV101" s="41">
        <v>0</v>
      </c>
      <c r="AW101" s="43">
        <v>0</v>
      </c>
      <c r="AX101" s="41">
        <v>0</v>
      </c>
      <c r="AY101" s="41">
        <v>0</v>
      </c>
      <c r="AZ101" s="41">
        <v>0</v>
      </c>
      <c r="BA101" s="41">
        <v>0</v>
      </c>
      <c r="BB101" s="41">
        <v>0</v>
      </c>
      <c r="BC101" s="41">
        <v>0</v>
      </c>
      <c r="BD101" s="41">
        <v>0</v>
      </c>
      <c r="BE101" s="41">
        <v>0</v>
      </c>
      <c r="BF101" s="43">
        <v>0</v>
      </c>
      <c r="BG101" s="41">
        <v>0</v>
      </c>
      <c r="BH101" s="41">
        <v>0</v>
      </c>
      <c r="BI101" s="41">
        <v>0</v>
      </c>
      <c r="BJ101" s="41">
        <v>0</v>
      </c>
      <c r="BK101" s="41">
        <v>0</v>
      </c>
      <c r="BL101" s="41">
        <v>0</v>
      </c>
      <c r="BM101" s="41">
        <v>0</v>
      </c>
      <c r="BN101" s="41">
        <v>0</v>
      </c>
      <c r="BO101" s="43">
        <v>0</v>
      </c>
      <c r="BP101" s="41">
        <v>0</v>
      </c>
      <c r="BQ101" s="41">
        <v>0</v>
      </c>
      <c r="BR101" s="41">
        <v>0</v>
      </c>
      <c r="BS101" s="41">
        <v>0</v>
      </c>
      <c r="BT101" s="41">
        <v>0</v>
      </c>
      <c r="BU101" s="41">
        <v>0</v>
      </c>
      <c r="BV101" s="41">
        <v>0</v>
      </c>
      <c r="BW101" s="41">
        <v>0</v>
      </c>
      <c r="BX101" s="41">
        <v>0</v>
      </c>
    </row>
    <row r="102" spans="1:76" x14ac:dyDescent="0.35">
      <c r="A102" t="s">
        <v>185</v>
      </c>
      <c r="B102" s="4" t="s">
        <v>90</v>
      </c>
      <c r="C102" s="4" t="s">
        <v>145</v>
      </c>
      <c r="D102" s="4" t="s">
        <v>186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9"/>
      <c r="W102" s="41">
        <v>0</v>
      </c>
      <c r="X102" s="41">
        <v>0</v>
      </c>
      <c r="Y102" s="40">
        <f>'[1]Steel_NG-DR'!$H$31*'Inputs by region STEEL'!I$7</f>
        <v>2.1047443073980527E-5</v>
      </c>
      <c r="Z102" s="40">
        <f>'[1]Steel_100%H2-DR'!$H$31*'Inputs by region STEEL'!I$7</f>
        <v>2.1047443073980527E-5</v>
      </c>
      <c r="AA102" s="41">
        <v>0</v>
      </c>
      <c r="AB102" s="41">
        <v>0</v>
      </c>
      <c r="AC102" s="41">
        <v>0</v>
      </c>
      <c r="AD102" s="41">
        <v>0</v>
      </c>
      <c r="AE102" s="43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3">
        <v>0</v>
      </c>
      <c r="AO102" s="41">
        <v>0</v>
      </c>
      <c r="AP102" s="41">
        <v>0</v>
      </c>
      <c r="AQ102" s="41">
        <v>0</v>
      </c>
      <c r="AR102" s="41">
        <v>0</v>
      </c>
      <c r="AS102" s="41">
        <v>0</v>
      </c>
      <c r="AT102" s="41">
        <v>0</v>
      </c>
      <c r="AU102" s="41">
        <v>0</v>
      </c>
      <c r="AV102" s="41">
        <v>0</v>
      </c>
      <c r="AW102" s="43">
        <v>0</v>
      </c>
      <c r="AX102" s="41">
        <v>0</v>
      </c>
      <c r="AY102" s="41">
        <v>0</v>
      </c>
      <c r="AZ102" s="41">
        <v>0</v>
      </c>
      <c r="BA102" s="41">
        <v>0</v>
      </c>
      <c r="BB102" s="41">
        <v>0</v>
      </c>
      <c r="BC102" s="41">
        <v>0</v>
      </c>
      <c r="BD102" s="41">
        <v>0</v>
      </c>
      <c r="BE102" s="41">
        <v>0</v>
      </c>
      <c r="BF102" s="43">
        <v>0</v>
      </c>
      <c r="BG102" s="41">
        <v>0</v>
      </c>
      <c r="BH102" s="41">
        <v>0</v>
      </c>
      <c r="BI102" s="41">
        <v>0</v>
      </c>
      <c r="BJ102" s="41">
        <v>0</v>
      </c>
      <c r="BK102" s="41">
        <v>0</v>
      </c>
      <c r="BL102" s="41">
        <v>0</v>
      </c>
      <c r="BM102" s="41">
        <v>0</v>
      </c>
      <c r="BN102" s="41">
        <v>0</v>
      </c>
      <c r="BO102" s="43">
        <v>0</v>
      </c>
      <c r="BP102" s="41">
        <v>0</v>
      </c>
      <c r="BQ102" s="41">
        <v>0</v>
      </c>
      <c r="BR102" s="41">
        <v>0</v>
      </c>
      <c r="BS102" s="41">
        <v>0</v>
      </c>
      <c r="BT102" s="41">
        <v>0</v>
      </c>
      <c r="BU102" s="41">
        <v>0</v>
      </c>
      <c r="BV102" s="41">
        <v>0</v>
      </c>
      <c r="BW102" s="41">
        <v>0</v>
      </c>
      <c r="BX102" s="41">
        <v>0</v>
      </c>
    </row>
    <row r="103" spans="1:76" x14ac:dyDescent="0.35">
      <c r="A103" t="s">
        <v>187</v>
      </c>
      <c r="B103" s="4" t="s">
        <v>90</v>
      </c>
      <c r="C103" s="4" t="s">
        <v>145</v>
      </c>
      <c r="D103" s="4" t="s">
        <v>188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9"/>
      <c r="W103" s="41">
        <v>0</v>
      </c>
      <c r="X103" s="41">
        <v>0</v>
      </c>
      <c r="Y103" s="40">
        <f>'[1]Steel_NG-DR'!$H$32*'Inputs by region STEEL'!I$8</f>
        <v>5.8414015621608938E-3</v>
      </c>
      <c r="Z103" s="40">
        <f>'[1]Steel_100%H2-DR'!$H$32*'Inputs by region STEEL'!I$8</f>
        <v>5.8414015621608938E-3</v>
      </c>
      <c r="AA103" s="41">
        <v>0</v>
      </c>
      <c r="AB103" s="41">
        <v>0</v>
      </c>
      <c r="AC103" s="41">
        <v>0</v>
      </c>
      <c r="AD103" s="41">
        <v>0</v>
      </c>
      <c r="AE103" s="43">
        <v>0</v>
      </c>
      <c r="AF103" s="41">
        <v>0</v>
      </c>
      <c r="AG103" s="41">
        <v>0</v>
      </c>
      <c r="AH103" s="41">
        <v>0</v>
      </c>
      <c r="AI103" s="41">
        <v>0</v>
      </c>
      <c r="AJ103" s="41">
        <v>0</v>
      </c>
      <c r="AK103" s="41">
        <v>0</v>
      </c>
      <c r="AL103" s="41">
        <v>0</v>
      </c>
      <c r="AM103" s="41">
        <v>0</v>
      </c>
      <c r="AN103" s="43">
        <v>0</v>
      </c>
      <c r="AO103" s="41">
        <v>0</v>
      </c>
      <c r="AP103" s="41">
        <v>0</v>
      </c>
      <c r="AQ103" s="41">
        <v>0</v>
      </c>
      <c r="AR103" s="41">
        <v>0</v>
      </c>
      <c r="AS103" s="41">
        <v>0</v>
      </c>
      <c r="AT103" s="41">
        <v>0</v>
      </c>
      <c r="AU103" s="41">
        <v>0</v>
      </c>
      <c r="AV103" s="41">
        <v>0</v>
      </c>
      <c r="AW103" s="43">
        <v>0</v>
      </c>
      <c r="AX103" s="41">
        <v>0</v>
      </c>
      <c r="AY103" s="41">
        <v>0</v>
      </c>
      <c r="AZ103" s="41">
        <v>0</v>
      </c>
      <c r="BA103" s="41">
        <v>0</v>
      </c>
      <c r="BB103" s="41">
        <v>0</v>
      </c>
      <c r="BC103" s="41">
        <v>0</v>
      </c>
      <c r="BD103" s="41">
        <v>0</v>
      </c>
      <c r="BE103" s="41">
        <v>0</v>
      </c>
      <c r="BF103" s="43">
        <v>0</v>
      </c>
      <c r="BG103" s="41">
        <v>0</v>
      </c>
      <c r="BH103" s="41">
        <v>0</v>
      </c>
      <c r="BI103" s="41">
        <v>0</v>
      </c>
      <c r="BJ103" s="41">
        <v>0</v>
      </c>
      <c r="BK103" s="41">
        <v>0</v>
      </c>
      <c r="BL103" s="41">
        <v>0</v>
      </c>
      <c r="BM103" s="41">
        <v>0</v>
      </c>
      <c r="BN103" s="41">
        <v>0</v>
      </c>
      <c r="BO103" s="43">
        <v>0</v>
      </c>
      <c r="BP103" s="41">
        <v>0</v>
      </c>
      <c r="BQ103" s="41">
        <v>0</v>
      </c>
      <c r="BR103" s="41">
        <v>0</v>
      </c>
      <c r="BS103" s="41">
        <v>0</v>
      </c>
      <c r="BT103" s="41">
        <v>0</v>
      </c>
      <c r="BU103" s="41">
        <v>0</v>
      </c>
      <c r="BV103" s="41">
        <v>0</v>
      </c>
      <c r="BW103" s="41">
        <v>0</v>
      </c>
      <c r="BX103" s="41">
        <v>0</v>
      </c>
    </row>
    <row r="104" spans="1:76" x14ac:dyDescent="0.35">
      <c r="A104" t="s">
        <v>189</v>
      </c>
      <c r="B104" s="4" t="s">
        <v>90</v>
      </c>
      <c r="C104" s="4" t="s">
        <v>145</v>
      </c>
      <c r="D104" s="4" t="s">
        <v>190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9"/>
      <c r="W104" s="41">
        <v>0</v>
      </c>
      <c r="X104" s="40">
        <f>'[1]Steel_BF-BOF with H2'!$H$39*'[1]Steel_BF-BOF with H2'!$N$29</f>
        <v>1.0694147292515508E-5</v>
      </c>
      <c r="Y104" s="40">
        <f>'[1]Steel_NG-DR'!$H$33*'Inputs by region STEEL'!I$9</f>
        <v>1.4521138379047227E-3</v>
      </c>
      <c r="Z104" s="40">
        <f>'[1]Steel_100%H2-DR'!$H$33*'Inputs by region STEEL'!I$9</f>
        <v>1.4521138379047227E-3</v>
      </c>
      <c r="AA104" s="40">
        <f>'[1]Steel_BF-BOF with char (+CCUS)'!$H$26*'[1]Steel_BF-BOF with char (+CCUS)'!$N$28</f>
        <v>2.2200107734217647E-6</v>
      </c>
      <c r="AB104" s="40">
        <f>'[1]Steel_BF-BOF with char (+CCUS)'!$H$53*'[1]Steel_BF-BOF with char (+CCUS)'!$N$55</f>
        <v>2.2200107734217647E-6</v>
      </c>
      <c r="AC104" s="41">
        <v>0</v>
      </c>
      <c r="AD104" s="41">
        <v>0</v>
      </c>
      <c r="AE104" s="43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3">
        <v>0</v>
      </c>
      <c r="AO104" s="41">
        <v>0</v>
      </c>
      <c r="AP104" s="41">
        <v>0</v>
      </c>
      <c r="AQ104" s="41">
        <v>0</v>
      </c>
      <c r="AR104" s="41">
        <v>0</v>
      </c>
      <c r="AS104" s="41">
        <v>0</v>
      </c>
      <c r="AT104" s="41">
        <v>0</v>
      </c>
      <c r="AU104" s="41">
        <v>0</v>
      </c>
      <c r="AV104" s="41">
        <v>0</v>
      </c>
      <c r="AW104" s="43">
        <v>0</v>
      </c>
      <c r="AX104" s="41">
        <v>0</v>
      </c>
      <c r="AY104" s="41">
        <v>0</v>
      </c>
      <c r="AZ104" s="41">
        <v>0</v>
      </c>
      <c r="BA104" s="41">
        <v>0</v>
      </c>
      <c r="BB104" s="41">
        <v>0</v>
      </c>
      <c r="BC104" s="41">
        <v>0</v>
      </c>
      <c r="BD104" s="41">
        <v>0</v>
      </c>
      <c r="BE104" s="41">
        <v>0</v>
      </c>
      <c r="BF104" s="43">
        <v>0</v>
      </c>
      <c r="BG104" s="41">
        <v>0</v>
      </c>
      <c r="BH104" s="41">
        <v>0</v>
      </c>
      <c r="BI104" s="41">
        <v>0</v>
      </c>
      <c r="BJ104" s="41">
        <v>0</v>
      </c>
      <c r="BK104" s="41">
        <v>0</v>
      </c>
      <c r="BL104" s="41">
        <v>0</v>
      </c>
      <c r="BM104" s="41">
        <v>0</v>
      </c>
      <c r="BN104" s="41">
        <v>0</v>
      </c>
      <c r="BO104" s="43">
        <v>0</v>
      </c>
      <c r="BP104" s="41">
        <v>0</v>
      </c>
      <c r="BQ104" s="41">
        <v>0</v>
      </c>
      <c r="BR104" s="41">
        <v>0</v>
      </c>
      <c r="BS104" s="41">
        <v>0</v>
      </c>
      <c r="BT104" s="41">
        <v>0</v>
      </c>
      <c r="BU104" s="41">
        <v>0</v>
      </c>
      <c r="BV104" s="41">
        <v>0</v>
      </c>
      <c r="BW104" s="41">
        <v>0</v>
      </c>
      <c r="BX104" s="41">
        <v>0</v>
      </c>
    </row>
    <row r="105" spans="1:76" x14ac:dyDescent="0.35">
      <c r="A105" t="s">
        <v>87</v>
      </c>
      <c r="B105" s="4" t="s">
        <v>90</v>
      </c>
      <c r="C105" s="4" t="s">
        <v>145</v>
      </c>
      <c r="D105" s="4" t="s">
        <v>196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9"/>
      <c r="W105" s="41">
        <v>0</v>
      </c>
      <c r="X105" s="41">
        <v>0</v>
      </c>
      <c r="Y105" s="41">
        <v>0</v>
      </c>
      <c r="Z105" s="41">
        <v>0</v>
      </c>
      <c r="AA105" s="40">
        <f>'[1]Steel_BF-BOF with char (+CCUS)'!$H$27*'Inputs by region STEEL'!I$9</f>
        <v>9.1135123377023061E-3</v>
      </c>
      <c r="AB105" s="40">
        <f>'[1]Steel_BF-BOF with char (+CCUS)'!$H$54*'Inputs by region STEEL'!I$9</f>
        <v>9.1135123377023061E-3</v>
      </c>
      <c r="AC105" s="41">
        <v>0</v>
      </c>
      <c r="AD105" s="41">
        <v>0</v>
      </c>
      <c r="AE105" s="43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3">
        <v>0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41">
        <v>0</v>
      </c>
      <c r="AU105" s="41">
        <v>0</v>
      </c>
      <c r="AV105" s="41">
        <v>0</v>
      </c>
      <c r="AW105" s="43">
        <v>0</v>
      </c>
      <c r="AX105" s="41">
        <v>0</v>
      </c>
      <c r="AY105" s="41">
        <v>0</v>
      </c>
      <c r="AZ105" s="41">
        <v>0</v>
      </c>
      <c r="BA105" s="41">
        <v>0</v>
      </c>
      <c r="BB105" s="41">
        <v>0</v>
      </c>
      <c r="BC105" s="41">
        <v>0</v>
      </c>
      <c r="BD105" s="41">
        <v>0</v>
      </c>
      <c r="BE105" s="41">
        <v>0</v>
      </c>
      <c r="BF105" s="43">
        <v>0</v>
      </c>
      <c r="BG105" s="41">
        <v>0</v>
      </c>
      <c r="BH105" s="41">
        <v>0</v>
      </c>
      <c r="BI105" s="41">
        <v>0</v>
      </c>
      <c r="BJ105" s="41">
        <v>0</v>
      </c>
      <c r="BK105" s="41">
        <v>0</v>
      </c>
      <c r="BL105" s="41">
        <v>0</v>
      </c>
      <c r="BM105" s="41">
        <v>0</v>
      </c>
      <c r="BN105" s="41">
        <v>0</v>
      </c>
      <c r="BO105" s="43">
        <v>0</v>
      </c>
      <c r="BP105" s="41">
        <v>0</v>
      </c>
      <c r="BQ105" s="41">
        <v>0</v>
      </c>
      <c r="BR105" s="41">
        <v>0</v>
      </c>
      <c r="BS105" s="41">
        <v>0</v>
      </c>
      <c r="BT105" s="41">
        <v>0</v>
      </c>
      <c r="BU105" s="41">
        <v>0</v>
      </c>
      <c r="BV105" s="41">
        <v>0</v>
      </c>
      <c r="BW105" s="41">
        <v>0</v>
      </c>
      <c r="BX105" s="41">
        <v>0</v>
      </c>
    </row>
    <row r="106" spans="1:76" x14ac:dyDescent="0.35">
      <c r="A106" t="s">
        <v>191</v>
      </c>
      <c r="B106" s="4" t="s">
        <v>90</v>
      </c>
      <c r="C106" s="4" t="s">
        <v>145</v>
      </c>
      <c r="D106" s="4" t="s">
        <v>192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9"/>
      <c r="W106" s="41">
        <v>0</v>
      </c>
      <c r="X106" s="41">
        <v>0</v>
      </c>
      <c r="Y106" s="40">
        <f>'[1]Steel_NG-DR'!$H$34*'Inputs by region STEEL'!I$10</f>
        <v>6.5130870114372285E-5</v>
      </c>
      <c r="Z106" s="40">
        <f>'[1]Steel_100%H2-DR'!$H$34*'Inputs by region STEEL'!I$10</f>
        <v>6.5130870114372285E-5</v>
      </c>
      <c r="AA106" s="41">
        <v>0</v>
      </c>
      <c r="AB106" s="41">
        <v>0</v>
      </c>
      <c r="AC106" s="41">
        <v>0</v>
      </c>
      <c r="AD106" s="41">
        <v>0</v>
      </c>
      <c r="AE106" s="43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3">
        <v>0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41">
        <v>0</v>
      </c>
      <c r="AU106" s="41">
        <v>0</v>
      </c>
      <c r="AV106" s="41">
        <v>0</v>
      </c>
      <c r="AW106" s="43">
        <v>0</v>
      </c>
      <c r="AX106" s="41">
        <v>0</v>
      </c>
      <c r="AY106" s="41">
        <v>0</v>
      </c>
      <c r="AZ106" s="41">
        <v>0</v>
      </c>
      <c r="BA106" s="41">
        <v>0</v>
      </c>
      <c r="BB106" s="41">
        <v>0</v>
      </c>
      <c r="BC106" s="41">
        <v>0</v>
      </c>
      <c r="BD106" s="41">
        <v>0</v>
      </c>
      <c r="BE106" s="41">
        <v>0</v>
      </c>
      <c r="BF106" s="43">
        <v>0</v>
      </c>
      <c r="BG106" s="41">
        <v>0</v>
      </c>
      <c r="BH106" s="41">
        <v>0</v>
      </c>
      <c r="BI106" s="41">
        <v>0</v>
      </c>
      <c r="BJ106" s="41">
        <v>0</v>
      </c>
      <c r="BK106" s="41">
        <v>0</v>
      </c>
      <c r="BL106" s="41">
        <v>0</v>
      </c>
      <c r="BM106" s="41">
        <v>0</v>
      </c>
      <c r="BN106" s="41">
        <v>0</v>
      </c>
      <c r="BO106" s="43">
        <v>0</v>
      </c>
      <c r="BP106" s="41">
        <v>0</v>
      </c>
      <c r="BQ106" s="41">
        <v>0</v>
      </c>
      <c r="BR106" s="41">
        <v>0</v>
      </c>
      <c r="BS106" s="41">
        <v>0</v>
      </c>
      <c r="BT106" s="41">
        <v>0</v>
      </c>
      <c r="BU106" s="41">
        <v>0</v>
      </c>
      <c r="BV106" s="41">
        <v>0</v>
      </c>
      <c r="BW106" s="41">
        <v>0</v>
      </c>
      <c r="BX106" s="41">
        <v>0</v>
      </c>
    </row>
    <row r="107" spans="1:76" x14ac:dyDescent="0.35">
      <c r="A107" t="s">
        <v>193</v>
      </c>
      <c r="B107" s="4" t="s">
        <v>90</v>
      </c>
      <c r="C107" s="4" t="s">
        <v>145</v>
      </c>
      <c r="D107" s="4" t="s">
        <v>194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9"/>
      <c r="W107" s="41">
        <v>0</v>
      </c>
      <c r="X107" s="41">
        <v>0</v>
      </c>
      <c r="Y107" s="40">
        <f>'[1]Steel_NG-DR'!$H$35*'Inputs by region STEEL'!I$11</f>
        <v>7.9476813317479189E-4</v>
      </c>
      <c r="Z107" s="40">
        <f>'[1]Steel_100%H2-DR'!$H$35*'Inputs by region STEEL'!I$11</f>
        <v>7.9476813317479189E-4</v>
      </c>
      <c r="AA107" s="41">
        <v>0</v>
      </c>
      <c r="AB107" s="41">
        <v>0</v>
      </c>
      <c r="AC107" s="41">
        <v>0</v>
      </c>
      <c r="AD107" s="41">
        <v>0</v>
      </c>
      <c r="AE107" s="43">
        <v>0</v>
      </c>
      <c r="AF107" s="41">
        <v>0</v>
      </c>
      <c r="AG107" s="41">
        <v>0</v>
      </c>
      <c r="AH107" s="41">
        <v>0</v>
      </c>
      <c r="AI107" s="41">
        <v>0</v>
      </c>
      <c r="AJ107" s="41">
        <v>0</v>
      </c>
      <c r="AK107" s="41">
        <v>0</v>
      </c>
      <c r="AL107" s="41">
        <v>0</v>
      </c>
      <c r="AM107" s="41">
        <v>0</v>
      </c>
      <c r="AN107" s="43">
        <v>0</v>
      </c>
      <c r="AO107" s="41">
        <v>0</v>
      </c>
      <c r="AP107" s="41">
        <v>0</v>
      </c>
      <c r="AQ107" s="41">
        <v>0</v>
      </c>
      <c r="AR107" s="41">
        <v>0</v>
      </c>
      <c r="AS107" s="41">
        <v>0</v>
      </c>
      <c r="AT107" s="41">
        <v>0</v>
      </c>
      <c r="AU107" s="41">
        <v>0</v>
      </c>
      <c r="AV107" s="41">
        <v>0</v>
      </c>
      <c r="AW107" s="43">
        <v>0</v>
      </c>
      <c r="AX107" s="41">
        <v>0</v>
      </c>
      <c r="AY107" s="41">
        <v>0</v>
      </c>
      <c r="AZ107" s="41">
        <v>0</v>
      </c>
      <c r="BA107" s="41">
        <v>0</v>
      </c>
      <c r="BB107" s="41">
        <v>0</v>
      </c>
      <c r="BC107" s="41">
        <v>0</v>
      </c>
      <c r="BD107" s="41">
        <v>0</v>
      </c>
      <c r="BE107" s="41">
        <v>0</v>
      </c>
      <c r="BF107" s="43">
        <v>0</v>
      </c>
      <c r="BG107" s="41">
        <v>0</v>
      </c>
      <c r="BH107" s="41">
        <v>0</v>
      </c>
      <c r="BI107" s="41">
        <v>0</v>
      </c>
      <c r="BJ107" s="41">
        <v>0</v>
      </c>
      <c r="BK107" s="41">
        <v>0</v>
      </c>
      <c r="BL107" s="41">
        <v>0</v>
      </c>
      <c r="BM107" s="41">
        <v>0</v>
      </c>
      <c r="BN107" s="41">
        <v>0</v>
      </c>
      <c r="BO107" s="43">
        <v>0</v>
      </c>
      <c r="BP107" s="41">
        <v>0</v>
      </c>
      <c r="BQ107" s="41">
        <v>0</v>
      </c>
      <c r="BR107" s="41">
        <v>0</v>
      </c>
      <c r="BS107" s="41">
        <v>0</v>
      </c>
      <c r="BT107" s="41">
        <v>0</v>
      </c>
      <c r="BU107" s="41">
        <v>0</v>
      </c>
      <c r="BV107" s="41">
        <v>0</v>
      </c>
      <c r="BW107" s="41">
        <v>0</v>
      </c>
      <c r="BX107" s="41">
        <v>0</v>
      </c>
    </row>
    <row r="108" spans="1:76" x14ac:dyDescent="0.35">
      <c r="A108" t="s">
        <v>195</v>
      </c>
      <c r="B108" s="4" t="s">
        <v>90</v>
      </c>
      <c r="C108" s="4" t="s">
        <v>145</v>
      </c>
      <c r="D108" s="4" t="s">
        <v>196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9"/>
      <c r="W108" s="41">
        <v>0</v>
      </c>
      <c r="X108" s="41">
        <v>0</v>
      </c>
      <c r="Y108" s="40">
        <f>'[1]Steel_NG-DR'!$H$36*'Inputs by region STEEL'!I$12</f>
        <v>8.4821183458843076E-3</v>
      </c>
      <c r="Z108" s="40">
        <f>'[1]Steel_100%H2-DR'!$H$36*'Inputs by region STEEL'!I$12</f>
        <v>8.4821183458843076E-3</v>
      </c>
      <c r="AA108" s="41">
        <v>0</v>
      </c>
      <c r="AB108" s="41">
        <v>0</v>
      </c>
      <c r="AC108" s="41">
        <v>0</v>
      </c>
      <c r="AD108" s="41">
        <v>0</v>
      </c>
      <c r="AE108" s="43">
        <v>0</v>
      </c>
      <c r="AF108" s="41">
        <v>0</v>
      </c>
      <c r="AG108" s="41">
        <v>0</v>
      </c>
      <c r="AH108" s="41">
        <v>0</v>
      </c>
      <c r="AI108" s="41">
        <v>0</v>
      </c>
      <c r="AJ108" s="41">
        <v>0</v>
      </c>
      <c r="AK108" s="41">
        <v>0</v>
      </c>
      <c r="AL108" s="41">
        <v>0</v>
      </c>
      <c r="AM108" s="41">
        <v>0</v>
      </c>
      <c r="AN108" s="43">
        <v>0</v>
      </c>
      <c r="AO108" s="41">
        <v>0</v>
      </c>
      <c r="AP108" s="41">
        <v>0</v>
      </c>
      <c r="AQ108" s="41">
        <v>0</v>
      </c>
      <c r="AR108" s="41">
        <v>0</v>
      </c>
      <c r="AS108" s="41">
        <v>0</v>
      </c>
      <c r="AT108" s="41">
        <v>0</v>
      </c>
      <c r="AU108" s="41">
        <v>0</v>
      </c>
      <c r="AV108" s="41">
        <v>0</v>
      </c>
      <c r="AW108" s="43">
        <v>0</v>
      </c>
      <c r="AX108" s="41">
        <v>0</v>
      </c>
      <c r="AY108" s="41">
        <v>0</v>
      </c>
      <c r="AZ108" s="41">
        <v>0</v>
      </c>
      <c r="BA108" s="41">
        <v>0</v>
      </c>
      <c r="BB108" s="41">
        <v>0</v>
      </c>
      <c r="BC108" s="41">
        <v>0</v>
      </c>
      <c r="BD108" s="41">
        <v>0</v>
      </c>
      <c r="BE108" s="41">
        <v>0</v>
      </c>
      <c r="BF108" s="43">
        <v>0</v>
      </c>
      <c r="BG108" s="41">
        <v>0</v>
      </c>
      <c r="BH108" s="41">
        <v>0</v>
      </c>
      <c r="BI108" s="41">
        <v>0</v>
      </c>
      <c r="BJ108" s="41">
        <v>0</v>
      </c>
      <c r="BK108" s="41">
        <v>0</v>
      </c>
      <c r="BL108" s="41">
        <v>0</v>
      </c>
      <c r="BM108" s="41">
        <v>0</v>
      </c>
      <c r="BN108" s="41">
        <v>0</v>
      </c>
      <c r="BO108" s="43">
        <v>0</v>
      </c>
      <c r="BP108" s="41">
        <v>0</v>
      </c>
      <c r="BQ108" s="41">
        <v>0</v>
      </c>
      <c r="BR108" s="41">
        <v>0</v>
      </c>
      <c r="BS108" s="41">
        <v>0</v>
      </c>
      <c r="BT108" s="41">
        <v>0</v>
      </c>
      <c r="BU108" s="41">
        <v>0</v>
      </c>
      <c r="BV108" s="41">
        <v>0</v>
      </c>
      <c r="BW108" s="41">
        <v>0</v>
      </c>
      <c r="BX108" s="41">
        <v>0</v>
      </c>
    </row>
    <row r="109" spans="1:76" x14ac:dyDescent="0.35">
      <c r="A109" t="s">
        <v>197</v>
      </c>
      <c r="B109" s="4" t="s">
        <v>90</v>
      </c>
      <c r="C109" s="4" t="s">
        <v>181</v>
      </c>
      <c r="D109" s="4" t="s">
        <v>198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9"/>
      <c r="W109" s="41">
        <v>0</v>
      </c>
      <c r="X109" s="41">
        <v>0</v>
      </c>
      <c r="Y109" s="41">
        <f>('[1]Steel_NG-DR'!$H$37+'[1]Steel_NG-DR'!$H$16)*'Inputs by region STEEL'!I$13</f>
        <v>0</v>
      </c>
      <c r="Z109" s="41">
        <f>('[1]Steel_100%H2-DR'!$H$16+'[1]Steel_100%H2-DR'!$H$37)*'Inputs by region STEEL'!I$13</f>
        <v>0</v>
      </c>
      <c r="AA109" s="41">
        <v>0</v>
      </c>
      <c r="AB109" s="41">
        <v>0</v>
      </c>
      <c r="AC109" s="41">
        <v>0</v>
      </c>
      <c r="AD109" s="41">
        <v>0</v>
      </c>
      <c r="AE109" s="43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0</v>
      </c>
      <c r="AL109" s="41">
        <v>0</v>
      </c>
      <c r="AM109" s="41">
        <v>0</v>
      </c>
      <c r="AN109" s="43">
        <v>0</v>
      </c>
      <c r="AO109" s="41">
        <v>0</v>
      </c>
      <c r="AP109" s="41">
        <v>0</v>
      </c>
      <c r="AQ109" s="41">
        <v>0</v>
      </c>
      <c r="AR109" s="41">
        <v>0</v>
      </c>
      <c r="AS109" s="41">
        <v>0</v>
      </c>
      <c r="AT109" s="41">
        <v>0</v>
      </c>
      <c r="AU109" s="41">
        <v>0</v>
      </c>
      <c r="AV109" s="41">
        <v>0</v>
      </c>
      <c r="AW109" s="43">
        <v>0</v>
      </c>
      <c r="AX109" s="41">
        <v>0</v>
      </c>
      <c r="AY109" s="41">
        <v>0</v>
      </c>
      <c r="AZ109" s="41">
        <v>0</v>
      </c>
      <c r="BA109" s="41">
        <v>0</v>
      </c>
      <c r="BB109" s="41">
        <v>0</v>
      </c>
      <c r="BC109" s="41">
        <v>0</v>
      </c>
      <c r="BD109" s="41">
        <v>0</v>
      </c>
      <c r="BE109" s="41">
        <v>0</v>
      </c>
      <c r="BF109" s="43">
        <v>0</v>
      </c>
      <c r="BG109" s="41">
        <v>0</v>
      </c>
      <c r="BH109" s="41">
        <v>0</v>
      </c>
      <c r="BI109" s="41">
        <v>0</v>
      </c>
      <c r="BJ109" s="41">
        <v>0</v>
      </c>
      <c r="BK109" s="41">
        <v>0</v>
      </c>
      <c r="BL109" s="41">
        <v>0</v>
      </c>
      <c r="BM109" s="41">
        <v>0</v>
      </c>
      <c r="BN109" s="41">
        <v>0</v>
      </c>
      <c r="BO109" s="43">
        <v>0</v>
      </c>
      <c r="BP109" s="41">
        <v>0</v>
      </c>
      <c r="BQ109" s="41">
        <v>0</v>
      </c>
      <c r="BR109" s="41">
        <v>0</v>
      </c>
      <c r="BS109" s="41">
        <v>0</v>
      </c>
      <c r="BT109" s="41">
        <v>0</v>
      </c>
      <c r="BU109" s="41">
        <v>0</v>
      </c>
      <c r="BV109" s="41">
        <v>0</v>
      </c>
      <c r="BW109" s="41">
        <v>0</v>
      </c>
      <c r="BX109" s="41">
        <v>0</v>
      </c>
    </row>
    <row r="110" spans="1:76" x14ac:dyDescent="0.35">
      <c r="A110" t="s">
        <v>199</v>
      </c>
      <c r="B110" s="4" t="s">
        <v>90</v>
      </c>
      <c r="C110" s="4" t="s">
        <v>181</v>
      </c>
      <c r="D110" s="4" t="s">
        <v>200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9"/>
      <c r="W110" s="41">
        <v>0</v>
      </c>
      <c r="X110" s="41">
        <v>0</v>
      </c>
      <c r="Y110" s="41">
        <f>('[1]Steel_NG-DR'!$H$37+'[1]Steel_NG-DR'!$H$16)*'Inputs by region STEEL'!I$14</f>
        <v>0</v>
      </c>
      <c r="Z110" s="41">
        <f>('[1]Steel_100%H2-DR'!$H$16+'[1]Steel_100%H2-DR'!$H$37)*'Inputs by region STEEL'!I$14</f>
        <v>0</v>
      </c>
      <c r="AA110" s="41">
        <v>0</v>
      </c>
      <c r="AB110" s="41">
        <v>0</v>
      </c>
      <c r="AC110" s="41">
        <v>0</v>
      </c>
      <c r="AD110" s="41">
        <v>0</v>
      </c>
      <c r="AE110" s="43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3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41">
        <v>0</v>
      </c>
      <c r="AU110" s="41">
        <v>0</v>
      </c>
      <c r="AV110" s="41">
        <v>0</v>
      </c>
      <c r="AW110" s="43">
        <v>0</v>
      </c>
      <c r="AX110" s="41">
        <v>0</v>
      </c>
      <c r="AY110" s="41">
        <v>0</v>
      </c>
      <c r="AZ110" s="41">
        <v>0</v>
      </c>
      <c r="BA110" s="41">
        <v>0</v>
      </c>
      <c r="BB110" s="41">
        <v>0</v>
      </c>
      <c r="BC110" s="41">
        <v>0</v>
      </c>
      <c r="BD110" s="41">
        <v>0</v>
      </c>
      <c r="BE110" s="41">
        <v>0</v>
      </c>
      <c r="BF110" s="43">
        <v>0</v>
      </c>
      <c r="BG110" s="41">
        <v>0</v>
      </c>
      <c r="BH110" s="41">
        <v>0</v>
      </c>
      <c r="BI110" s="41">
        <v>0</v>
      </c>
      <c r="BJ110" s="41">
        <v>0</v>
      </c>
      <c r="BK110" s="41">
        <v>0</v>
      </c>
      <c r="BL110" s="41">
        <v>0</v>
      </c>
      <c r="BM110" s="41">
        <v>0</v>
      </c>
      <c r="BN110" s="41">
        <v>0</v>
      </c>
      <c r="BO110" s="43">
        <v>0</v>
      </c>
      <c r="BP110" s="41">
        <v>0</v>
      </c>
      <c r="BQ110" s="41">
        <v>0</v>
      </c>
      <c r="BR110" s="41">
        <v>0</v>
      </c>
      <c r="BS110" s="41">
        <v>0</v>
      </c>
      <c r="BT110" s="41">
        <v>0</v>
      </c>
      <c r="BU110" s="41">
        <v>0</v>
      </c>
      <c r="BV110" s="41">
        <v>0</v>
      </c>
      <c r="BW110" s="41">
        <v>0</v>
      </c>
      <c r="BX110" s="41">
        <v>0</v>
      </c>
    </row>
    <row r="111" spans="1:76" ht="15" thickBot="1" x14ac:dyDescent="0.4">
      <c r="A111" t="s">
        <v>201</v>
      </c>
      <c r="B111" s="4" t="s">
        <v>90</v>
      </c>
      <c r="C111" s="4" t="s">
        <v>181</v>
      </c>
      <c r="D111" s="4" t="s">
        <v>202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9"/>
      <c r="W111" s="44">
        <v>0</v>
      </c>
      <c r="X111" s="44">
        <v>0</v>
      </c>
      <c r="Y111" s="44">
        <f>('[1]Steel_NG-DR'!$H$37+'[1]Steel_NG-DR'!$H$16)*'Inputs by region STEEL'!I$15</f>
        <v>0</v>
      </c>
      <c r="Z111" s="44">
        <f>('[1]Steel_100%H2-DR'!$H$16+'[1]Steel_100%H2-DR'!$H$37)*'Inputs by region STEEL'!I$15</f>
        <v>0</v>
      </c>
      <c r="AA111" s="44">
        <v>0</v>
      </c>
      <c r="AB111" s="44">
        <v>0</v>
      </c>
      <c r="AC111" s="44">
        <v>0</v>
      </c>
      <c r="AD111" s="44">
        <v>0</v>
      </c>
      <c r="AE111" s="46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6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6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6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6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v>0</v>
      </c>
      <c r="BU111" s="44">
        <v>0</v>
      </c>
      <c r="BV111" s="44">
        <v>0</v>
      </c>
      <c r="BW111" s="44">
        <v>0</v>
      </c>
      <c r="BX111" s="44">
        <v>0</v>
      </c>
    </row>
    <row r="112" spans="1:76" x14ac:dyDescent="0.35">
      <c r="A112" t="s">
        <v>176</v>
      </c>
      <c r="B112" s="4" t="s">
        <v>91</v>
      </c>
      <c r="C112" s="4" t="s">
        <v>145</v>
      </c>
      <c r="D112" s="4" t="s">
        <v>177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9"/>
      <c r="W112" s="41">
        <v>0</v>
      </c>
      <c r="X112" s="41">
        <v>0</v>
      </c>
      <c r="Y112" s="40">
        <f>'[1]Steel_NG-DR'!$H$15*'Inputs by region STEEL'!J$5</f>
        <v>0.15097500908393557</v>
      </c>
      <c r="Z112" s="40">
        <f>'[1]Steel_100%H2-DR'!$H$15*'Inputs by region STEEL'!J$5</f>
        <v>0.15097500908393557</v>
      </c>
      <c r="AA112" s="41">
        <v>0</v>
      </c>
      <c r="AB112" s="41">
        <v>0</v>
      </c>
      <c r="AC112" s="41">
        <v>0</v>
      </c>
      <c r="AD112" s="41">
        <v>0</v>
      </c>
      <c r="AE112" s="43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3">
        <v>0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41">
        <v>0</v>
      </c>
      <c r="AU112" s="41">
        <v>0</v>
      </c>
      <c r="AV112" s="41">
        <v>0</v>
      </c>
      <c r="AW112" s="43">
        <v>0</v>
      </c>
      <c r="AX112" s="41">
        <v>0</v>
      </c>
      <c r="AY112" s="41">
        <v>0</v>
      </c>
      <c r="AZ112" s="41">
        <v>0</v>
      </c>
      <c r="BA112" s="41">
        <v>0</v>
      </c>
      <c r="BB112" s="41">
        <v>0</v>
      </c>
      <c r="BC112" s="41">
        <v>0</v>
      </c>
      <c r="BD112" s="41">
        <v>0</v>
      </c>
      <c r="BE112" s="41">
        <v>0</v>
      </c>
      <c r="BF112" s="43">
        <v>0</v>
      </c>
      <c r="BG112" s="41">
        <v>0</v>
      </c>
      <c r="BH112" s="41">
        <v>0</v>
      </c>
      <c r="BI112" s="41">
        <v>0</v>
      </c>
      <c r="BJ112" s="41">
        <v>0</v>
      </c>
      <c r="BK112" s="41">
        <v>0</v>
      </c>
      <c r="BL112" s="41">
        <v>0</v>
      </c>
      <c r="BM112" s="41">
        <v>0</v>
      </c>
      <c r="BN112" s="41">
        <v>0</v>
      </c>
      <c r="BO112" s="43">
        <v>0</v>
      </c>
      <c r="BP112" s="41">
        <v>0</v>
      </c>
      <c r="BQ112" s="41">
        <v>0</v>
      </c>
      <c r="BR112" s="41">
        <v>0</v>
      </c>
      <c r="BS112" s="41">
        <v>0</v>
      </c>
      <c r="BT112" s="41">
        <v>0</v>
      </c>
      <c r="BU112" s="41">
        <v>0</v>
      </c>
      <c r="BV112" s="41">
        <v>0</v>
      </c>
      <c r="BW112" s="41">
        <v>0</v>
      </c>
      <c r="BX112" s="41">
        <v>0</v>
      </c>
    </row>
    <row r="113" spans="1:76" x14ac:dyDescent="0.35">
      <c r="A113" s="77" t="s">
        <v>183</v>
      </c>
      <c r="B113" s="4" t="s">
        <v>91</v>
      </c>
      <c r="C113" s="4" t="s">
        <v>145</v>
      </c>
      <c r="D113" s="4" t="s">
        <v>184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9"/>
      <c r="W113" s="41">
        <v>0</v>
      </c>
      <c r="X113" s="41">
        <v>0</v>
      </c>
      <c r="Y113" s="41">
        <f>'[1]Steel_NG-DR'!$H$29*'Inputs by region STEEL'!J$6</f>
        <v>0</v>
      </c>
      <c r="Z113" s="41">
        <f>'[1]Steel_100%H2-DR'!$H$29*'Inputs by region STEEL'!J$6</f>
        <v>0</v>
      </c>
      <c r="AA113" s="41">
        <v>0</v>
      </c>
      <c r="AB113" s="41">
        <v>0</v>
      </c>
      <c r="AC113" s="41">
        <v>0</v>
      </c>
      <c r="AD113" s="41">
        <v>0</v>
      </c>
      <c r="AE113" s="43">
        <v>0</v>
      </c>
      <c r="AF113" s="41">
        <v>0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3">
        <v>0</v>
      </c>
      <c r="AO113" s="41">
        <v>0</v>
      </c>
      <c r="AP113" s="41">
        <v>0</v>
      </c>
      <c r="AQ113" s="41">
        <v>0</v>
      </c>
      <c r="AR113" s="41">
        <v>0</v>
      </c>
      <c r="AS113" s="41">
        <v>0</v>
      </c>
      <c r="AT113" s="41">
        <v>0</v>
      </c>
      <c r="AU113" s="41">
        <v>0</v>
      </c>
      <c r="AV113" s="41">
        <v>0</v>
      </c>
      <c r="AW113" s="43">
        <v>0</v>
      </c>
      <c r="AX113" s="41">
        <v>0</v>
      </c>
      <c r="AY113" s="41">
        <v>0</v>
      </c>
      <c r="AZ113" s="41">
        <v>0</v>
      </c>
      <c r="BA113" s="41">
        <v>0</v>
      </c>
      <c r="BB113" s="41">
        <v>0</v>
      </c>
      <c r="BC113" s="41">
        <v>0</v>
      </c>
      <c r="BD113" s="41">
        <v>0</v>
      </c>
      <c r="BE113" s="41">
        <v>0</v>
      </c>
      <c r="BF113" s="43">
        <v>0</v>
      </c>
      <c r="BG113" s="41">
        <v>0</v>
      </c>
      <c r="BH113" s="41">
        <v>0</v>
      </c>
      <c r="BI113" s="41">
        <v>0</v>
      </c>
      <c r="BJ113" s="41">
        <v>0</v>
      </c>
      <c r="BK113" s="41">
        <v>0</v>
      </c>
      <c r="BL113" s="41">
        <v>0</v>
      </c>
      <c r="BM113" s="41">
        <v>0</v>
      </c>
      <c r="BN113" s="41">
        <v>0</v>
      </c>
      <c r="BO113" s="43">
        <v>0</v>
      </c>
      <c r="BP113" s="41">
        <v>0</v>
      </c>
      <c r="BQ113" s="41">
        <v>0</v>
      </c>
      <c r="BR113" s="41">
        <v>0</v>
      </c>
      <c r="BS113" s="41">
        <v>0</v>
      </c>
      <c r="BT113" s="41">
        <v>0</v>
      </c>
      <c r="BU113" s="41">
        <v>0</v>
      </c>
      <c r="BV113" s="41">
        <v>0</v>
      </c>
      <c r="BW113" s="41">
        <v>0</v>
      </c>
      <c r="BX113" s="41">
        <v>0</v>
      </c>
    </row>
    <row r="114" spans="1:76" x14ac:dyDescent="0.35">
      <c r="A114" t="s">
        <v>185</v>
      </c>
      <c r="B114" s="4" t="s">
        <v>91</v>
      </c>
      <c r="C114" s="4" t="s">
        <v>145</v>
      </c>
      <c r="D114" s="4" t="s">
        <v>186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9"/>
      <c r="W114" s="41">
        <v>0</v>
      </c>
      <c r="X114" s="41">
        <v>0</v>
      </c>
      <c r="Y114" s="40">
        <f>'[1]Steel_NG-DR'!$H$31*'Inputs by region STEEL'!J$7</f>
        <v>6.7728942399646885E-5</v>
      </c>
      <c r="Z114" s="40">
        <f>'[1]Steel_100%H2-DR'!$H$31*'Inputs by region STEEL'!J$7</f>
        <v>6.7728942399646885E-5</v>
      </c>
      <c r="AA114" s="41">
        <v>0</v>
      </c>
      <c r="AB114" s="41">
        <v>0</v>
      </c>
      <c r="AC114" s="41">
        <v>0</v>
      </c>
      <c r="AD114" s="41">
        <v>0</v>
      </c>
      <c r="AE114" s="43">
        <v>0</v>
      </c>
      <c r="AF114" s="41">
        <v>0</v>
      </c>
      <c r="AG114" s="41">
        <v>0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0</v>
      </c>
      <c r="AN114" s="43">
        <v>0</v>
      </c>
      <c r="AO114" s="41">
        <v>0</v>
      </c>
      <c r="AP114" s="41">
        <v>0</v>
      </c>
      <c r="AQ114" s="41">
        <v>0</v>
      </c>
      <c r="AR114" s="41">
        <v>0</v>
      </c>
      <c r="AS114" s="41">
        <v>0</v>
      </c>
      <c r="AT114" s="41">
        <v>0</v>
      </c>
      <c r="AU114" s="41">
        <v>0</v>
      </c>
      <c r="AV114" s="41">
        <v>0</v>
      </c>
      <c r="AW114" s="43">
        <v>0</v>
      </c>
      <c r="AX114" s="41">
        <v>0</v>
      </c>
      <c r="AY114" s="41">
        <v>0</v>
      </c>
      <c r="AZ114" s="41">
        <v>0</v>
      </c>
      <c r="BA114" s="41">
        <v>0</v>
      </c>
      <c r="BB114" s="41">
        <v>0</v>
      </c>
      <c r="BC114" s="41">
        <v>0</v>
      </c>
      <c r="BD114" s="41">
        <v>0</v>
      </c>
      <c r="BE114" s="41">
        <v>0</v>
      </c>
      <c r="BF114" s="43">
        <v>0</v>
      </c>
      <c r="BG114" s="41">
        <v>0</v>
      </c>
      <c r="BH114" s="41">
        <v>0</v>
      </c>
      <c r="BI114" s="41">
        <v>0</v>
      </c>
      <c r="BJ114" s="41">
        <v>0</v>
      </c>
      <c r="BK114" s="41">
        <v>0</v>
      </c>
      <c r="BL114" s="41">
        <v>0</v>
      </c>
      <c r="BM114" s="41">
        <v>0</v>
      </c>
      <c r="BN114" s="41">
        <v>0</v>
      </c>
      <c r="BO114" s="43">
        <v>0</v>
      </c>
      <c r="BP114" s="41">
        <v>0</v>
      </c>
      <c r="BQ114" s="41">
        <v>0</v>
      </c>
      <c r="BR114" s="41">
        <v>0</v>
      </c>
      <c r="BS114" s="41">
        <v>0</v>
      </c>
      <c r="BT114" s="41">
        <v>0</v>
      </c>
      <c r="BU114" s="41">
        <v>0</v>
      </c>
      <c r="BV114" s="41">
        <v>0</v>
      </c>
      <c r="BW114" s="41">
        <v>0</v>
      </c>
      <c r="BX114" s="41">
        <v>0</v>
      </c>
    </row>
    <row r="115" spans="1:76" x14ac:dyDescent="0.35">
      <c r="A115" t="s">
        <v>187</v>
      </c>
      <c r="B115" s="4" t="s">
        <v>91</v>
      </c>
      <c r="C115" s="4" t="s">
        <v>145</v>
      </c>
      <c r="D115" s="4" t="s">
        <v>188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9"/>
      <c r="W115" s="41">
        <v>0</v>
      </c>
      <c r="X115" s="41">
        <v>0</v>
      </c>
      <c r="Y115" s="40">
        <f>'[1]Steel_NG-DR'!$H$32*'Inputs by region STEEL'!J$8</f>
        <v>5.6233849622410815E-3</v>
      </c>
      <c r="Z115" s="40">
        <f>'[1]Steel_100%H2-DR'!$H$32*'Inputs by region STEEL'!J$8</f>
        <v>5.6233849622410815E-3</v>
      </c>
      <c r="AA115" s="41">
        <v>0</v>
      </c>
      <c r="AB115" s="41">
        <v>0</v>
      </c>
      <c r="AC115" s="41">
        <v>0</v>
      </c>
      <c r="AD115" s="41">
        <v>0</v>
      </c>
      <c r="AE115" s="43">
        <v>0</v>
      </c>
      <c r="AF115" s="41">
        <v>0</v>
      </c>
      <c r="AG115" s="41">
        <v>0</v>
      </c>
      <c r="AH115" s="41">
        <v>0</v>
      </c>
      <c r="AI115" s="41">
        <v>0</v>
      </c>
      <c r="AJ115" s="41">
        <v>0</v>
      </c>
      <c r="AK115" s="41">
        <v>0</v>
      </c>
      <c r="AL115" s="41">
        <v>0</v>
      </c>
      <c r="AM115" s="41">
        <v>0</v>
      </c>
      <c r="AN115" s="43">
        <v>0</v>
      </c>
      <c r="AO115" s="41">
        <v>0</v>
      </c>
      <c r="AP115" s="41">
        <v>0</v>
      </c>
      <c r="AQ115" s="41">
        <v>0</v>
      </c>
      <c r="AR115" s="41">
        <v>0</v>
      </c>
      <c r="AS115" s="41">
        <v>0</v>
      </c>
      <c r="AT115" s="41">
        <v>0</v>
      </c>
      <c r="AU115" s="41">
        <v>0</v>
      </c>
      <c r="AV115" s="41">
        <v>0</v>
      </c>
      <c r="AW115" s="43">
        <v>0</v>
      </c>
      <c r="AX115" s="41">
        <v>0</v>
      </c>
      <c r="AY115" s="41">
        <v>0</v>
      </c>
      <c r="AZ115" s="41">
        <v>0</v>
      </c>
      <c r="BA115" s="41">
        <v>0</v>
      </c>
      <c r="BB115" s="41">
        <v>0</v>
      </c>
      <c r="BC115" s="41">
        <v>0</v>
      </c>
      <c r="BD115" s="41">
        <v>0</v>
      </c>
      <c r="BE115" s="41">
        <v>0</v>
      </c>
      <c r="BF115" s="43">
        <v>0</v>
      </c>
      <c r="BG115" s="41">
        <v>0</v>
      </c>
      <c r="BH115" s="41">
        <v>0</v>
      </c>
      <c r="BI115" s="41">
        <v>0</v>
      </c>
      <c r="BJ115" s="41">
        <v>0</v>
      </c>
      <c r="BK115" s="41">
        <v>0</v>
      </c>
      <c r="BL115" s="41">
        <v>0</v>
      </c>
      <c r="BM115" s="41">
        <v>0</v>
      </c>
      <c r="BN115" s="41">
        <v>0</v>
      </c>
      <c r="BO115" s="43">
        <v>0</v>
      </c>
      <c r="BP115" s="41">
        <v>0</v>
      </c>
      <c r="BQ115" s="41">
        <v>0</v>
      </c>
      <c r="BR115" s="41">
        <v>0</v>
      </c>
      <c r="BS115" s="41">
        <v>0</v>
      </c>
      <c r="BT115" s="41">
        <v>0</v>
      </c>
      <c r="BU115" s="41">
        <v>0</v>
      </c>
      <c r="BV115" s="41">
        <v>0</v>
      </c>
      <c r="BW115" s="41">
        <v>0</v>
      </c>
      <c r="BX115" s="41">
        <v>0</v>
      </c>
    </row>
    <row r="116" spans="1:76" x14ac:dyDescent="0.35">
      <c r="A116" t="s">
        <v>189</v>
      </c>
      <c r="B116" s="4" t="s">
        <v>91</v>
      </c>
      <c r="C116" s="4" t="s">
        <v>145</v>
      </c>
      <c r="D116" s="4" t="s">
        <v>190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9"/>
      <c r="W116" s="41">
        <v>0</v>
      </c>
      <c r="X116" s="40">
        <f>'[1]Steel_BF-BOF with H2'!$H$39*'[1]Steel_BF-BOF with H2'!$N$30</f>
        <v>2.0807907452574416E-3</v>
      </c>
      <c r="Y116" s="40">
        <f>'[1]Steel_NG-DR'!$H$33*'Inputs by region STEEL'!J$9</f>
        <v>1.8068055269127655E-3</v>
      </c>
      <c r="Z116" s="40">
        <f>'[1]Steel_100%H2-DR'!$H$33*'Inputs by region STEEL'!J$9</f>
        <v>1.8068055269127655E-3</v>
      </c>
      <c r="AA116" s="40">
        <f>'[1]Steel_BF-BOF with char (+CCUS)'!$H$26*'[1]Steel_BF-BOF with char (+CCUS)'!$N$29</f>
        <v>4.3195382907628159E-4</v>
      </c>
      <c r="AB116" s="40">
        <f>'[1]Steel_BF-BOF with char (+CCUS)'!$H$53*'[1]Steel_BF-BOF with char (+CCUS)'!$N$56</f>
        <v>4.3195382907628159E-4</v>
      </c>
      <c r="AC116" s="41">
        <v>0</v>
      </c>
      <c r="AD116" s="41">
        <v>0</v>
      </c>
      <c r="AE116" s="43">
        <v>0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0</v>
      </c>
      <c r="AL116" s="41">
        <v>0</v>
      </c>
      <c r="AM116" s="41">
        <v>0</v>
      </c>
      <c r="AN116" s="43">
        <v>0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41">
        <v>0</v>
      </c>
      <c r="AU116" s="41">
        <v>0</v>
      </c>
      <c r="AV116" s="41">
        <v>0</v>
      </c>
      <c r="AW116" s="43">
        <v>0</v>
      </c>
      <c r="AX116" s="41">
        <v>0</v>
      </c>
      <c r="AY116" s="41">
        <v>0</v>
      </c>
      <c r="AZ116" s="41">
        <v>0</v>
      </c>
      <c r="BA116" s="41">
        <v>0</v>
      </c>
      <c r="BB116" s="41">
        <v>0</v>
      </c>
      <c r="BC116" s="41">
        <v>0</v>
      </c>
      <c r="BD116" s="41">
        <v>0</v>
      </c>
      <c r="BE116" s="41">
        <v>0</v>
      </c>
      <c r="BF116" s="43">
        <v>0</v>
      </c>
      <c r="BG116" s="41">
        <v>0</v>
      </c>
      <c r="BH116" s="41">
        <v>0</v>
      </c>
      <c r="BI116" s="41">
        <v>0</v>
      </c>
      <c r="BJ116" s="41">
        <v>0</v>
      </c>
      <c r="BK116" s="41">
        <v>0</v>
      </c>
      <c r="BL116" s="41">
        <v>0</v>
      </c>
      <c r="BM116" s="41">
        <v>0</v>
      </c>
      <c r="BN116" s="41">
        <v>0</v>
      </c>
      <c r="BO116" s="43">
        <v>0</v>
      </c>
      <c r="BP116" s="41">
        <v>0</v>
      </c>
      <c r="BQ116" s="41">
        <v>0</v>
      </c>
      <c r="BR116" s="41">
        <v>0</v>
      </c>
      <c r="BS116" s="41">
        <v>0</v>
      </c>
      <c r="BT116" s="41">
        <v>0</v>
      </c>
      <c r="BU116" s="41">
        <v>0</v>
      </c>
      <c r="BV116" s="41">
        <v>0</v>
      </c>
      <c r="BW116" s="41">
        <v>0</v>
      </c>
      <c r="BX116" s="41">
        <v>0</v>
      </c>
    </row>
    <row r="117" spans="1:76" x14ac:dyDescent="0.35">
      <c r="A117" t="s">
        <v>87</v>
      </c>
      <c r="B117" s="4" t="s">
        <v>91</v>
      </c>
      <c r="C117" s="4" t="s">
        <v>145</v>
      </c>
      <c r="D117" s="4" t="s">
        <v>196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9"/>
      <c r="W117" s="41">
        <v>0</v>
      </c>
      <c r="X117" s="41">
        <v>0</v>
      </c>
      <c r="Y117" s="41">
        <v>0</v>
      </c>
      <c r="Z117" s="41">
        <v>0</v>
      </c>
      <c r="AA117" s="40">
        <f>'[1]Steel_BF-BOF with char (+CCUS)'!$H$27*'Inputs by region STEEL'!J$9</f>
        <v>1.1339568587203704E-2</v>
      </c>
      <c r="AB117" s="40">
        <f>'[1]Steel_BF-BOF with char (+CCUS)'!$H$54*'Inputs by region STEEL'!J$9</f>
        <v>1.1339568587203704E-2</v>
      </c>
      <c r="AC117" s="41">
        <v>0</v>
      </c>
      <c r="AD117" s="41">
        <v>0</v>
      </c>
      <c r="AE117" s="43">
        <v>0</v>
      </c>
      <c r="AF117" s="41">
        <v>0</v>
      </c>
      <c r="AG117" s="41">
        <v>0</v>
      </c>
      <c r="AH117" s="41">
        <v>0</v>
      </c>
      <c r="AI117" s="41">
        <v>0</v>
      </c>
      <c r="AJ117" s="41">
        <v>0</v>
      </c>
      <c r="AK117" s="41">
        <v>0</v>
      </c>
      <c r="AL117" s="41">
        <v>0</v>
      </c>
      <c r="AM117" s="41">
        <v>0</v>
      </c>
      <c r="AN117" s="43">
        <v>0</v>
      </c>
      <c r="AO117" s="41">
        <v>0</v>
      </c>
      <c r="AP117" s="41">
        <v>0</v>
      </c>
      <c r="AQ117" s="41">
        <v>0</v>
      </c>
      <c r="AR117" s="41">
        <v>0</v>
      </c>
      <c r="AS117" s="41">
        <v>0</v>
      </c>
      <c r="AT117" s="41">
        <v>0</v>
      </c>
      <c r="AU117" s="41">
        <v>0</v>
      </c>
      <c r="AV117" s="41">
        <v>0</v>
      </c>
      <c r="AW117" s="43">
        <v>0</v>
      </c>
      <c r="AX117" s="41">
        <v>0</v>
      </c>
      <c r="AY117" s="41">
        <v>0</v>
      </c>
      <c r="AZ117" s="41">
        <v>0</v>
      </c>
      <c r="BA117" s="41">
        <v>0</v>
      </c>
      <c r="BB117" s="41">
        <v>0</v>
      </c>
      <c r="BC117" s="41">
        <v>0</v>
      </c>
      <c r="BD117" s="41">
        <v>0</v>
      </c>
      <c r="BE117" s="41">
        <v>0</v>
      </c>
      <c r="BF117" s="43">
        <v>0</v>
      </c>
      <c r="BG117" s="41">
        <v>0</v>
      </c>
      <c r="BH117" s="41">
        <v>0</v>
      </c>
      <c r="BI117" s="41">
        <v>0</v>
      </c>
      <c r="BJ117" s="41">
        <v>0</v>
      </c>
      <c r="BK117" s="41">
        <v>0</v>
      </c>
      <c r="BL117" s="41">
        <v>0</v>
      </c>
      <c r="BM117" s="41">
        <v>0</v>
      </c>
      <c r="BN117" s="41">
        <v>0</v>
      </c>
      <c r="BO117" s="43">
        <v>0</v>
      </c>
      <c r="BP117" s="41">
        <v>0</v>
      </c>
      <c r="BQ117" s="41">
        <v>0</v>
      </c>
      <c r="BR117" s="41">
        <v>0</v>
      </c>
      <c r="BS117" s="41">
        <v>0</v>
      </c>
      <c r="BT117" s="41">
        <v>0</v>
      </c>
      <c r="BU117" s="41">
        <v>0</v>
      </c>
      <c r="BV117" s="41">
        <v>0</v>
      </c>
      <c r="BW117" s="41">
        <v>0</v>
      </c>
      <c r="BX117" s="41">
        <v>0</v>
      </c>
    </row>
    <row r="118" spans="1:76" x14ac:dyDescent="0.35">
      <c r="A118" t="s">
        <v>191</v>
      </c>
      <c r="B118" s="4" t="s">
        <v>91</v>
      </c>
      <c r="C118" s="4" t="s">
        <v>145</v>
      </c>
      <c r="D118" s="4" t="s">
        <v>192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9"/>
      <c r="W118" s="41">
        <v>0</v>
      </c>
      <c r="X118" s="41">
        <v>0</v>
      </c>
      <c r="Y118" s="40">
        <f>'[1]Steel_NG-DR'!$H$34*'Inputs by region STEEL'!J$10</f>
        <v>5.6492118062760293E-6</v>
      </c>
      <c r="Z118" s="40">
        <f>'[1]Steel_100%H2-DR'!$H$34*'Inputs by region STEEL'!J$10</f>
        <v>5.6492118062760293E-6</v>
      </c>
      <c r="AA118" s="41">
        <v>0</v>
      </c>
      <c r="AB118" s="41">
        <v>0</v>
      </c>
      <c r="AC118" s="41">
        <v>0</v>
      </c>
      <c r="AD118" s="41">
        <v>0</v>
      </c>
      <c r="AE118" s="43">
        <v>0</v>
      </c>
      <c r="AF118" s="41">
        <v>0</v>
      </c>
      <c r="AG118" s="41">
        <v>0</v>
      </c>
      <c r="AH118" s="41">
        <v>0</v>
      </c>
      <c r="AI118" s="41">
        <v>0</v>
      </c>
      <c r="AJ118" s="41">
        <v>0</v>
      </c>
      <c r="AK118" s="41">
        <v>0</v>
      </c>
      <c r="AL118" s="41">
        <v>0</v>
      </c>
      <c r="AM118" s="41">
        <v>0</v>
      </c>
      <c r="AN118" s="43">
        <v>0</v>
      </c>
      <c r="AO118" s="41">
        <v>0</v>
      </c>
      <c r="AP118" s="41">
        <v>0</v>
      </c>
      <c r="AQ118" s="41">
        <v>0</v>
      </c>
      <c r="AR118" s="41">
        <v>0</v>
      </c>
      <c r="AS118" s="41">
        <v>0</v>
      </c>
      <c r="AT118" s="41">
        <v>0</v>
      </c>
      <c r="AU118" s="41">
        <v>0</v>
      </c>
      <c r="AV118" s="41">
        <v>0</v>
      </c>
      <c r="AW118" s="43">
        <v>0</v>
      </c>
      <c r="AX118" s="41">
        <v>0</v>
      </c>
      <c r="AY118" s="41">
        <v>0</v>
      </c>
      <c r="AZ118" s="41">
        <v>0</v>
      </c>
      <c r="BA118" s="41">
        <v>0</v>
      </c>
      <c r="BB118" s="41">
        <v>0</v>
      </c>
      <c r="BC118" s="41">
        <v>0</v>
      </c>
      <c r="BD118" s="41">
        <v>0</v>
      </c>
      <c r="BE118" s="41">
        <v>0</v>
      </c>
      <c r="BF118" s="43">
        <v>0</v>
      </c>
      <c r="BG118" s="41">
        <v>0</v>
      </c>
      <c r="BH118" s="41">
        <v>0</v>
      </c>
      <c r="BI118" s="41">
        <v>0</v>
      </c>
      <c r="BJ118" s="41">
        <v>0</v>
      </c>
      <c r="BK118" s="41">
        <v>0</v>
      </c>
      <c r="BL118" s="41">
        <v>0</v>
      </c>
      <c r="BM118" s="41">
        <v>0</v>
      </c>
      <c r="BN118" s="41">
        <v>0</v>
      </c>
      <c r="BO118" s="43">
        <v>0</v>
      </c>
      <c r="BP118" s="41">
        <v>0</v>
      </c>
      <c r="BQ118" s="41">
        <v>0</v>
      </c>
      <c r="BR118" s="41">
        <v>0</v>
      </c>
      <c r="BS118" s="41">
        <v>0</v>
      </c>
      <c r="BT118" s="41">
        <v>0</v>
      </c>
      <c r="BU118" s="41">
        <v>0</v>
      </c>
      <c r="BV118" s="41">
        <v>0</v>
      </c>
      <c r="BW118" s="41">
        <v>0</v>
      </c>
      <c r="BX118" s="41">
        <v>0</v>
      </c>
    </row>
    <row r="119" spans="1:76" x14ac:dyDescent="0.35">
      <c r="A119" t="s">
        <v>193</v>
      </c>
      <c r="B119" s="4" t="s">
        <v>91</v>
      </c>
      <c r="C119" s="4" t="s">
        <v>145</v>
      </c>
      <c r="D119" s="4" t="s">
        <v>194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9"/>
      <c r="W119" s="41">
        <v>0</v>
      </c>
      <c r="X119" s="41">
        <v>0</v>
      </c>
      <c r="Y119" s="40">
        <f>'[1]Steel_NG-DR'!$H$35*'Inputs by region STEEL'!J$11</f>
        <v>0</v>
      </c>
      <c r="Z119" s="40">
        <f>'[1]Steel_100%H2-DR'!$H$35*'Inputs by region STEEL'!J$11</f>
        <v>0</v>
      </c>
      <c r="AA119" s="41">
        <v>0</v>
      </c>
      <c r="AB119" s="41">
        <v>0</v>
      </c>
      <c r="AC119" s="41">
        <v>0</v>
      </c>
      <c r="AD119" s="41">
        <v>0</v>
      </c>
      <c r="AE119" s="43">
        <v>0</v>
      </c>
      <c r="AF119" s="41">
        <v>0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3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41">
        <v>0</v>
      </c>
      <c r="AU119" s="41">
        <v>0</v>
      </c>
      <c r="AV119" s="41">
        <v>0</v>
      </c>
      <c r="AW119" s="43">
        <v>0</v>
      </c>
      <c r="AX119" s="41">
        <v>0</v>
      </c>
      <c r="AY119" s="41">
        <v>0</v>
      </c>
      <c r="AZ119" s="41">
        <v>0</v>
      </c>
      <c r="BA119" s="41">
        <v>0</v>
      </c>
      <c r="BB119" s="41">
        <v>0</v>
      </c>
      <c r="BC119" s="41">
        <v>0</v>
      </c>
      <c r="BD119" s="41">
        <v>0</v>
      </c>
      <c r="BE119" s="41">
        <v>0</v>
      </c>
      <c r="BF119" s="43">
        <v>0</v>
      </c>
      <c r="BG119" s="41">
        <v>0</v>
      </c>
      <c r="BH119" s="41">
        <v>0</v>
      </c>
      <c r="BI119" s="41">
        <v>0</v>
      </c>
      <c r="BJ119" s="41">
        <v>0</v>
      </c>
      <c r="BK119" s="41">
        <v>0</v>
      </c>
      <c r="BL119" s="41">
        <v>0</v>
      </c>
      <c r="BM119" s="41">
        <v>0</v>
      </c>
      <c r="BN119" s="41">
        <v>0</v>
      </c>
      <c r="BO119" s="43">
        <v>0</v>
      </c>
      <c r="BP119" s="41">
        <v>0</v>
      </c>
      <c r="BQ119" s="41">
        <v>0</v>
      </c>
      <c r="BR119" s="41">
        <v>0</v>
      </c>
      <c r="BS119" s="41">
        <v>0</v>
      </c>
      <c r="BT119" s="41">
        <v>0</v>
      </c>
      <c r="BU119" s="41">
        <v>0</v>
      </c>
      <c r="BV119" s="41">
        <v>0</v>
      </c>
      <c r="BW119" s="41">
        <v>0</v>
      </c>
      <c r="BX119" s="41">
        <v>0</v>
      </c>
    </row>
    <row r="120" spans="1:76" x14ac:dyDescent="0.35">
      <c r="A120" t="s">
        <v>195</v>
      </c>
      <c r="B120" s="4" t="s">
        <v>91</v>
      </c>
      <c r="C120" s="4" t="s">
        <v>145</v>
      </c>
      <c r="D120" s="4" t="s">
        <v>196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9"/>
      <c r="W120" s="41">
        <v>0</v>
      </c>
      <c r="X120" s="41">
        <v>0</v>
      </c>
      <c r="Y120" s="40">
        <f>'[1]Steel_NG-DR'!$H$36*'Inputs by region STEEL'!J$12</f>
        <v>8.1093795177776388E-4</v>
      </c>
      <c r="Z120" s="40">
        <f>'[1]Steel_100%H2-DR'!$H$36*'Inputs by region STEEL'!J$12</f>
        <v>8.1093795177776388E-4</v>
      </c>
      <c r="AA120" s="41">
        <v>0</v>
      </c>
      <c r="AB120" s="41">
        <v>0</v>
      </c>
      <c r="AC120" s="41">
        <v>0</v>
      </c>
      <c r="AD120" s="41">
        <v>0</v>
      </c>
      <c r="AE120" s="43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3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41">
        <v>0</v>
      </c>
      <c r="AU120" s="41">
        <v>0</v>
      </c>
      <c r="AV120" s="41">
        <v>0</v>
      </c>
      <c r="AW120" s="43">
        <v>0</v>
      </c>
      <c r="AX120" s="41">
        <v>0</v>
      </c>
      <c r="AY120" s="41">
        <v>0</v>
      </c>
      <c r="AZ120" s="41">
        <v>0</v>
      </c>
      <c r="BA120" s="41">
        <v>0</v>
      </c>
      <c r="BB120" s="41">
        <v>0</v>
      </c>
      <c r="BC120" s="41">
        <v>0</v>
      </c>
      <c r="BD120" s="41">
        <v>0</v>
      </c>
      <c r="BE120" s="41">
        <v>0</v>
      </c>
      <c r="BF120" s="43">
        <v>0</v>
      </c>
      <c r="BG120" s="41">
        <v>0</v>
      </c>
      <c r="BH120" s="41">
        <v>0</v>
      </c>
      <c r="BI120" s="41">
        <v>0</v>
      </c>
      <c r="BJ120" s="41">
        <v>0</v>
      </c>
      <c r="BK120" s="41">
        <v>0</v>
      </c>
      <c r="BL120" s="41">
        <v>0</v>
      </c>
      <c r="BM120" s="41">
        <v>0</v>
      </c>
      <c r="BN120" s="41">
        <v>0</v>
      </c>
      <c r="BO120" s="43">
        <v>0</v>
      </c>
      <c r="BP120" s="41">
        <v>0</v>
      </c>
      <c r="BQ120" s="41">
        <v>0</v>
      </c>
      <c r="BR120" s="41">
        <v>0</v>
      </c>
      <c r="BS120" s="41">
        <v>0</v>
      </c>
      <c r="BT120" s="41">
        <v>0</v>
      </c>
      <c r="BU120" s="41">
        <v>0</v>
      </c>
      <c r="BV120" s="41">
        <v>0</v>
      </c>
      <c r="BW120" s="41">
        <v>0</v>
      </c>
      <c r="BX120" s="41">
        <v>0</v>
      </c>
    </row>
    <row r="121" spans="1:76" x14ac:dyDescent="0.35">
      <c r="A121" t="s">
        <v>197</v>
      </c>
      <c r="B121" s="4" t="s">
        <v>91</v>
      </c>
      <c r="C121" s="4" t="s">
        <v>181</v>
      </c>
      <c r="D121" s="4" t="s">
        <v>198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9"/>
      <c r="W121" s="41">
        <v>0</v>
      </c>
      <c r="X121" s="41">
        <v>0</v>
      </c>
      <c r="Y121" s="41">
        <f>('[1]Steel_NG-DR'!$H$37+'[1]Steel_NG-DR'!$H$16)*'Inputs by region STEEL'!J$13</f>
        <v>0</v>
      </c>
      <c r="Z121" s="41">
        <f>('[1]Steel_100%H2-DR'!$H$16+'[1]Steel_100%H2-DR'!$H$37)*'Inputs by region STEEL'!J$13</f>
        <v>0</v>
      </c>
      <c r="AA121" s="41">
        <v>0</v>
      </c>
      <c r="AB121" s="41">
        <v>0</v>
      </c>
      <c r="AC121" s="41">
        <v>0</v>
      </c>
      <c r="AD121" s="41">
        <v>0</v>
      </c>
      <c r="AE121" s="43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0</v>
      </c>
      <c r="AL121" s="41">
        <v>0</v>
      </c>
      <c r="AM121" s="41">
        <v>0</v>
      </c>
      <c r="AN121" s="43">
        <v>0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41">
        <v>0</v>
      </c>
      <c r="AU121" s="41">
        <v>0</v>
      </c>
      <c r="AV121" s="41">
        <v>0</v>
      </c>
      <c r="AW121" s="43">
        <v>0</v>
      </c>
      <c r="AX121" s="41">
        <v>0</v>
      </c>
      <c r="AY121" s="41">
        <v>0</v>
      </c>
      <c r="AZ121" s="41">
        <v>0</v>
      </c>
      <c r="BA121" s="41">
        <v>0</v>
      </c>
      <c r="BB121" s="41">
        <v>0</v>
      </c>
      <c r="BC121" s="41">
        <v>0</v>
      </c>
      <c r="BD121" s="41">
        <v>0</v>
      </c>
      <c r="BE121" s="41">
        <v>0</v>
      </c>
      <c r="BF121" s="43">
        <v>0</v>
      </c>
      <c r="BG121" s="41">
        <v>0</v>
      </c>
      <c r="BH121" s="41">
        <v>0</v>
      </c>
      <c r="BI121" s="41">
        <v>0</v>
      </c>
      <c r="BJ121" s="41">
        <v>0</v>
      </c>
      <c r="BK121" s="41">
        <v>0</v>
      </c>
      <c r="BL121" s="41">
        <v>0</v>
      </c>
      <c r="BM121" s="41">
        <v>0</v>
      </c>
      <c r="BN121" s="41">
        <v>0</v>
      </c>
      <c r="BO121" s="43">
        <v>0</v>
      </c>
      <c r="BP121" s="41">
        <v>0</v>
      </c>
      <c r="BQ121" s="41">
        <v>0</v>
      </c>
      <c r="BR121" s="41">
        <v>0</v>
      </c>
      <c r="BS121" s="41">
        <v>0</v>
      </c>
      <c r="BT121" s="41">
        <v>0</v>
      </c>
      <c r="BU121" s="41">
        <v>0</v>
      </c>
      <c r="BV121" s="41">
        <v>0</v>
      </c>
      <c r="BW121" s="41">
        <v>0</v>
      </c>
      <c r="BX121" s="41">
        <v>0</v>
      </c>
    </row>
    <row r="122" spans="1:76" x14ac:dyDescent="0.35">
      <c r="A122" t="s">
        <v>199</v>
      </c>
      <c r="B122" s="4" t="s">
        <v>91</v>
      </c>
      <c r="C122" s="4" t="s">
        <v>181</v>
      </c>
      <c r="D122" s="4" t="s">
        <v>200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9"/>
      <c r="W122" s="41">
        <v>0</v>
      </c>
      <c r="X122" s="41">
        <v>0</v>
      </c>
      <c r="Y122" s="41">
        <f>('[1]Steel_NG-DR'!$H$37+'[1]Steel_NG-DR'!$H$16)*'Inputs by region STEEL'!J$14</f>
        <v>0</v>
      </c>
      <c r="Z122" s="41">
        <f>('[1]Steel_100%H2-DR'!$H$16+'[1]Steel_100%H2-DR'!$H$37)*'Inputs by region STEEL'!J$14</f>
        <v>0</v>
      </c>
      <c r="AA122" s="41">
        <v>0</v>
      </c>
      <c r="AB122" s="41">
        <v>0</v>
      </c>
      <c r="AC122" s="41">
        <v>0</v>
      </c>
      <c r="AD122" s="41">
        <v>0</v>
      </c>
      <c r="AE122" s="43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3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41">
        <v>0</v>
      </c>
      <c r="AU122" s="41">
        <v>0</v>
      </c>
      <c r="AV122" s="41">
        <v>0</v>
      </c>
      <c r="AW122" s="43">
        <v>0</v>
      </c>
      <c r="AX122" s="41">
        <v>0</v>
      </c>
      <c r="AY122" s="41">
        <v>0</v>
      </c>
      <c r="AZ122" s="41">
        <v>0</v>
      </c>
      <c r="BA122" s="41">
        <v>0</v>
      </c>
      <c r="BB122" s="41">
        <v>0</v>
      </c>
      <c r="BC122" s="41">
        <v>0</v>
      </c>
      <c r="BD122" s="41">
        <v>0</v>
      </c>
      <c r="BE122" s="41">
        <v>0</v>
      </c>
      <c r="BF122" s="43">
        <v>0</v>
      </c>
      <c r="BG122" s="41">
        <v>0</v>
      </c>
      <c r="BH122" s="41">
        <v>0</v>
      </c>
      <c r="BI122" s="41">
        <v>0</v>
      </c>
      <c r="BJ122" s="41">
        <v>0</v>
      </c>
      <c r="BK122" s="41">
        <v>0</v>
      </c>
      <c r="BL122" s="41">
        <v>0</v>
      </c>
      <c r="BM122" s="41">
        <v>0</v>
      </c>
      <c r="BN122" s="41">
        <v>0</v>
      </c>
      <c r="BO122" s="43">
        <v>0</v>
      </c>
      <c r="BP122" s="41">
        <v>0</v>
      </c>
      <c r="BQ122" s="41">
        <v>0</v>
      </c>
      <c r="BR122" s="41">
        <v>0</v>
      </c>
      <c r="BS122" s="41">
        <v>0</v>
      </c>
      <c r="BT122" s="41">
        <v>0</v>
      </c>
      <c r="BU122" s="41">
        <v>0</v>
      </c>
      <c r="BV122" s="41">
        <v>0</v>
      </c>
      <c r="BW122" s="41">
        <v>0</v>
      </c>
      <c r="BX122" s="41">
        <v>0</v>
      </c>
    </row>
    <row r="123" spans="1:76" ht="15" thickBot="1" x14ac:dyDescent="0.4">
      <c r="A123" t="s">
        <v>201</v>
      </c>
      <c r="B123" s="4" t="s">
        <v>91</v>
      </c>
      <c r="C123" s="4" t="s">
        <v>181</v>
      </c>
      <c r="D123" s="4" t="s">
        <v>202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9"/>
      <c r="W123" s="44">
        <v>0</v>
      </c>
      <c r="X123" s="44">
        <v>0</v>
      </c>
      <c r="Y123" s="44">
        <f>('[1]Steel_NG-DR'!$H$37+'[1]Steel_NG-DR'!$H$16)*'Inputs by region STEEL'!J$15</f>
        <v>0</v>
      </c>
      <c r="Z123" s="44">
        <f>('[1]Steel_100%H2-DR'!$H$16+'[1]Steel_100%H2-DR'!$H$37)*'Inputs by region STEEL'!J$15</f>
        <v>0</v>
      </c>
      <c r="AA123" s="44">
        <v>0</v>
      </c>
      <c r="AB123" s="44">
        <v>0</v>
      </c>
      <c r="AC123" s="44">
        <v>0</v>
      </c>
      <c r="AD123" s="44">
        <v>0</v>
      </c>
      <c r="AE123" s="46">
        <v>0</v>
      </c>
      <c r="AF123" s="44">
        <v>0</v>
      </c>
      <c r="AG123" s="44">
        <v>0</v>
      </c>
      <c r="AH123" s="44">
        <v>0</v>
      </c>
      <c r="AI123" s="44">
        <v>0</v>
      </c>
      <c r="AJ123" s="44">
        <v>0</v>
      </c>
      <c r="AK123" s="44">
        <v>0</v>
      </c>
      <c r="AL123" s="44">
        <v>0</v>
      </c>
      <c r="AM123" s="44">
        <v>0</v>
      </c>
      <c r="AN123" s="46">
        <v>0</v>
      </c>
      <c r="AO123" s="44">
        <v>0</v>
      </c>
      <c r="AP123" s="44">
        <v>0</v>
      </c>
      <c r="AQ123" s="44">
        <v>0</v>
      </c>
      <c r="AR123" s="44">
        <v>0</v>
      </c>
      <c r="AS123" s="44">
        <v>0</v>
      </c>
      <c r="AT123" s="44">
        <v>0</v>
      </c>
      <c r="AU123" s="44">
        <v>0</v>
      </c>
      <c r="AV123" s="44">
        <v>0</v>
      </c>
      <c r="AW123" s="46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4">
        <v>0</v>
      </c>
      <c r="BE123" s="44">
        <v>0</v>
      </c>
      <c r="BF123" s="46">
        <v>0</v>
      </c>
      <c r="BG123" s="44">
        <v>0</v>
      </c>
      <c r="BH123" s="44">
        <v>0</v>
      </c>
      <c r="BI123" s="44">
        <v>0</v>
      </c>
      <c r="BJ123" s="44">
        <v>0</v>
      </c>
      <c r="BK123" s="44">
        <v>0</v>
      </c>
      <c r="BL123" s="44">
        <v>0</v>
      </c>
      <c r="BM123" s="44">
        <v>0</v>
      </c>
      <c r="BN123" s="44">
        <v>0</v>
      </c>
      <c r="BO123" s="46">
        <v>0</v>
      </c>
      <c r="BP123" s="44">
        <v>0</v>
      </c>
      <c r="BQ123" s="44">
        <v>0</v>
      </c>
      <c r="BR123" s="44">
        <v>0</v>
      </c>
      <c r="BS123" s="44">
        <v>0</v>
      </c>
      <c r="BT123" s="44">
        <v>0</v>
      </c>
      <c r="BU123" s="44">
        <v>0</v>
      </c>
      <c r="BV123" s="44">
        <v>0</v>
      </c>
      <c r="BW123" s="44">
        <v>0</v>
      </c>
      <c r="BX123" s="44">
        <v>0</v>
      </c>
    </row>
    <row r="124" spans="1:76" x14ac:dyDescent="0.35">
      <c r="A124" t="s">
        <v>176</v>
      </c>
      <c r="B124" s="4" t="s">
        <v>92</v>
      </c>
      <c r="C124" s="4" t="s">
        <v>145</v>
      </c>
      <c r="D124" s="4" t="s">
        <v>177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9"/>
      <c r="W124" s="41">
        <v>0</v>
      </c>
      <c r="X124" s="41">
        <v>0</v>
      </c>
      <c r="Y124" s="40">
        <f>'[1]Steel_NG-DR'!$H$15*'Inputs by region STEEL'!K$5</f>
        <v>0.13886309499777949</v>
      </c>
      <c r="Z124" s="40">
        <f>'[1]Steel_100%H2-DR'!$H$15*'Inputs by region STEEL'!K$5</f>
        <v>0.13886309499777949</v>
      </c>
      <c r="AA124" s="41">
        <v>0</v>
      </c>
      <c r="AB124" s="41">
        <v>0</v>
      </c>
      <c r="AC124" s="41">
        <v>0</v>
      </c>
      <c r="AD124" s="41">
        <v>0</v>
      </c>
      <c r="AE124" s="43">
        <v>0</v>
      </c>
      <c r="AF124" s="41">
        <v>0</v>
      </c>
      <c r="AG124" s="41">
        <v>0</v>
      </c>
      <c r="AH124" s="41">
        <v>0</v>
      </c>
      <c r="AI124" s="41">
        <v>0</v>
      </c>
      <c r="AJ124" s="41">
        <v>0</v>
      </c>
      <c r="AK124" s="41">
        <v>0</v>
      </c>
      <c r="AL124" s="41">
        <v>0</v>
      </c>
      <c r="AM124" s="41">
        <v>0</v>
      </c>
      <c r="AN124" s="43">
        <v>0</v>
      </c>
      <c r="AO124" s="41">
        <v>0</v>
      </c>
      <c r="AP124" s="41">
        <v>0</v>
      </c>
      <c r="AQ124" s="41">
        <v>0</v>
      </c>
      <c r="AR124" s="41">
        <v>0</v>
      </c>
      <c r="AS124" s="41">
        <v>0</v>
      </c>
      <c r="AT124" s="41">
        <v>0</v>
      </c>
      <c r="AU124" s="41">
        <v>0</v>
      </c>
      <c r="AV124" s="41">
        <v>0</v>
      </c>
      <c r="AW124" s="43">
        <v>0</v>
      </c>
      <c r="AX124" s="41">
        <v>0</v>
      </c>
      <c r="AY124" s="41">
        <v>0</v>
      </c>
      <c r="AZ124" s="41">
        <v>0</v>
      </c>
      <c r="BA124" s="41">
        <v>0</v>
      </c>
      <c r="BB124" s="41">
        <v>0</v>
      </c>
      <c r="BC124" s="41">
        <v>0</v>
      </c>
      <c r="BD124" s="41">
        <v>0</v>
      </c>
      <c r="BE124" s="41">
        <v>0</v>
      </c>
      <c r="BF124" s="43">
        <v>0</v>
      </c>
      <c r="BG124" s="41">
        <v>0</v>
      </c>
      <c r="BH124" s="41">
        <v>0</v>
      </c>
      <c r="BI124" s="41">
        <v>0</v>
      </c>
      <c r="BJ124" s="41">
        <v>0</v>
      </c>
      <c r="BK124" s="41">
        <v>0</v>
      </c>
      <c r="BL124" s="41">
        <v>0</v>
      </c>
      <c r="BM124" s="41">
        <v>0</v>
      </c>
      <c r="BN124" s="41">
        <v>0</v>
      </c>
      <c r="BO124" s="43">
        <v>0</v>
      </c>
      <c r="BP124" s="41">
        <v>0</v>
      </c>
      <c r="BQ124" s="41">
        <v>0</v>
      </c>
      <c r="BR124" s="41">
        <v>0</v>
      </c>
      <c r="BS124" s="41">
        <v>0</v>
      </c>
      <c r="BT124" s="41">
        <v>0</v>
      </c>
      <c r="BU124" s="41">
        <v>0</v>
      </c>
      <c r="BV124" s="41">
        <v>0</v>
      </c>
      <c r="BW124" s="41">
        <v>0</v>
      </c>
      <c r="BX124" s="41">
        <v>0</v>
      </c>
    </row>
    <row r="125" spans="1:76" x14ac:dyDescent="0.35">
      <c r="A125" s="77" t="s">
        <v>183</v>
      </c>
      <c r="B125" s="4" t="s">
        <v>92</v>
      </c>
      <c r="C125" s="4" t="s">
        <v>145</v>
      </c>
      <c r="D125" s="4" t="s">
        <v>184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9"/>
      <c r="W125" s="41">
        <v>0</v>
      </c>
      <c r="X125" s="41">
        <v>0</v>
      </c>
      <c r="Y125" s="41">
        <f>'[1]Steel_NG-DR'!$H$29*'Inputs by region STEEL'!K$6</f>
        <v>0</v>
      </c>
      <c r="Z125" s="41">
        <f>'[1]Steel_100%H2-DR'!$H$29*'Inputs by region STEEL'!K$6</f>
        <v>0</v>
      </c>
      <c r="AA125" s="41">
        <v>0</v>
      </c>
      <c r="AB125" s="41">
        <v>0</v>
      </c>
      <c r="AC125" s="41">
        <v>0</v>
      </c>
      <c r="AD125" s="41">
        <v>0</v>
      </c>
      <c r="AE125" s="43">
        <v>0</v>
      </c>
      <c r="AF125" s="41">
        <v>0</v>
      </c>
      <c r="AG125" s="41">
        <v>0</v>
      </c>
      <c r="AH125" s="41">
        <v>0</v>
      </c>
      <c r="AI125" s="41">
        <v>0</v>
      </c>
      <c r="AJ125" s="41">
        <v>0</v>
      </c>
      <c r="AK125" s="41">
        <v>0</v>
      </c>
      <c r="AL125" s="41">
        <v>0</v>
      </c>
      <c r="AM125" s="41">
        <v>0</v>
      </c>
      <c r="AN125" s="43">
        <v>0</v>
      </c>
      <c r="AO125" s="41">
        <v>0</v>
      </c>
      <c r="AP125" s="41">
        <v>0</v>
      </c>
      <c r="AQ125" s="41">
        <v>0</v>
      </c>
      <c r="AR125" s="41">
        <v>0</v>
      </c>
      <c r="AS125" s="41">
        <v>0</v>
      </c>
      <c r="AT125" s="41">
        <v>0</v>
      </c>
      <c r="AU125" s="41">
        <v>0</v>
      </c>
      <c r="AV125" s="41">
        <v>0</v>
      </c>
      <c r="AW125" s="43">
        <v>0</v>
      </c>
      <c r="AX125" s="41">
        <v>0</v>
      </c>
      <c r="AY125" s="41">
        <v>0</v>
      </c>
      <c r="AZ125" s="41">
        <v>0</v>
      </c>
      <c r="BA125" s="41">
        <v>0</v>
      </c>
      <c r="BB125" s="41">
        <v>0</v>
      </c>
      <c r="BC125" s="41">
        <v>0</v>
      </c>
      <c r="BD125" s="41">
        <v>0</v>
      </c>
      <c r="BE125" s="41">
        <v>0</v>
      </c>
      <c r="BF125" s="43">
        <v>0</v>
      </c>
      <c r="BG125" s="41">
        <v>0</v>
      </c>
      <c r="BH125" s="41">
        <v>0</v>
      </c>
      <c r="BI125" s="41">
        <v>0</v>
      </c>
      <c r="BJ125" s="41">
        <v>0</v>
      </c>
      <c r="BK125" s="41">
        <v>0</v>
      </c>
      <c r="BL125" s="41">
        <v>0</v>
      </c>
      <c r="BM125" s="41">
        <v>0</v>
      </c>
      <c r="BN125" s="41">
        <v>0</v>
      </c>
      <c r="BO125" s="43">
        <v>0</v>
      </c>
      <c r="BP125" s="41">
        <v>0</v>
      </c>
      <c r="BQ125" s="41">
        <v>0</v>
      </c>
      <c r="BR125" s="41">
        <v>0</v>
      </c>
      <c r="BS125" s="41">
        <v>0</v>
      </c>
      <c r="BT125" s="41">
        <v>0</v>
      </c>
      <c r="BU125" s="41">
        <v>0</v>
      </c>
      <c r="BV125" s="41">
        <v>0</v>
      </c>
      <c r="BW125" s="41">
        <v>0</v>
      </c>
      <c r="BX125" s="41">
        <v>0</v>
      </c>
    </row>
    <row r="126" spans="1:76" x14ac:dyDescent="0.35">
      <c r="A126" t="s">
        <v>185</v>
      </c>
      <c r="B126" s="4" t="s">
        <v>92</v>
      </c>
      <c r="C126" s="4" t="s">
        <v>145</v>
      </c>
      <c r="D126" s="4" t="s">
        <v>186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9"/>
      <c r="W126" s="41">
        <v>0</v>
      </c>
      <c r="X126" s="41">
        <v>0</v>
      </c>
      <c r="Y126" s="40">
        <f>'[1]Steel_NG-DR'!$H$31*'Inputs by region STEEL'!K$7</f>
        <v>9.2968907089085616E-5</v>
      </c>
      <c r="Z126" s="40">
        <f>'[1]Steel_100%H2-DR'!$H$31*'Inputs by region STEEL'!K$7</f>
        <v>9.2968907089085616E-5</v>
      </c>
      <c r="AA126" s="41">
        <v>0</v>
      </c>
      <c r="AB126" s="41">
        <v>0</v>
      </c>
      <c r="AC126" s="41">
        <v>0</v>
      </c>
      <c r="AD126" s="41">
        <v>0</v>
      </c>
      <c r="AE126" s="43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3">
        <v>0</v>
      </c>
      <c r="AO126" s="41">
        <v>0</v>
      </c>
      <c r="AP126" s="41">
        <v>0</v>
      </c>
      <c r="AQ126" s="41">
        <v>0</v>
      </c>
      <c r="AR126" s="41">
        <v>0</v>
      </c>
      <c r="AS126" s="41">
        <v>0</v>
      </c>
      <c r="AT126" s="41">
        <v>0</v>
      </c>
      <c r="AU126" s="41">
        <v>0</v>
      </c>
      <c r="AV126" s="41">
        <v>0</v>
      </c>
      <c r="AW126" s="43">
        <v>0</v>
      </c>
      <c r="AX126" s="41">
        <v>0</v>
      </c>
      <c r="AY126" s="41">
        <v>0</v>
      </c>
      <c r="AZ126" s="41">
        <v>0</v>
      </c>
      <c r="BA126" s="41">
        <v>0</v>
      </c>
      <c r="BB126" s="41">
        <v>0</v>
      </c>
      <c r="BC126" s="41">
        <v>0</v>
      </c>
      <c r="BD126" s="41">
        <v>0</v>
      </c>
      <c r="BE126" s="41">
        <v>0</v>
      </c>
      <c r="BF126" s="43">
        <v>0</v>
      </c>
      <c r="BG126" s="41">
        <v>0</v>
      </c>
      <c r="BH126" s="41">
        <v>0</v>
      </c>
      <c r="BI126" s="41">
        <v>0</v>
      </c>
      <c r="BJ126" s="41">
        <v>0</v>
      </c>
      <c r="BK126" s="41">
        <v>0</v>
      </c>
      <c r="BL126" s="41">
        <v>0</v>
      </c>
      <c r="BM126" s="41">
        <v>0</v>
      </c>
      <c r="BN126" s="41">
        <v>0</v>
      </c>
      <c r="BO126" s="43">
        <v>0</v>
      </c>
      <c r="BP126" s="41">
        <v>0</v>
      </c>
      <c r="BQ126" s="41">
        <v>0</v>
      </c>
      <c r="BR126" s="41">
        <v>0</v>
      </c>
      <c r="BS126" s="41">
        <v>0</v>
      </c>
      <c r="BT126" s="41">
        <v>0</v>
      </c>
      <c r="BU126" s="41">
        <v>0</v>
      </c>
      <c r="BV126" s="41">
        <v>0</v>
      </c>
      <c r="BW126" s="41">
        <v>0</v>
      </c>
      <c r="BX126" s="41">
        <v>0</v>
      </c>
    </row>
    <row r="127" spans="1:76" x14ac:dyDescent="0.35">
      <c r="A127" t="s">
        <v>187</v>
      </c>
      <c r="B127" s="4" t="s">
        <v>92</v>
      </c>
      <c r="C127" s="4" t="s">
        <v>145</v>
      </c>
      <c r="D127" s="4" t="s">
        <v>188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9"/>
      <c r="W127" s="41">
        <v>0</v>
      </c>
      <c r="X127" s="41">
        <v>0</v>
      </c>
      <c r="Y127" s="41">
        <f>'[1]Steel_NG-DR'!$H$32*'Inputs by region STEEL'!K$8</f>
        <v>0</v>
      </c>
      <c r="Z127" s="41">
        <f>'[1]Steel_100%H2-DR'!$H$32*'Inputs by region STEEL'!K$8</f>
        <v>0</v>
      </c>
      <c r="AA127" s="41">
        <v>0</v>
      </c>
      <c r="AB127" s="41">
        <v>0</v>
      </c>
      <c r="AC127" s="41">
        <v>0</v>
      </c>
      <c r="AD127" s="41">
        <v>0</v>
      </c>
      <c r="AE127" s="43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3">
        <v>0</v>
      </c>
      <c r="AO127" s="41">
        <v>0</v>
      </c>
      <c r="AP127" s="41">
        <v>0</v>
      </c>
      <c r="AQ127" s="41">
        <v>0</v>
      </c>
      <c r="AR127" s="41">
        <v>0</v>
      </c>
      <c r="AS127" s="41">
        <v>0</v>
      </c>
      <c r="AT127" s="41">
        <v>0</v>
      </c>
      <c r="AU127" s="41">
        <v>0</v>
      </c>
      <c r="AV127" s="41">
        <v>0</v>
      </c>
      <c r="AW127" s="43">
        <v>0</v>
      </c>
      <c r="AX127" s="41">
        <v>0</v>
      </c>
      <c r="AY127" s="41">
        <v>0</v>
      </c>
      <c r="AZ127" s="41">
        <v>0</v>
      </c>
      <c r="BA127" s="41">
        <v>0</v>
      </c>
      <c r="BB127" s="41">
        <v>0</v>
      </c>
      <c r="BC127" s="41">
        <v>0</v>
      </c>
      <c r="BD127" s="41">
        <v>0</v>
      </c>
      <c r="BE127" s="41">
        <v>0</v>
      </c>
      <c r="BF127" s="43">
        <v>0</v>
      </c>
      <c r="BG127" s="41">
        <v>0</v>
      </c>
      <c r="BH127" s="41">
        <v>0</v>
      </c>
      <c r="BI127" s="41">
        <v>0</v>
      </c>
      <c r="BJ127" s="41">
        <v>0</v>
      </c>
      <c r="BK127" s="41">
        <v>0</v>
      </c>
      <c r="BL127" s="41">
        <v>0</v>
      </c>
      <c r="BM127" s="41">
        <v>0</v>
      </c>
      <c r="BN127" s="41">
        <v>0</v>
      </c>
      <c r="BO127" s="43">
        <v>0</v>
      </c>
      <c r="BP127" s="41">
        <v>0</v>
      </c>
      <c r="BQ127" s="41">
        <v>0</v>
      </c>
      <c r="BR127" s="41">
        <v>0</v>
      </c>
      <c r="BS127" s="41">
        <v>0</v>
      </c>
      <c r="BT127" s="41">
        <v>0</v>
      </c>
      <c r="BU127" s="41">
        <v>0</v>
      </c>
      <c r="BV127" s="41">
        <v>0</v>
      </c>
      <c r="BW127" s="41">
        <v>0</v>
      </c>
      <c r="BX127" s="41">
        <v>0</v>
      </c>
    </row>
    <row r="128" spans="1:76" x14ac:dyDescent="0.35">
      <c r="A128" t="s">
        <v>189</v>
      </c>
      <c r="B128" s="4" t="s">
        <v>92</v>
      </c>
      <c r="C128" s="4" t="s">
        <v>145</v>
      </c>
      <c r="D128" s="4" t="s">
        <v>190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9"/>
      <c r="W128" s="41">
        <v>0</v>
      </c>
      <c r="X128" s="40">
        <f>'[1]Steel_BF-BOF with H2'!$H$39*'[1]Steel_BF-BOF with H2'!$N$31</f>
        <v>2.8885571737041122E-3</v>
      </c>
      <c r="Y128" s="40">
        <f>'[1]Steel_NG-DR'!$H$33*'Inputs by region STEEL'!K$9</f>
        <v>1.1251392039595793E-3</v>
      </c>
      <c r="Z128" s="40">
        <f>'[1]Steel_100%H2-DR'!$H$33*'Inputs by region STEEL'!K$9</f>
        <v>1.1251392039595793E-3</v>
      </c>
      <c r="AA128" s="40">
        <f>'[1]Steel_BF-BOF with char (+CCUS)'!$H$26*'[1]Steel_BF-BOF with char (+CCUS)'!$N$30</f>
        <v>5.9963902402539811E-4</v>
      </c>
      <c r="AB128" s="40">
        <f>'[1]Steel_BF-BOF with char (+CCUS)'!$H$53*'[1]Steel_BF-BOF with char (+CCUS)'!$N$57</f>
        <v>5.9963902402539811E-4</v>
      </c>
      <c r="AC128" s="41">
        <v>0</v>
      </c>
      <c r="AD128" s="41">
        <v>0</v>
      </c>
      <c r="AE128" s="43">
        <v>0</v>
      </c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3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41">
        <v>0</v>
      </c>
      <c r="AU128" s="41">
        <v>0</v>
      </c>
      <c r="AV128" s="41">
        <v>0</v>
      </c>
      <c r="AW128" s="43">
        <v>0</v>
      </c>
      <c r="AX128" s="41">
        <v>0</v>
      </c>
      <c r="AY128" s="41">
        <v>0</v>
      </c>
      <c r="AZ128" s="41">
        <v>0</v>
      </c>
      <c r="BA128" s="41">
        <v>0</v>
      </c>
      <c r="BB128" s="41">
        <v>0</v>
      </c>
      <c r="BC128" s="41">
        <v>0</v>
      </c>
      <c r="BD128" s="41">
        <v>0</v>
      </c>
      <c r="BE128" s="41">
        <v>0</v>
      </c>
      <c r="BF128" s="43">
        <v>0</v>
      </c>
      <c r="BG128" s="41">
        <v>0</v>
      </c>
      <c r="BH128" s="41">
        <v>0</v>
      </c>
      <c r="BI128" s="41">
        <v>0</v>
      </c>
      <c r="BJ128" s="41">
        <v>0</v>
      </c>
      <c r="BK128" s="41">
        <v>0</v>
      </c>
      <c r="BL128" s="41">
        <v>0</v>
      </c>
      <c r="BM128" s="41">
        <v>0</v>
      </c>
      <c r="BN128" s="41">
        <v>0</v>
      </c>
      <c r="BO128" s="43">
        <v>0</v>
      </c>
      <c r="BP128" s="41">
        <v>0</v>
      </c>
      <c r="BQ128" s="41">
        <v>0</v>
      </c>
      <c r="BR128" s="41">
        <v>0</v>
      </c>
      <c r="BS128" s="41">
        <v>0</v>
      </c>
      <c r="BT128" s="41">
        <v>0</v>
      </c>
      <c r="BU128" s="41">
        <v>0</v>
      </c>
      <c r="BV128" s="41">
        <v>0</v>
      </c>
      <c r="BW128" s="41">
        <v>0</v>
      </c>
      <c r="BX128" s="41">
        <v>0</v>
      </c>
    </row>
    <row r="129" spans="1:76" x14ac:dyDescent="0.35">
      <c r="A129" t="s">
        <v>87</v>
      </c>
      <c r="B129" s="4" t="s">
        <v>92</v>
      </c>
      <c r="C129" s="4" t="s">
        <v>145</v>
      </c>
      <c r="D129" s="4" t="s">
        <v>196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9"/>
      <c r="W129" s="41">
        <v>0</v>
      </c>
      <c r="X129" s="41">
        <v>0</v>
      </c>
      <c r="Y129" s="41">
        <v>0</v>
      </c>
      <c r="Z129" s="41">
        <v>0</v>
      </c>
      <c r="AA129" s="40">
        <f>'[1]Steel_BF-BOF with char (+CCUS)'!$H$27*'Inputs by region STEEL'!K$9</f>
        <v>7.0614092017150581E-3</v>
      </c>
      <c r="AB129" s="40">
        <f>'[1]Steel_BF-BOF with char (+CCUS)'!$H$54*'Inputs by region STEEL'!K$9</f>
        <v>7.0614092017150581E-3</v>
      </c>
      <c r="AC129" s="41">
        <v>0</v>
      </c>
      <c r="AD129" s="41">
        <v>0</v>
      </c>
      <c r="AE129" s="43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3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0</v>
      </c>
      <c r="AT129" s="41">
        <v>0</v>
      </c>
      <c r="AU129" s="41">
        <v>0</v>
      </c>
      <c r="AV129" s="41">
        <v>0</v>
      </c>
      <c r="AW129" s="43">
        <v>0</v>
      </c>
      <c r="AX129" s="41">
        <v>0</v>
      </c>
      <c r="AY129" s="41">
        <v>0</v>
      </c>
      <c r="AZ129" s="41">
        <v>0</v>
      </c>
      <c r="BA129" s="41">
        <v>0</v>
      </c>
      <c r="BB129" s="41">
        <v>0</v>
      </c>
      <c r="BC129" s="41">
        <v>0</v>
      </c>
      <c r="BD129" s="41">
        <v>0</v>
      </c>
      <c r="BE129" s="41">
        <v>0</v>
      </c>
      <c r="BF129" s="43">
        <v>0</v>
      </c>
      <c r="BG129" s="41">
        <v>0</v>
      </c>
      <c r="BH129" s="41">
        <v>0</v>
      </c>
      <c r="BI129" s="41">
        <v>0</v>
      </c>
      <c r="BJ129" s="41">
        <v>0</v>
      </c>
      <c r="BK129" s="41">
        <v>0</v>
      </c>
      <c r="BL129" s="41">
        <v>0</v>
      </c>
      <c r="BM129" s="41">
        <v>0</v>
      </c>
      <c r="BN129" s="41">
        <v>0</v>
      </c>
      <c r="BO129" s="43">
        <v>0</v>
      </c>
      <c r="BP129" s="41">
        <v>0</v>
      </c>
      <c r="BQ129" s="41">
        <v>0</v>
      </c>
      <c r="BR129" s="41">
        <v>0</v>
      </c>
      <c r="BS129" s="41">
        <v>0</v>
      </c>
      <c r="BT129" s="41">
        <v>0</v>
      </c>
      <c r="BU129" s="41">
        <v>0</v>
      </c>
      <c r="BV129" s="41">
        <v>0</v>
      </c>
      <c r="BW129" s="41">
        <v>0</v>
      </c>
      <c r="BX129" s="41">
        <v>0</v>
      </c>
    </row>
    <row r="130" spans="1:76" x14ac:dyDescent="0.35">
      <c r="A130" t="s">
        <v>191</v>
      </c>
      <c r="B130" s="4" t="s">
        <v>92</v>
      </c>
      <c r="C130" s="4" t="s">
        <v>145</v>
      </c>
      <c r="D130" s="4" t="s">
        <v>192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9"/>
      <c r="W130" s="41">
        <v>0</v>
      </c>
      <c r="X130" s="41">
        <v>0</v>
      </c>
      <c r="Y130" s="40">
        <f>'[1]Steel_NG-DR'!$H$34*'Inputs by region STEEL'!K$10</f>
        <v>5.0048817841215026E-7</v>
      </c>
      <c r="Z130" s="40">
        <f>'[1]Steel_100%H2-DR'!$H$34*'Inputs by region STEEL'!K$10</f>
        <v>5.0048817841215026E-7</v>
      </c>
      <c r="AA130" s="41">
        <v>0</v>
      </c>
      <c r="AB130" s="41">
        <v>0</v>
      </c>
      <c r="AC130" s="41">
        <v>0</v>
      </c>
      <c r="AD130" s="41">
        <v>0</v>
      </c>
      <c r="AE130" s="43">
        <v>0</v>
      </c>
      <c r="AF130" s="41">
        <v>0</v>
      </c>
      <c r="AG130" s="41">
        <v>0</v>
      </c>
      <c r="AH130" s="41">
        <v>0</v>
      </c>
      <c r="AI130" s="41">
        <v>0</v>
      </c>
      <c r="AJ130" s="41">
        <v>0</v>
      </c>
      <c r="AK130" s="41">
        <v>0</v>
      </c>
      <c r="AL130" s="41">
        <v>0</v>
      </c>
      <c r="AM130" s="41">
        <v>0</v>
      </c>
      <c r="AN130" s="43">
        <v>0</v>
      </c>
      <c r="AO130" s="41">
        <v>0</v>
      </c>
      <c r="AP130" s="41">
        <v>0</v>
      </c>
      <c r="AQ130" s="41">
        <v>0</v>
      </c>
      <c r="AR130" s="41">
        <v>0</v>
      </c>
      <c r="AS130" s="41">
        <v>0</v>
      </c>
      <c r="AT130" s="41">
        <v>0</v>
      </c>
      <c r="AU130" s="41">
        <v>0</v>
      </c>
      <c r="AV130" s="41">
        <v>0</v>
      </c>
      <c r="AW130" s="43">
        <v>0</v>
      </c>
      <c r="AX130" s="41">
        <v>0</v>
      </c>
      <c r="AY130" s="41">
        <v>0</v>
      </c>
      <c r="AZ130" s="41">
        <v>0</v>
      </c>
      <c r="BA130" s="41">
        <v>0</v>
      </c>
      <c r="BB130" s="41">
        <v>0</v>
      </c>
      <c r="BC130" s="41">
        <v>0</v>
      </c>
      <c r="BD130" s="41">
        <v>0</v>
      </c>
      <c r="BE130" s="41">
        <v>0</v>
      </c>
      <c r="BF130" s="43">
        <v>0</v>
      </c>
      <c r="BG130" s="41">
        <v>0</v>
      </c>
      <c r="BH130" s="41">
        <v>0</v>
      </c>
      <c r="BI130" s="41">
        <v>0</v>
      </c>
      <c r="BJ130" s="41">
        <v>0</v>
      </c>
      <c r="BK130" s="41">
        <v>0</v>
      </c>
      <c r="BL130" s="41">
        <v>0</v>
      </c>
      <c r="BM130" s="41">
        <v>0</v>
      </c>
      <c r="BN130" s="41">
        <v>0</v>
      </c>
      <c r="BO130" s="43">
        <v>0</v>
      </c>
      <c r="BP130" s="41">
        <v>0</v>
      </c>
      <c r="BQ130" s="41">
        <v>0</v>
      </c>
      <c r="BR130" s="41">
        <v>0</v>
      </c>
      <c r="BS130" s="41">
        <v>0</v>
      </c>
      <c r="BT130" s="41">
        <v>0</v>
      </c>
      <c r="BU130" s="41">
        <v>0</v>
      </c>
      <c r="BV130" s="41">
        <v>0</v>
      </c>
      <c r="BW130" s="41">
        <v>0</v>
      </c>
      <c r="BX130" s="41">
        <v>0</v>
      </c>
    </row>
    <row r="131" spans="1:76" x14ac:dyDescent="0.35">
      <c r="A131" t="s">
        <v>193</v>
      </c>
      <c r="B131" s="4" t="s">
        <v>92</v>
      </c>
      <c r="C131" s="4" t="s">
        <v>145</v>
      </c>
      <c r="D131" s="4" t="s">
        <v>194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9"/>
      <c r="W131" s="41">
        <v>0</v>
      </c>
      <c r="X131" s="41">
        <v>0</v>
      </c>
      <c r="Y131" s="40">
        <f>'[1]Steel_NG-DR'!$H$35*'Inputs by region STEEL'!K$11</f>
        <v>0</v>
      </c>
      <c r="Z131" s="40">
        <f>'[1]Steel_100%H2-DR'!$H$35*'Inputs by region STEEL'!K$11</f>
        <v>0</v>
      </c>
      <c r="AA131" s="41">
        <v>0</v>
      </c>
      <c r="AB131" s="41">
        <v>0</v>
      </c>
      <c r="AC131" s="41">
        <v>0</v>
      </c>
      <c r="AD131" s="41">
        <v>0</v>
      </c>
      <c r="AE131" s="43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3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0</v>
      </c>
      <c r="AT131" s="41">
        <v>0</v>
      </c>
      <c r="AU131" s="41">
        <v>0</v>
      </c>
      <c r="AV131" s="41">
        <v>0</v>
      </c>
      <c r="AW131" s="43">
        <v>0</v>
      </c>
      <c r="AX131" s="41">
        <v>0</v>
      </c>
      <c r="AY131" s="41">
        <v>0</v>
      </c>
      <c r="AZ131" s="41">
        <v>0</v>
      </c>
      <c r="BA131" s="41">
        <v>0</v>
      </c>
      <c r="BB131" s="41">
        <v>0</v>
      </c>
      <c r="BC131" s="41">
        <v>0</v>
      </c>
      <c r="BD131" s="41">
        <v>0</v>
      </c>
      <c r="BE131" s="41">
        <v>0</v>
      </c>
      <c r="BF131" s="43">
        <v>0</v>
      </c>
      <c r="BG131" s="41">
        <v>0</v>
      </c>
      <c r="BH131" s="41">
        <v>0</v>
      </c>
      <c r="BI131" s="41">
        <v>0</v>
      </c>
      <c r="BJ131" s="41">
        <v>0</v>
      </c>
      <c r="BK131" s="41">
        <v>0</v>
      </c>
      <c r="BL131" s="41">
        <v>0</v>
      </c>
      <c r="BM131" s="41">
        <v>0</v>
      </c>
      <c r="BN131" s="41">
        <v>0</v>
      </c>
      <c r="BO131" s="43">
        <v>0</v>
      </c>
      <c r="BP131" s="41">
        <v>0</v>
      </c>
      <c r="BQ131" s="41">
        <v>0</v>
      </c>
      <c r="BR131" s="41">
        <v>0</v>
      </c>
      <c r="BS131" s="41">
        <v>0</v>
      </c>
      <c r="BT131" s="41">
        <v>0</v>
      </c>
      <c r="BU131" s="41">
        <v>0</v>
      </c>
      <c r="BV131" s="41">
        <v>0</v>
      </c>
      <c r="BW131" s="41">
        <v>0</v>
      </c>
      <c r="BX131" s="41">
        <v>0</v>
      </c>
    </row>
    <row r="132" spans="1:76" x14ac:dyDescent="0.35">
      <c r="A132" t="s">
        <v>195</v>
      </c>
      <c r="B132" s="4" t="s">
        <v>92</v>
      </c>
      <c r="C132" s="4" t="s">
        <v>145</v>
      </c>
      <c r="D132" s="4" t="s">
        <v>196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9"/>
      <c r="W132" s="41">
        <v>0</v>
      </c>
      <c r="X132" s="41">
        <v>0</v>
      </c>
      <c r="Y132" s="41">
        <f>'[1]Steel_NG-DR'!$H$36*'Inputs by region STEEL'!K$12</f>
        <v>0</v>
      </c>
      <c r="Z132" s="41">
        <f>'[1]Steel_100%H2-DR'!$H$36*'Inputs by region STEEL'!K$12</f>
        <v>0</v>
      </c>
      <c r="AA132" s="41">
        <v>0</v>
      </c>
      <c r="AB132" s="41">
        <v>0</v>
      </c>
      <c r="AC132" s="41">
        <v>0</v>
      </c>
      <c r="AD132" s="41">
        <v>0</v>
      </c>
      <c r="AE132" s="43">
        <v>0</v>
      </c>
      <c r="AF132" s="41">
        <v>0</v>
      </c>
      <c r="AG132" s="41">
        <v>0</v>
      </c>
      <c r="AH132" s="41">
        <v>0</v>
      </c>
      <c r="AI132" s="41">
        <v>0</v>
      </c>
      <c r="AJ132" s="41">
        <v>0</v>
      </c>
      <c r="AK132" s="41">
        <v>0</v>
      </c>
      <c r="AL132" s="41">
        <v>0</v>
      </c>
      <c r="AM132" s="41">
        <v>0</v>
      </c>
      <c r="AN132" s="43">
        <v>0</v>
      </c>
      <c r="AO132" s="41">
        <v>0</v>
      </c>
      <c r="AP132" s="41">
        <v>0</v>
      </c>
      <c r="AQ132" s="41">
        <v>0</v>
      </c>
      <c r="AR132" s="41">
        <v>0</v>
      </c>
      <c r="AS132" s="41">
        <v>0</v>
      </c>
      <c r="AT132" s="41">
        <v>0</v>
      </c>
      <c r="AU132" s="41">
        <v>0</v>
      </c>
      <c r="AV132" s="41">
        <v>0</v>
      </c>
      <c r="AW132" s="43">
        <v>0</v>
      </c>
      <c r="AX132" s="41">
        <v>0</v>
      </c>
      <c r="AY132" s="41">
        <v>0</v>
      </c>
      <c r="AZ132" s="41">
        <v>0</v>
      </c>
      <c r="BA132" s="41">
        <v>0</v>
      </c>
      <c r="BB132" s="41">
        <v>0</v>
      </c>
      <c r="BC132" s="41">
        <v>0</v>
      </c>
      <c r="BD132" s="41">
        <v>0</v>
      </c>
      <c r="BE132" s="41">
        <v>0</v>
      </c>
      <c r="BF132" s="43">
        <v>0</v>
      </c>
      <c r="BG132" s="41">
        <v>0</v>
      </c>
      <c r="BH132" s="41">
        <v>0</v>
      </c>
      <c r="BI132" s="41">
        <v>0</v>
      </c>
      <c r="BJ132" s="41">
        <v>0</v>
      </c>
      <c r="BK132" s="41">
        <v>0</v>
      </c>
      <c r="BL132" s="41">
        <v>0</v>
      </c>
      <c r="BM132" s="41">
        <v>0</v>
      </c>
      <c r="BN132" s="41">
        <v>0</v>
      </c>
      <c r="BO132" s="43">
        <v>0</v>
      </c>
      <c r="BP132" s="41">
        <v>0</v>
      </c>
      <c r="BQ132" s="41">
        <v>0</v>
      </c>
      <c r="BR132" s="41">
        <v>0</v>
      </c>
      <c r="BS132" s="41">
        <v>0</v>
      </c>
      <c r="BT132" s="41">
        <v>0</v>
      </c>
      <c r="BU132" s="41">
        <v>0</v>
      </c>
      <c r="BV132" s="41">
        <v>0</v>
      </c>
      <c r="BW132" s="41">
        <v>0</v>
      </c>
      <c r="BX132" s="41">
        <v>0</v>
      </c>
    </row>
    <row r="133" spans="1:76" x14ac:dyDescent="0.35">
      <c r="A133" t="s">
        <v>197</v>
      </c>
      <c r="B133" s="4" t="s">
        <v>92</v>
      </c>
      <c r="C133" s="4" t="s">
        <v>181</v>
      </c>
      <c r="D133" s="4" t="s">
        <v>198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9"/>
      <c r="W133" s="41">
        <v>0</v>
      </c>
      <c r="X133" s="41">
        <v>0</v>
      </c>
      <c r="Y133" s="41">
        <f>('[1]Steel_NG-DR'!$H$37+'[1]Steel_NG-DR'!$H$16)*'Inputs by region STEEL'!K$13</f>
        <v>0</v>
      </c>
      <c r="Z133" s="41">
        <f>('[1]Steel_100%H2-DR'!$H$16+'[1]Steel_100%H2-DR'!$H$37)*'Inputs by region STEEL'!K$13</f>
        <v>0</v>
      </c>
      <c r="AA133" s="41">
        <v>0</v>
      </c>
      <c r="AB133" s="41">
        <v>0</v>
      </c>
      <c r="AC133" s="41">
        <v>0</v>
      </c>
      <c r="AD133" s="41">
        <v>0</v>
      </c>
      <c r="AE133" s="43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3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41">
        <v>0</v>
      </c>
      <c r="AU133" s="41">
        <v>0</v>
      </c>
      <c r="AV133" s="41">
        <v>0</v>
      </c>
      <c r="AW133" s="43">
        <v>0</v>
      </c>
      <c r="AX133" s="41">
        <v>0</v>
      </c>
      <c r="AY133" s="41">
        <v>0</v>
      </c>
      <c r="AZ133" s="41">
        <v>0</v>
      </c>
      <c r="BA133" s="41">
        <v>0</v>
      </c>
      <c r="BB133" s="41">
        <v>0</v>
      </c>
      <c r="BC133" s="41">
        <v>0</v>
      </c>
      <c r="BD133" s="41">
        <v>0</v>
      </c>
      <c r="BE133" s="41">
        <v>0</v>
      </c>
      <c r="BF133" s="43">
        <v>0</v>
      </c>
      <c r="BG133" s="41">
        <v>0</v>
      </c>
      <c r="BH133" s="41">
        <v>0</v>
      </c>
      <c r="BI133" s="41">
        <v>0</v>
      </c>
      <c r="BJ133" s="41">
        <v>0</v>
      </c>
      <c r="BK133" s="41">
        <v>0</v>
      </c>
      <c r="BL133" s="41">
        <v>0</v>
      </c>
      <c r="BM133" s="41">
        <v>0</v>
      </c>
      <c r="BN133" s="41">
        <v>0</v>
      </c>
      <c r="BO133" s="43">
        <v>0</v>
      </c>
      <c r="BP133" s="41">
        <v>0</v>
      </c>
      <c r="BQ133" s="41">
        <v>0</v>
      </c>
      <c r="BR133" s="41">
        <v>0</v>
      </c>
      <c r="BS133" s="41">
        <v>0</v>
      </c>
      <c r="BT133" s="41">
        <v>0</v>
      </c>
      <c r="BU133" s="41">
        <v>0</v>
      </c>
      <c r="BV133" s="41">
        <v>0</v>
      </c>
      <c r="BW133" s="41">
        <v>0</v>
      </c>
      <c r="BX133" s="41">
        <v>0</v>
      </c>
    </row>
    <row r="134" spans="1:76" x14ac:dyDescent="0.35">
      <c r="A134" t="s">
        <v>199</v>
      </c>
      <c r="B134" s="4" t="s">
        <v>92</v>
      </c>
      <c r="C134" s="4" t="s">
        <v>181</v>
      </c>
      <c r="D134" s="4" t="s">
        <v>200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9"/>
      <c r="W134" s="41">
        <v>0</v>
      </c>
      <c r="X134" s="41">
        <v>0</v>
      </c>
      <c r="Y134" s="41">
        <f>('[1]Steel_NG-DR'!$H$37+'[1]Steel_NG-DR'!$H$16)*'Inputs by region STEEL'!K$14</f>
        <v>0</v>
      </c>
      <c r="Z134" s="41">
        <f>('[1]Steel_100%H2-DR'!$H$16+'[1]Steel_100%H2-DR'!$H$37)*'Inputs by region STEEL'!K$14</f>
        <v>0</v>
      </c>
      <c r="AA134" s="41">
        <v>0</v>
      </c>
      <c r="AB134" s="41">
        <v>0</v>
      </c>
      <c r="AC134" s="41">
        <v>0</v>
      </c>
      <c r="AD134" s="41">
        <v>0</v>
      </c>
      <c r="AE134" s="43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3">
        <v>0</v>
      </c>
      <c r="AO134" s="41">
        <v>0</v>
      </c>
      <c r="AP134" s="41">
        <v>0</v>
      </c>
      <c r="AQ134" s="41">
        <v>0</v>
      </c>
      <c r="AR134" s="41">
        <v>0</v>
      </c>
      <c r="AS134" s="41">
        <v>0</v>
      </c>
      <c r="AT134" s="41">
        <v>0</v>
      </c>
      <c r="AU134" s="41">
        <v>0</v>
      </c>
      <c r="AV134" s="41">
        <v>0</v>
      </c>
      <c r="AW134" s="43">
        <v>0</v>
      </c>
      <c r="AX134" s="41">
        <v>0</v>
      </c>
      <c r="AY134" s="41">
        <v>0</v>
      </c>
      <c r="AZ134" s="41">
        <v>0</v>
      </c>
      <c r="BA134" s="41">
        <v>0</v>
      </c>
      <c r="BB134" s="41">
        <v>0</v>
      </c>
      <c r="BC134" s="41">
        <v>0</v>
      </c>
      <c r="BD134" s="41">
        <v>0</v>
      </c>
      <c r="BE134" s="41">
        <v>0</v>
      </c>
      <c r="BF134" s="43">
        <v>0</v>
      </c>
      <c r="BG134" s="41">
        <v>0</v>
      </c>
      <c r="BH134" s="41">
        <v>0</v>
      </c>
      <c r="BI134" s="41">
        <v>0</v>
      </c>
      <c r="BJ134" s="41">
        <v>0</v>
      </c>
      <c r="BK134" s="41">
        <v>0</v>
      </c>
      <c r="BL134" s="41">
        <v>0</v>
      </c>
      <c r="BM134" s="41">
        <v>0</v>
      </c>
      <c r="BN134" s="41">
        <v>0</v>
      </c>
      <c r="BO134" s="43">
        <v>0</v>
      </c>
      <c r="BP134" s="41">
        <v>0</v>
      </c>
      <c r="BQ134" s="41">
        <v>0</v>
      </c>
      <c r="BR134" s="41">
        <v>0</v>
      </c>
      <c r="BS134" s="41">
        <v>0</v>
      </c>
      <c r="BT134" s="41">
        <v>0</v>
      </c>
      <c r="BU134" s="41">
        <v>0</v>
      </c>
      <c r="BV134" s="41">
        <v>0</v>
      </c>
      <c r="BW134" s="41">
        <v>0</v>
      </c>
      <c r="BX134" s="41">
        <v>0</v>
      </c>
    </row>
    <row r="135" spans="1:76" ht="15" thickBot="1" x14ac:dyDescent="0.4">
      <c r="A135" t="s">
        <v>201</v>
      </c>
      <c r="B135" s="4" t="s">
        <v>92</v>
      </c>
      <c r="C135" s="4" t="s">
        <v>181</v>
      </c>
      <c r="D135" s="4" t="s">
        <v>202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9"/>
      <c r="W135" s="44">
        <v>0</v>
      </c>
      <c r="X135" s="44">
        <v>0</v>
      </c>
      <c r="Y135" s="44">
        <f>('[1]Steel_NG-DR'!$H$37+'[1]Steel_NG-DR'!$H$16)*'Inputs by region STEEL'!K$15</f>
        <v>0</v>
      </c>
      <c r="Z135" s="44">
        <f>('[1]Steel_100%H2-DR'!$H$16+'[1]Steel_100%H2-DR'!$H$37)*'Inputs by region STEEL'!K$15</f>
        <v>0</v>
      </c>
      <c r="AA135" s="44">
        <v>0</v>
      </c>
      <c r="AB135" s="44">
        <v>0</v>
      </c>
      <c r="AC135" s="44">
        <v>0</v>
      </c>
      <c r="AD135" s="44">
        <v>0</v>
      </c>
      <c r="AE135" s="46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6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6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6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6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v>0</v>
      </c>
      <c r="BU135" s="44">
        <v>0</v>
      </c>
      <c r="BV135" s="44">
        <v>0</v>
      </c>
      <c r="BW135" s="44">
        <v>0</v>
      </c>
      <c r="BX135" s="44">
        <v>0</v>
      </c>
    </row>
    <row r="136" spans="1:76" x14ac:dyDescent="0.35">
      <c r="A136" t="s">
        <v>176</v>
      </c>
      <c r="B136" s="4" t="s">
        <v>93</v>
      </c>
      <c r="C136" s="4" t="s">
        <v>145</v>
      </c>
      <c r="D136" s="4" t="s">
        <v>177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9"/>
      <c r="W136" s="41">
        <v>0</v>
      </c>
      <c r="X136" s="41">
        <v>0</v>
      </c>
      <c r="Y136" s="40">
        <f>'[1]Steel_NG-DR'!$H$15*'Inputs by region STEEL'!L$5</f>
        <v>1.0000807460939076</v>
      </c>
      <c r="Z136" s="40">
        <f>'[1]Steel_100%H2-DR'!$H$15*'Inputs by region STEEL'!L$5</f>
        <v>1.0000807460939076</v>
      </c>
      <c r="AA136" s="41">
        <v>0</v>
      </c>
      <c r="AB136" s="41">
        <v>0</v>
      </c>
      <c r="AC136" s="41">
        <v>0</v>
      </c>
      <c r="AD136" s="41">
        <v>0</v>
      </c>
      <c r="AE136" s="43">
        <v>0</v>
      </c>
      <c r="AF136" s="41">
        <v>0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0</v>
      </c>
      <c r="AM136" s="41">
        <v>0</v>
      </c>
      <c r="AN136" s="43">
        <v>0</v>
      </c>
      <c r="AO136" s="41">
        <v>0</v>
      </c>
      <c r="AP136" s="41">
        <v>0</v>
      </c>
      <c r="AQ136" s="41">
        <v>0</v>
      </c>
      <c r="AR136" s="41">
        <v>0</v>
      </c>
      <c r="AS136" s="41">
        <v>0</v>
      </c>
      <c r="AT136" s="41">
        <v>0</v>
      </c>
      <c r="AU136" s="41">
        <v>0</v>
      </c>
      <c r="AV136" s="41">
        <v>0</v>
      </c>
      <c r="AW136" s="43">
        <v>0</v>
      </c>
      <c r="AX136" s="41">
        <v>0</v>
      </c>
      <c r="AY136" s="41">
        <v>0</v>
      </c>
      <c r="AZ136" s="41">
        <v>0</v>
      </c>
      <c r="BA136" s="41">
        <v>0</v>
      </c>
      <c r="BB136" s="41">
        <v>0</v>
      </c>
      <c r="BC136" s="41">
        <v>0</v>
      </c>
      <c r="BD136" s="41">
        <v>0</v>
      </c>
      <c r="BE136" s="41">
        <v>0</v>
      </c>
      <c r="BF136" s="43">
        <v>0</v>
      </c>
      <c r="BG136" s="41">
        <v>0</v>
      </c>
      <c r="BH136" s="41">
        <v>0</v>
      </c>
      <c r="BI136" s="41">
        <v>0</v>
      </c>
      <c r="BJ136" s="41">
        <v>0</v>
      </c>
      <c r="BK136" s="41">
        <v>0</v>
      </c>
      <c r="BL136" s="41">
        <v>0</v>
      </c>
      <c r="BM136" s="41">
        <v>0</v>
      </c>
      <c r="BN136" s="41">
        <v>0</v>
      </c>
      <c r="BO136" s="43">
        <v>0</v>
      </c>
      <c r="BP136" s="41">
        <v>0</v>
      </c>
      <c r="BQ136" s="41">
        <v>0</v>
      </c>
      <c r="BR136" s="41">
        <v>0</v>
      </c>
      <c r="BS136" s="41">
        <v>0</v>
      </c>
      <c r="BT136" s="41">
        <v>0</v>
      </c>
      <c r="BU136" s="41">
        <v>0</v>
      </c>
      <c r="BV136" s="41">
        <v>0</v>
      </c>
      <c r="BW136" s="41">
        <v>0</v>
      </c>
      <c r="BX136" s="41">
        <v>0</v>
      </c>
    </row>
    <row r="137" spans="1:76" x14ac:dyDescent="0.35">
      <c r="A137" s="77" t="s">
        <v>183</v>
      </c>
      <c r="B137" s="4" t="s">
        <v>93</v>
      </c>
      <c r="C137" s="4" t="s">
        <v>145</v>
      </c>
      <c r="D137" s="4" t="s">
        <v>184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9"/>
      <c r="W137" s="41">
        <v>0</v>
      </c>
      <c r="X137" s="41">
        <v>0</v>
      </c>
      <c r="Y137" s="41">
        <f>'[1]Steel_NG-DR'!$H$29*'Inputs by region STEEL'!L$6</f>
        <v>0</v>
      </c>
      <c r="Z137" s="41">
        <f>'[1]Steel_100%H2-DR'!$H$29*'Inputs by region STEEL'!L$6</f>
        <v>0</v>
      </c>
      <c r="AA137" s="41">
        <v>0</v>
      </c>
      <c r="AB137" s="41">
        <v>0</v>
      </c>
      <c r="AC137" s="41">
        <v>0</v>
      </c>
      <c r="AD137" s="41">
        <v>0</v>
      </c>
      <c r="AE137" s="43">
        <v>0</v>
      </c>
      <c r="AF137" s="41">
        <v>0</v>
      </c>
      <c r="AG137" s="41">
        <v>0</v>
      </c>
      <c r="AH137" s="41">
        <v>0</v>
      </c>
      <c r="AI137" s="41">
        <v>0</v>
      </c>
      <c r="AJ137" s="41">
        <v>0</v>
      </c>
      <c r="AK137" s="41">
        <v>0</v>
      </c>
      <c r="AL137" s="41">
        <v>0</v>
      </c>
      <c r="AM137" s="41">
        <v>0</v>
      </c>
      <c r="AN137" s="43">
        <v>0</v>
      </c>
      <c r="AO137" s="41">
        <v>0</v>
      </c>
      <c r="AP137" s="41">
        <v>0</v>
      </c>
      <c r="AQ137" s="41">
        <v>0</v>
      </c>
      <c r="AR137" s="41">
        <v>0</v>
      </c>
      <c r="AS137" s="41">
        <v>0</v>
      </c>
      <c r="AT137" s="41">
        <v>0</v>
      </c>
      <c r="AU137" s="41">
        <v>0</v>
      </c>
      <c r="AV137" s="41">
        <v>0</v>
      </c>
      <c r="AW137" s="43">
        <v>0</v>
      </c>
      <c r="AX137" s="41">
        <v>0</v>
      </c>
      <c r="AY137" s="41">
        <v>0</v>
      </c>
      <c r="AZ137" s="41">
        <v>0</v>
      </c>
      <c r="BA137" s="41">
        <v>0</v>
      </c>
      <c r="BB137" s="41">
        <v>0</v>
      </c>
      <c r="BC137" s="41">
        <v>0</v>
      </c>
      <c r="BD137" s="41">
        <v>0</v>
      </c>
      <c r="BE137" s="41">
        <v>0</v>
      </c>
      <c r="BF137" s="43">
        <v>0</v>
      </c>
      <c r="BG137" s="41">
        <v>0</v>
      </c>
      <c r="BH137" s="41">
        <v>0</v>
      </c>
      <c r="BI137" s="41">
        <v>0</v>
      </c>
      <c r="BJ137" s="41">
        <v>0</v>
      </c>
      <c r="BK137" s="41">
        <v>0</v>
      </c>
      <c r="BL137" s="41">
        <v>0</v>
      </c>
      <c r="BM137" s="41">
        <v>0</v>
      </c>
      <c r="BN137" s="41">
        <v>0</v>
      </c>
      <c r="BO137" s="43">
        <v>0</v>
      </c>
      <c r="BP137" s="41">
        <v>0</v>
      </c>
      <c r="BQ137" s="41">
        <v>0</v>
      </c>
      <c r="BR137" s="41">
        <v>0</v>
      </c>
      <c r="BS137" s="41">
        <v>0</v>
      </c>
      <c r="BT137" s="41">
        <v>0</v>
      </c>
      <c r="BU137" s="41">
        <v>0</v>
      </c>
      <c r="BV137" s="41">
        <v>0</v>
      </c>
      <c r="BW137" s="41">
        <v>0</v>
      </c>
      <c r="BX137" s="41">
        <v>0</v>
      </c>
    </row>
    <row r="138" spans="1:76" x14ac:dyDescent="0.35">
      <c r="A138" t="s">
        <v>185</v>
      </c>
      <c r="B138" s="4" t="s">
        <v>93</v>
      </c>
      <c r="C138" s="4" t="s">
        <v>145</v>
      </c>
      <c r="D138" s="4" t="s">
        <v>186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9"/>
      <c r="W138" s="41">
        <v>0</v>
      </c>
      <c r="X138" s="41">
        <v>0</v>
      </c>
      <c r="Y138" s="40">
        <f>'[1]Steel_NG-DR'!$H$31*'Inputs by region STEEL'!L$7</f>
        <v>3.7052409430862396E-4</v>
      </c>
      <c r="Z138" s="40">
        <f>'[1]Steel_100%H2-DR'!$H$31*'Inputs by region STEEL'!L$7</f>
        <v>3.7052409430862396E-4</v>
      </c>
      <c r="AA138" s="41">
        <v>0</v>
      </c>
      <c r="AB138" s="41">
        <v>0</v>
      </c>
      <c r="AC138" s="41">
        <v>0</v>
      </c>
      <c r="AD138" s="41">
        <v>0</v>
      </c>
      <c r="AE138" s="43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0</v>
      </c>
      <c r="AK138" s="41">
        <v>0</v>
      </c>
      <c r="AL138" s="41">
        <v>0</v>
      </c>
      <c r="AM138" s="41">
        <v>0</v>
      </c>
      <c r="AN138" s="43">
        <v>0</v>
      </c>
      <c r="AO138" s="41">
        <v>0</v>
      </c>
      <c r="AP138" s="41">
        <v>0</v>
      </c>
      <c r="AQ138" s="41">
        <v>0</v>
      </c>
      <c r="AR138" s="41">
        <v>0</v>
      </c>
      <c r="AS138" s="41">
        <v>0</v>
      </c>
      <c r="AT138" s="41">
        <v>0</v>
      </c>
      <c r="AU138" s="41">
        <v>0</v>
      </c>
      <c r="AV138" s="41">
        <v>0</v>
      </c>
      <c r="AW138" s="43">
        <v>0</v>
      </c>
      <c r="AX138" s="41">
        <v>0</v>
      </c>
      <c r="AY138" s="41">
        <v>0</v>
      </c>
      <c r="AZ138" s="41">
        <v>0</v>
      </c>
      <c r="BA138" s="41">
        <v>0</v>
      </c>
      <c r="BB138" s="41">
        <v>0</v>
      </c>
      <c r="BC138" s="41">
        <v>0</v>
      </c>
      <c r="BD138" s="41">
        <v>0</v>
      </c>
      <c r="BE138" s="41">
        <v>0</v>
      </c>
      <c r="BF138" s="43">
        <v>0</v>
      </c>
      <c r="BG138" s="41">
        <v>0</v>
      </c>
      <c r="BH138" s="41">
        <v>0</v>
      </c>
      <c r="BI138" s="41">
        <v>0</v>
      </c>
      <c r="BJ138" s="41">
        <v>0</v>
      </c>
      <c r="BK138" s="41">
        <v>0</v>
      </c>
      <c r="BL138" s="41">
        <v>0</v>
      </c>
      <c r="BM138" s="41">
        <v>0</v>
      </c>
      <c r="BN138" s="41">
        <v>0</v>
      </c>
      <c r="BO138" s="43">
        <v>0</v>
      </c>
      <c r="BP138" s="41">
        <v>0</v>
      </c>
      <c r="BQ138" s="41">
        <v>0</v>
      </c>
      <c r="BR138" s="41">
        <v>0</v>
      </c>
      <c r="BS138" s="41">
        <v>0</v>
      </c>
      <c r="BT138" s="41">
        <v>0</v>
      </c>
      <c r="BU138" s="41">
        <v>0</v>
      </c>
      <c r="BV138" s="41">
        <v>0</v>
      </c>
      <c r="BW138" s="41">
        <v>0</v>
      </c>
      <c r="BX138" s="41">
        <v>0</v>
      </c>
    </row>
    <row r="139" spans="1:76" x14ac:dyDescent="0.35">
      <c r="A139" t="s">
        <v>187</v>
      </c>
      <c r="B139" s="4" t="s">
        <v>93</v>
      </c>
      <c r="C139" s="4" t="s">
        <v>145</v>
      </c>
      <c r="D139" s="4" t="s">
        <v>188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9"/>
      <c r="W139" s="41">
        <v>0</v>
      </c>
      <c r="X139" s="41">
        <v>0</v>
      </c>
      <c r="Y139" s="40">
        <f>'[1]Steel_NG-DR'!$H$32*'Inputs by region STEEL'!L$8</f>
        <v>5.8414042458127093E-3</v>
      </c>
      <c r="Z139" s="40">
        <f>'[1]Steel_100%H2-DR'!$H$32*'Inputs by region STEEL'!L$8</f>
        <v>5.8414042458127093E-3</v>
      </c>
      <c r="AA139" s="41">
        <v>0</v>
      </c>
      <c r="AB139" s="41">
        <v>0</v>
      </c>
      <c r="AC139" s="41">
        <v>0</v>
      </c>
      <c r="AD139" s="41">
        <v>0</v>
      </c>
      <c r="AE139" s="43">
        <v>0</v>
      </c>
      <c r="AF139" s="41">
        <v>0</v>
      </c>
      <c r="AG139" s="41">
        <v>0</v>
      </c>
      <c r="AH139" s="41">
        <v>0</v>
      </c>
      <c r="AI139" s="41">
        <v>0</v>
      </c>
      <c r="AJ139" s="41">
        <v>0</v>
      </c>
      <c r="AK139" s="41">
        <v>0</v>
      </c>
      <c r="AL139" s="41">
        <v>0</v>
      </c>
      <c r="AM139" s="41">
        <v>0</v>
      </c>
      <c r="AN139" s="43">
        <v>0</v>
      </c>
      <c r="AO139" s="41">
        <v>0</v>
      </c>
      <c r="AP139" s="41">
        <v>0</v>
      </c>
      <c r="AQ139" s="41">
        <v>0</v>
      </c>
      <c r="AR139" s="41">
        <v>0</v>
      </c>
      <c r="AS139" s="41">
        <v>0</v>
      </c>
      <c r="AT139" s="41">
        <v>0</v>
      </c>
      <c r="AU139" s="41">
        <v>0</v>
      </c>
      <c r="AV139" s="41">
        <v>0</v>
      </c>
      <c r="AW139" s="43">
        <v>0</v>
      </c>
      <c r="AX139" s="41">
        <v>0</v>
      </c>
      <c r="AY139" s="41">
        <v>0</v>
      </c>
      <c r="AZ139" s="41">
        <v>0</v>
      </c>
      <c r="BA139" s="41">
        <v>0</v>
      </c>
      <c r="BB139" s="41">
        <v>0</v>
      </c>
      <c r="BC139" s="41">
        <v>0</v>
      </c>
      <c r="BD139" s="41">
        <v>0</v>
      </c>
      <c r="BE139" s="41">
        <v>0</v>
      </c>
      <c r="BF139" s="43">
        <v>0</v>
      </c>
      <c r="BG139" s="41">
        <v>0</v>
      </c>
      <c r="BH139" s="41">
        <v>0</v>
      </c>
      <c r="BI139" s="41">
        <v>0</v>
      </c>
      <c r="BJ139" s="41">
        <v>0</v>
      </c>
      <c r="BK139" s="41">
        <v>0</v>
      </c>
      <c r="BL139" s="41">
        <v>0</v>
      </c>
      <c r="BM139" s="41">
        <v>0</v>
      </c>
      <c r="BN139" s="41">
        <v>0</v>
      </c>
      <c r="BO139" s="43">
        <v>0</v>
      </c>
      <c r="BP139" s="41">
        <v>0</v>
      </c>
      <c r="BQ139" s="41">
        <v>0</v>
      </c>
      <c r="BR139" s="41">
        <v>0</v>
      </c>
      <c r="BS139" s="41">
        <v>0</v>
      </c>
      <c r="BT139" s="41">
        <v>0</v>
      </c>
      <c r="BU139" s="41">
        <v>0</v>
      </c>
      <c r="BV139" s="41">
        <v>0</v>
      </c>
      <c r="BW139" s="41">
        <v>0</v>
      </c>
      <c r="BX139" s="41">
        <v>0</v>
      </c>
    </row>
    <row r="140" spans="1:76" x14ac:dyDescent="0.35">
      <c r="A140" t="s">
        <v>189</v>
      </c>
      <c r="B140" s="4" t="s">
        <v>93</v>
      </c>
      <c r="C140" s="4" t="s">
        <v>145</v>
      </c>
      <c r="D140" s="4" t="s">
        <v>190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9"/>
      <c r="W140" s="41">
        <v>0</v>
      </c>
      <c r="X140" s="40">
        <f>'[1]Steel_BF-BOF with H2'!$H$39*'[1]Steel_BF-BOF with H2'!$N$32</f>
        <v>1.1972685102906883E-2</v>
      </c>
      <c r="Y140" s="40">
        <f>'[1]Steel_NG-DR'!$H$33*'Inputs by region STEEL'!L$9</f>
        <v>5.0319447308723453E-3</v>
      </c>
      <c r="Z140" s="40">
        <f>'[1]Steel_100%H2-DR'!$H$33*'Inputs by region STEEL'!L$9</f>
        <v>5.0319447308723453E-3</v>
      </c>
      <c r="AA140" s="40">
        <f>'[1]Steel_BF-BOF with char (+CCUS)'!$H$26*'[1]Steel_BF-BOF with char (+CCUS)'!$N$31</f>
        <v>2.4854239602480213E-3</v>
      </c>
      <c r="AB140" s="40">
        <f>'[1]Steel_BF-BOF with char (+CCUS)'!$H$53*'[1]Steel_BF-BOF with char (+CCUS)'!$N$58</f>
        <v>2.4854239602480213E-3</v>
      </c>
      <c r="AC140" s="41">
        <v>0</v>
      </c>
      <c r="AD140" s="41">
        <v>0</v>
      </c>
      <c r="AE140" s="43">
        <v>0</v>
      </c>
      <c r="AF140" s="41">
        <v>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>
        <v>0</v>
      </c>
      <c r="AM140" s="41">
        <v>0</v>
      </c>
      <c r="AN140" s="43">
        <v>0</v>
      </c>
      <c r="AO140" s="41">
        <v>0</v>
      </c>
      <c r="AP140" s="41">
        <v>0</v>
      </c>
      <c r="AQ140" s="41">
        <v>0</v>
      </c>
      <c r="AR140" s="41">
        <v>0</v>
      </c>
      <c r="AS140" s="41">
        <v>0</v>
      </c>
      <c r="AT140" s="41">
        <v>0</v>
      </c>
      <c r="AU140" s="41">
        <v>0</v>
      </c>
      <c r="AV140" s="41">
        <v>0</v>
      </c>
      <c r="AW140" s="43">
        <v>0</v>
      </c>
      <c r="AX140" s="41">
        <v>0</v>
      </c>
      <c r="AY140" s="41">
        <v>0</v>
      </c>
      <c r="AZ140" s="41">
        <v>0</v>
      </c>
      <c r="BA140" s="41">
        <v>0</v>
      </c>
      <c r="BB140" s="41">
        <v>0</v>
      </c>
      <c r="BC140" s="41">
        <v>0</v>
      </c>
      <c r="BD140" s="41">
        <v>0</v>
      </c>
      <c r="BE140" s="41">
        <v>0</v>
      </c>
      <c r="BF140" s="43">
        <v>0</v>
      </c>
      <c r="BG140" s="41">
        <v>0</v>
      </c>
      <c r="BH140" s="41">
        <v>0</v>
      </c>
      <c r="BI140" s="41">
        <v>0</v>
      </c>
      <c r="BJ140" s="41">
        <v>0</v>
      </c>
      <c r="BK140" s="41">
        <v>0</v>
      </c>
      <c r="BL140" s="41">
        <v>0</v>
      </c>
      <c r="BM140" s="41">
        <v>0</v>
      </c>
      <c r="BN140" s="41">
        <v>0</v>
      </c>
      <c r="BO140" s="43">
        <v>0</v>
      </c>
      <c r="BP140" s="41">
        <v>0</v>
      </c>
      <c r="BQ140" s="41">
        <v>0</v>
      </c>
      <c r="BR140" s="41">
        <v>0</v>
      </c>
      <c r="BS140" s="41">
        <v>0</v>
      </c>
      <c r="BT140" s="41">
        <v>0</v>
      </c>
      <c r="BU140" s="41">
        <v>0</v>
      </c>
      <c r="BV140" s="41">
        <v>0</v>
      </c>
      <c r="BW140" s="41">
        <v>0</v>
      </c>
      <c r="BX140" s="41">
        <v>0</v>
      </c>
    </row>
    <row r="141" spans="1:76" x14ac:dyDescent="0.35">
      <c r="A141" t="s">
        <v>87</v>
      </c>
      <c r="B141" s="4" t="s">
        <v>93</v>
      </c>
      <c r="C141" s="4" t="s">
        <v>145</v>
      </c>
      <c r="D141" s="4" t="s">
        <v>196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9"/>
      <c r="W141" s="41">
        <v>0</v>
      </c>
      <c r="X141" s="41">
        <v>0</v>
      </c>
      <c r="Y141" s="41">
        <v>0</v>
      </c>
      <c r="Z141" s="41">
        <v>0</v>
      </c>
      <c r="AA141" s="40">
        <f>'[1]Steel_BF-BOF with char (+CCUS)'!$H$27*'Inputs by region STEEL'!L$9</f>
        <v>3.1580644155014347E-2</v>
      </c>
      <c r="AB141" s="40">
        <f>'[1]Steel_BF-BOF with char (+CCUS)'!$H$54*'Inputs by region STEEL'!L$9</f>
        <v>3.1580644155014347E-2</v>
      </c>
      <c r="AC141" s="41">
        <v>0</v>
      </c>
      <c r="AD141" s="41">
        <v>0</v>
      </c>
      <c r="AE141" s="43">
        <v>0</v>
      </c>
      <c r="AF141" s="41">
        <v>0</v>
      </c>
      <c r="AG141" s="41">
        <v>0</v>
      </c>
      <c r="AH141" s="41">
        <v>0</v>
      </c>
      <c r="AI141" s="41">
        <v>0</v>
      </c>
      <c r="AJ141" s="41">
        <v>0</v>
      </c>
      <c r="AK141" s="41">
        <v>0</v>
      </c>
      <c r="AL141" s="41">
        <v>0</v>
      </c>
      <c r="AM141" s="41">
        <v>0</v>
      </c>
      <c r="AN141" s="43">
        <v>0</v>
      </c>
      <c r="AO141" s="41">
        <v>0</v>
      </c>
      <c r="AP141" s="41">
        <v>0</v>
      </c>
      <c r="AQ141" s="41">
        <v>0</v>
      </c>
      <c r="AR141" s="41">
        <v>0</v>
      </c>
      <c r="AS141" s="41">
        <v>0</v>
      </c>
      <c r="AT141" s="41">
        <v>0</v>
      </c>
      <c r="AU141" s="41">
        <v>0</v>
      </c>
      <c r="AV141" s="41">
        <v>0</v>
      </c>
      <c r="AW141" s="43">
        <v>0</v>
      </c>
      <c r="AX141" s="41">
        <v>0</v>
      </c>
      <c r="AY141" s="41">
        <v>0</v>
      </c>
      <c r="AZ141" s="41">
        <v>0</v>
      </c>
      <c r="BA141" s="41">
        <v>0</v>
      </c>
      <c r="BB141" s="41">
        <v>0</v>
      </c>
      <c r="BC141" s="41">
        <v>0</v>
      </c>
      <c r="BD141" s="41">
        <v>0</v>
      </c>
      <c r="BE141" s="41">
        <v>0</v>
      </c>
      <c r="BF141" s="43">
        <v>0</v>
      </c>
      <c r="BG141" s="41">
        <v>0</v>
      </c>
      <c r="BH141" s="41">
        <v>0</v>
      </c>
      <c r="BI141" s="41">
        <v>0</v>
      </c>
      <c r="BJ141" s="41">
        <v>0</v>
      </c>
      <c r="BK141" s="41">
        <v>0</v>
      </c>
      <c r="BL141" s="41">
        <v>0</v>
      </c>
      <c r="BM141" s="41">
        <v>0</v>
      </c>
      <c r="BN141" s="41">
        <v>0</v>
      </c>
      <c r="BO141" s="43">
        <v>0</v>
      </c>
      <c r="BP141" s="41">
        <v>0</v>
      </c>
      <c r="BQ141" s="41">
        <v>0</v>
      </c>
      <c r="BR141" s="41">
        <v>0</v>
      </c>
      <c r="BS141" s="41">
        <v>0</v>
      </c>
      <c r="BT141" s="41">
        <v>0</v>
      </c>
      <c r="BU141" s="41">
        <v>0</v>
      </c>
      <c r="BV141" s="41">
        <v>0</v>
      </c>
      <c r="BW141" s="41">
        <v>0</v>
      </c>
      <c r="BX141" s="41">
        <v>0</v>
      </c>
    </row>
    <row r="142" spans="1:76" x14ac:dyDescent="0.35">
      <c r="A142" t="s">
        <v>191</v>
      </c>
      <c r="B142" s="4" t="s">
        <v>93</v>
      </c>
      <c r="C142" s="4" t="s">
        <v>145</v>
      </c>
      <c r="D142" s="4" t="s">
        <v>192</v>
      </c>
      <c r="E142" s="50"/>
      <c r="F142" s="50"/>
      <c r="G142" s="38"/>
      <c r="H142" s="211"/>
      <c r="I142" s="212"/>
      <c r="J142" s="212"/>
      <c r="K142" s="212"/>
      <c r="N142" s="38"/>
      <c r="Q142"/>
      <c r="W142" s="41">
        <v>0</v>
      </c>
      <c r="X142" s="41">
        <v>0</v>
      </c>
      <c r="Y142" s="40">
        <f>'[1]Steel_NG-DR'!$H$34*'Inputs by region STEEL'!L$10</f>
        <v>4.336096678710085E-4</v>
      </c>
      <c r="Z142" s="40">
        <f>'[1]Steel_100%H2-DR'!$H$34*'Inputs by region STEEL'!L$10</f>
        <v>4.336096678710085E-4</v>
      </c>
      <c r="AA142" s="41">
        <v>0</v>
      </c>
      <c r="AB142" s="41">
        <v>0</v>
      </c>
      <c r="AC142" s="41">
        <v>0</v>
      </c>
      <c r="AD142" s="41">
        <v>0</v>
      </c>
      <c r="AE142" s="43">
        <v>0</v>
      </c>
      <c r="AF142" s="41">
        <v>0</v>
      </c>
      <c r="AG142" s="41">
        <v>0</v>
      </c>
      <c r="AH142" s="41">
        <v>0</v>
      </c>
      <c r="AI142" s="41">
        <v>0</v>
      </c>
      <c r="AJ142" s="41">
        <v>0</v>
      </c>
      <c r="AK142" s="41">
        <v>0</v>
      </c>
      <c r="AL142" s="41">
        <v>0</v>
      </c>
      <c r="AM142" s="41">
        <v>0</v>
      </c>
      <c r="AN142" s="43">
        <v>0</v>
      </c>
      <c r="AO142" s="41">
        <v>0</v>
      </c>
      <c r="AP142" s="41">
        <v>0</v>
      </c>
      <c r="AQ142" s="41">
        <v>0</v>
      </c>
      <c r="AR142" s="41">
        <v>0</v>
      </c>
      <c r="AS142" s="41">
        <v>0</v>
      </c>
      <c r="AT142" s="41">
        <v>0</v>
      </c>
      <c r="AU142" s="41">
        <v>0</v>
      </c>
      <c r="AV142" s="41">
        <v>0</v>
      </c>
      <c r="AW142" s="43">
        <v>0</v>
      </c>
      <c r="AX142" s="41">
        <v>0</v>
      </c>
      <c r="AY142" s="41">
        <v>0</v>
      </c>
      <c r="AZ142" s="41">
        <v>0</v>
      </c>
      <c r="BA142" s="41">
        <v>0</v>
      </c>
      <c r="BB142" s="41">
        <v>0</v>
      </c>
      <c r="BC142" s="41">
        <v>0</v>
      </c>
      <c r="BD142" s="41">
        <v>0</v>
      </c>
      <c r="BE142" s="41">
        <v>0</v>
      </c>
      <c r="BF142" s="43">
        <v>0</v>
      </c>
      <c r="BG142" s="41">
        <v>0</v>
      </c>
      <c r="BH142" s="41">
        <v>0</v>
      </c>
      <c r="BI142" s="41">
        <v>0</v>
      </c>
      <c r="BJ142" s="41">
        <v>0</v>
      </c>
      <c r="BK142" s="41">
        <v>0</v>
      </c>
      <c r="BL142" s="41">
        <v>0</v>
      </c>
      <c r="BM142" s="41">
        <v>0</v>
      </c>
      <c r="BN142" s="41">
        <v>0</v>
      </c>
      <c r="BO142" s="43">
        <v>0</v>
      </c>
      <c r="BP142" s="41">
        <v>0</v>
      </c>
      <c r="BQ142" s="41">
        <v>0</v>
      </c>
      <c r="BR142" s="41">
        <v>0</v>
      </c>
      <c r="BS142" s="41">
        <v>0</v>
      </c>
      <c r="BT142" s="41">
        <v>0</v>
      </c>
      <c r="BU142" s="41">
        <v>0</v>
      </c>
      <c r="BV142" s="41">
        <v>0</v>
      </c>
      <c r="BW142" s="41">
        <v>0</v>
      </c>
      <c r="BX142" s="41">
        <v>0</v>
      </c>
    </row>
    <row r="143" spans="1:76" x14ac:dyDescent="0.35">
      <c r="A143" t="s">
        <v>193</v>
      </c>
      <c r="B143" s="4" t="s">
        <v>93</v>
      </c>
      <c r="C143" s="4" t="s">
        <v>145</v>
      </c>
      <c r="D143" s="4" t="s">
        <v>194</v>
      </c>
      <c r="E143" s="50"/>
      <c r="F143" s="50"/>
      <c r="G143" s="38"/>
      <c r="H143" s="211"/>
      <c r="I143" s="76"/>
      <c r="J143" s="212"/>
      <c r="K143" s="212"/>
      <c r="N143" s="38"/>
      <c r="Q143"/>
      <c r="W143" s="41">
        <v>0</v>
      </c>
      <c r="X143" s="41">
        <v>0</v>
      </c>
      <c r="Y143" s="40">
        <f>'[1]Steel_NG-DR'!$H$35*'Inputs by region STEEL'!L$11</f>
        <v>2.7129607609988112E-3</v>
      </c>
      <c r="Z143" s="40">
        <f>'[1]Steel_100%H2-DR'!$H$35*'Inputs by region STEEL'!L$11</f>
        <v>2.7129607609988112E-3</v>
      </c>
      <c r="AA143" s="41">
        <v>0</v>
      </c>
      <c r="AB143" s="41">
        <v>0</v>
      </c>
      <c r="AC143" s="41">
        <v>0</v>
      </c>
      <c r="AD143" s="41">
        <v>0</v>
      </c>
      <c r="AE143" s="43">
        <v>0</v>
      </c>
      <c r="AF143" s="41">
        <v>0</v>
      </c>
      <c r="AG143" s="41">
        <v>0</v>
      </c>
      <c r="AH143" s="41">
        <v>0</v>
      </c>
      <c r="AI143" s="41">
        <v>0</v>
      </c>
      <c r="AJ143" s="41">
        <v>0</v>
      </c>
      <c r="AK143" s="41">
        <v>0</v>
      </c>
      <c r="AL143" s="41">
        <v>0</v>
      </c>
      <c r="AM143" s="41">
        <v>0</v>
      </c>
      <c r="AN143" s="43">
        <v>0</v>
      </c>
      <c r="AO143" s="41">
        <v>0</v>
      </c>
      <c r="AP143" s="41">
        <v>0</v>
      </c>
      <c r="AQ143" s="41">
        <v>0</v>
      </c>
      <c r="AR143" s="41">
        <v>0</v>
      </c>
      <c r="AS143" s="41">
        <v>0</v>
      </c>
      <c r="AT143" s="41">
        <v>0</v>
      </c>
      <c r="AU143" s="41">
        <v>0</v>
      </c>
      <c r="AV143" s="41">
        <v>0</v>
      </c>
      <c r="AW143" s="43">
        <v>0</v>
      </c>
      <c r="AX143" s="41">
        <v>0</v>
      </c>
      <c r="AY143" s="41">
        <v>0</v>
      </c>
      <c r="AZ143" s="41">
        <v>0</v>
      </c>
      <c r="BA143" s="41">
        <v>0</v>
      </c>
      <c r="BB143" s="41">
        <v>0</v>
      </c>
      <c r="BC143" s="41">
        <v>0</v>
      </c>
      <c r="BD143" s="41">
        <v>0</v>
      </c>
      <c r="BE143" s="41">
        <v>0</v>
      </c>
      <c r="BF143" s="43">
        <v>0</v>
      </c>
      <c r="BG143" s="41">
        <v>0</v>
      </c>
      <c r="BH143" s="41">
        <v>0</v>
      </c>
      <c r="BI143" s="41">
        <v>0</v>
      </c>
      <c r="BJ143" s="41">
        <v>0</v>
      </c>
      <c r="BK143" s="41">
        <v>0</v>
      </c>
      <c r="BL143" s="41">
        <v>0</v>
      </c>
      <c r="BM143" s="41">
        <v>0</v>
      </c>
      <c r="BN143" s="41">
        <v>0</v>
      </c>
      <c r="BO143" s="43">
        <v>0</v>
      </c>
      <c r="BP143" s="41">
        <v>0</v>
      </c>
      <c r="BQ143" s="41">
        <v>0</v>
      </c>
      <c r="BR143" s="41">
        <v>0</v>
      </c>
      <c r="BS143" s="41">
        <v>0</v>
      </c>
      <c r="BT143" s="41">
        <v>0</v>
      </c>
      <c r="BU143" s="41">
        <v>0</v>
      </c>
      <c r="BV143" s="41">
        <v>0</v>
      </c>
      <c r="BW143" s="41">
        <v>0</v>
      </c>
      <c r="BX143" s="41">
        <v>0</v>
      </c>
    </row>
    <row r="144" spans="1:76" x14ac:dyDescent="0.35">
      <c r="A144" t="s">
        <v>195</v>
      </c>
      <c r="B144" s="4" t="s">
        <v>93</v>
      </c>
      <c r="C144" s="4" t="s">
        <v>145</v>
      </c>
      <c r="D144" s="4" t="s">
        <v>196</v>
      </c>
      <c r="E144" s="50"/>
      <c r="F144" s="50"/>
      <c r="G144" s="38"/>
      <c r="H144" s="211"/>
      <c r="I144" s="215"/>
      <c r="J144" s="212"/>
      <c r="K144" s="212"/>
      <c r="N144" s="38"/>
      <c r="Q144"/>
      <c r="W144" s="41">
        <v>0</v>
      </c>
      <c r="X144" s="41">
        <v>0</v>
      </c>
      <c r="Y144" s="40">
        <f>'[1]Steel_NG-DR'!$H$36*'Inputs by region STEEL'!L$12</f>
        <v>4.3855511603587784E-2</v>
      </c>
      <c r="Z144" s="40">
        <f>'[1]Steel_100%H2-DR'!$H$36*'Inputs by region STEEL'!L$12</f>
        <v>4.3855511603587784E-2</v>
      </c>
      <c r="AA144" s="41">
        <v>0</v>
      </c>
      <c r="AB144" s="41">
        <v>0</v>
      </c>
      <c r="AC144" s="41">
        <v>0</v>
      </c>
      <c r="AD144" s="41">
        <v>0</v>
      </c>
      <c r="AE144" s="43">
        <v>0</v>
      </c>
      <c r="AF144" s="41">
        <v>0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>
        <v>0</v>
      </c>
      <c r="AM144" s="41">
        <v>0</v>
      </c>
      <c r="AN144" s="43">
        <v>0</v>
      </c>
      <c r="AO144" s="41">
        <v>0</v>
      </c>
      <c r="AP144" s="41">
        <v>0</v>
      </c>
      <c r="AQ144" s="41">
        <v>0</v>
      </c>
      <c r="AR144" s="41">
        <v>0</v>
      </c>
      <c r="AS144" s="41">
        <v>0</v>
      </c>
      <c r="AT144" s="41">
        <v>0</v>
      </c>
      <c r="AU144" s="41">
        <v>0</v>
      </c>
      <c r="AV144" s="41">
        <v>0</v>
      </c>
      <c r="AW144" s="43">
        <v>0</v>
      </c>
      <c r="AX144" s="41">
        <v>0</v>
      </c>
      <c r="AY144" s="41">
        <v>0</v>
      </c>
      <c r="AZ144" s="41">
        <v>0</v>
      </c>
      <c r="BA144" s="41">
        <v>0</v>
      </c>
      <c r="BB144" s="41">
        <v>0</v>
      </c>
      <c r="BC144" s="41">
        <v>0</v>
      </c>
      <c r="BD144" s="41">
        <v>0</v>
      </c>
      <c r="BE144" s="41">
        <v>0</v>
      </c>
      <c r="BF144" s="43">
        <v>0</v>
      </c>
      <c r="BG144" s="41">
        <v>0</v>
      </c>
      <c r="BH144" s="41">
        <v>0</v>
      </c>
      <c r="BI144" s="41">
        <v>0</v>
      </c>
      <c r="BJ144" s="41">
        <v>0</v>
      </c>
      <c r="BK144" s="41">
        <v>0</v>
      </c>
      <c r="BL144" s="41">
        <v>0</v>
      </c>
      <c r="BM144" s="41">
        <v>0</v>
      </c>
      <c r="BN144" s="41">
        <v>0</v>
      </c>
      <c r="BO144" s="43">
        <v>0</v>
      </c>
      <c r="BP144" s="41">
        <v>0</v>
      </c>
      <c r="BQ144" s="41">
        <v>0</v>
      </c>
      <c r="BR144" s="41">
        <v>0</v>
      </c>
      <c r="BS144" s="41">
        <v>0</v>
      </c>
      <c r="BT144" s="41">
        <v>0</v>
      </c>
      <c r="BU144" s="41">
        <v>0</v>
      </c>
      <c r="BV144" s="41">
        <v>0</v>
      </c>
      <c r="BW144" s="41">
        <v>0</v>
      </c>
      <c r="BX144" s="41">
        <v>0</v>
      </c>
    </row>
    <row r="145" spans="1:82" x14ac:dyDescent="0.35">
      <c r="A145" t="s">
        <v>197</v>
      </c>
      <c r="B145" s="4" t="s">
        <v>93</v>
      </c>
      <c r="C145" s="4" t="s">
        <v>181</v>
      </c>
      <c r="D145" s="4" t="s">
        <v>198</v>
      </c>
      <c r="E145" s="50"/>
      <c r="F145" s="50"/>
      <c r="G145" s="38"/>
      <c r="H145" s="211"/>
      <c r="I145" s="215"/>
      <c r="J145" s="212"/>
      <c r="K145" s="212"/>
      <c r="N145" s="38"/>
      <c r="Q145"/>
      <c r="W145" s="41">
        <v>0</v>
      </c>
      <c r="X145" s="41">
        <v>0</v>
      </c>
      <c r="Y145" s="41">
        <f>('[1]Steel_NG-DR'!$H$37+'[1]Steel_NG-DR'!$H$16)*'Inputs by region STEEL'!L$13</f>
        <v>0</v>
      </c>
      <c r="Z145" s="41">
        <f>('[1]Steel_100%H2-DR'!$H$16+'[1]Steel_100%H2-DR'!$H$37)*'Inputs by region STEEL'!L$13</f>
        <v>0</v>
      </c>
      <c r="AA145" s="41">
        <v>0</v>
      </c>
      <c r="AB145" s="41">
        <v>0</v>
      </c>
      <c r="AC145" s="41">
        <v>0</v>
      </c>
      <c r="AD145" s="41">
        <v>0</v>
      </c>
      <c r="AE145" s="43">
        <v>0</v>
      </c>
      <c r="AF145" s="41">
        <v>0</v>
      </c>
      <c r="AG145" s="41">
        <v>0</v>
      </c>
      <c r="AH145" s="41">
        <v>0</v>
      </c>
      <c r="AI145" s="41">
        <v>0</v>
      </c>
      <c r="AJ145" s="41">
        <v>0</v>
      </c>
      <c r="AK145" s="41">
        <v>0</v>
      </c>
      <c r="AL145" s="41">
        <v>0</v>
      </c>
      <c r="AM145" s="41">
        <v>0</v>
      </c>
      <c r="AN145" s="43">
        <v>0</v>
      </c>
      <c r="AO145" s="41">
        <v>0</v>
      </c>
      <c r="AP145" s="41">
        <v>0</v>
      </c>
      <c r="AQ145" s="41">
        <v>0</v>
      </c>
      <c r="AR145" s="41">
        <v>0</v>
      </c>
      <c r="AS145" s="41">
        <v>0</v>
      </c>
      <c r="AT145" s="41">
        <v>0</v>
      </c>
      <c r="AU145" s="41">
        <v>0</v>
      </c>
      <c r="AV145" s="41">
        <v>0</v>
      </c>
      <c r="AW145" s="43">
        <v>0</v>
      </c>
      <c r="AX145" s="41">
        <v>0</v>
      </c>
      <c r="AY145" s="41">
        <v>0</v>
      </c>
      <c r="AZ145" s="41">
        <v>0</v>
      </c>
      <c r="BA145" s="41">
        <v>0</v>
      </c>
      <c r="BB145" s="41">
        <v>0</v>
      </c>
      <c r="BC145" s="41">
        <v>0</v>
      </c>
      <c r="BD145" s="41">
        <v>0</v>
      </c>
      <c r="BE145" s="41">
        <v>0</v>
      </c>
      <c r="BF145" s="43">
        <v>0</v>
      </c>
      <c r="BG145" s="41">
        <v>0</v>
      </c>
      <c r="BH145" s="41">
        <v>0</v>
      </c>
      <c r="BI145" s="41">
        <v>0</v>
      </c>
      <c r="BJ145" s="41">
        <v>0</v>
      </c>
      <c r="BK145" s="41">
        <v>0</v>
      </c>
      <c r="BL145" s="41">
        <v>0</v>
      </c>
      <c r="BM145" s="41">
        <v>0</v>
      </c>
      <c r="BN145" s="41">
        <v>0</v>
      </c>
      <c r="BO145" s="43">
        <v>0</v>
      </c>
      <c r="BP145" s="41">
        <v>0</v>
      </c>
      <c r="BQ145" s="41">
        <v>0</v>
      </c>
      <c r="BR145" s="41">
        <v>0</v>
      </c>
      <c r="BS145" s="41">
        <v>0</v>
      </c>
      <c r="BT145" s="41">
        <v>0</v>
      </c>
      <c r="BU145" s="41">
        <v>0</v>
      </c>
      <c r="BV145" s="41">
        <v>0</v>
      </c>
      <c r="BW145" s="41">
        <v>0</v>
      </c>
      <c r="BX145" s="41">
        <v>0</v>
      </c>
    </row>
    <row r="146" spans="1:82" x14ac:dyDescent="0.35">
      <c r="A146" t="s">
        <v>199</v>
      </c>
      <c r="B146" s="4" t="s">
        <v>93</v>
      </c>
      <c r="C146" s="4" t="s">
        <v>181</v>
      </c>
      <c r="D146" s="4" t="s">
        <v>200</v>
      </c>
      <c r="E146" s="50"/>
      <c r="F146" s="50"/>
      <c r="G146" s="38"/>
      <c r="H146" s="211"/>
      <c r="I146" s="215"/>
      <c r="J146" s="212"/>
      <c r="K146" s="212"/>
      <c r="N146" s="38"/>
      <c r="Q146"/>
      <c r="W146" s="41">
        <v>0</v>
      </c>
      <c r="X146" s="41">
        <v>0</v>
      </c>
      <c r="Y146" s="41">
        <f>('[1]Steel_NG-DR'!$H$37+'[1]Steel_NG-DR'!$H$16)*'Inputs by region STEEL'!L$14</f>
        <v>0</v>
      </c>
      <c r="Z146" s="41">
        <f>('[1]Steel_100%H2-DR'!$H$16+'[1]Steel_100%H2-DR'!$H$37)*'Inputs by region STEEL'!L$14</f>
        <v>0</v>
      </c>
      <c r="AA146" s="41">
        <v>0</v>
      </c>
      <c r="AB146" s="41">
        <v>0</v>
      </c>
      <c r="AC146" s="41">
        <v>0</v>
      </c>
      <c r="AD146" s="41">
        <v>0</v>
      </c>
      <c r="AE146" s="43">
        <v>0</v>
      </c>
      <c r="AF146" s="41">
        <v>0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>
        <v>0</v>
      </c>
      <c r="AM146" s="41">
        <v>0</v>
      </c>
      <c r="AN146" s="43">
        <v>0</v>
      </c>
      <c r="AO146" s="41">
        <v>0</v>
      </c>
      <c r="AP146" s="41">
        <v>0</v>
      </c>
      <c r="AQ146" s="41">
        <v>0</v>
      </c>
      <c r="AR146" s="41">
        <v>0</v>
      </c>
      <c r="AS146" s="41">
        <v>0</v>
      </c>
      <c r="AT146" s="41">
        <v>0</v>
      </c>
      <c r="AU146" s="41">
        <v>0</v>
      </c>
      <c r="AV146" s="41">
        <v>0</v>
      </c>
      <c r="AW146" s="43">
        <v>0</v>
      </c>
      <c r="AX146" s="41">
        <v>0</v>
      </c>
      <c r="AY146" s="41">
        <v>0</v>
      </c>
      <c r="AZ146" s="41">
        <v>0</v>
      </c>
      <c r="BA146" s="41">
        <v>0</v>
      </c>
      <c r="BB146" s="41">
        <v>0</v>
      </c>
      <c r="BC146" s="41">
        <v>0</v>
      </c>
      <c r="BD146" s="41">
        <v>0</v>
      </c>
      <c r="BE146" s="41">
        <v>0</v>
      </c>
      <c r="BF146" s="43">
        <v>0</v>
      </c>
      <c r="BG146" s="41">
        <v>0</v>
      </c>
      <c r="BH146" s="41">
        <v>0</v>
      </c>
      <c r="BI146" s="41">
        <v>0</v>
      </c>
      <c r="BJ146" s="41">
        <v>0</v>
      </c>
      <c r="BK146" s="41">
        <v>0</v>
      </c>
      <c r="BL146" s="41">
        <v>0</v>
      </c>
      <c r="BM146" s="41">
        <v>0</v>
      </c>
      <c r="BN146" s="41">
        <v>0</v>
      </c>
      <c r="BO146" s="43">
        <v>0</v>
      </c>
      <c r="BP146" s="41">
        <v>0</v>
      </c>
      <c r="BQ146" s="41">
        <v>0</v>
      </c>
      <c r="BR146" s="41">
        <v>0</v>
      </c>
      <c r="BS146" s="41">
        <v>0</v>
      </c>
      <c r="BT146" s="41">
        <v>0</v>
      </c>
      <c r="BU146" s="41">
        <v>0</v>
      </c>
      <c r="BV146" s="41">
        <v>0</v>
      </c>
      <c r="BW146" s="41">
        <v>0</v>
      </c>
      <c r="BX146" s="41">
        <v>0</v>
      </c>
    </row>
    <row r="147" spans="1:82" ht="15" thickBot="1" x14ac:dyDescent="0.4">
      <c r="A147" t="s">
        <v>201</v>
      </c>
      <c r="B147" s="4" t="s">
        <v>93</v>
      </c>
      <c r="C147" s="4" t="s">
        <v>181</v>
      </c>
      <c r="D147" s="4" t="s">
        <v>202</v>
      </c>
      <c r="E147" s="50"/>
      <c r="F147" s="50"/>
      <c r="G147" s="38"/>
      <c r="H147" s="211"/>
      <c r="I147" s="76"/>
      <c r="J147" s="212"/>
      <c r="K147" s="212"/>
      <c r="N147" s="38"/>
      <c r="Q147"/>
      <c r="W147" s="44">
        <v>0</v>
      </c>
      <c r="X147" s="44">
        <v>0</v>
      </c>
      <c r="Y147" s="44">
        <f>('[1]Steel_NG-DR'!$H$37+'[1]Steel_NG-DR'!$H$16)*'Inputs by region STEEL'!L$15</f>
        <v>0</v>
      </c>
      <c r="Z147" s="44">
        <f>('[1]Steel_100%H2-DR'!$H$16+'[1]Steel_100%H2-DR'!$H$37)*'Inputs by region STEEL'!L$15</f>
        <v>0</v>
      </c>
      <c r="AA147" s="44">
        <v>0</v>
      </c>
      <c r="AB147" s="44">
        <v>0</v>
      </c>
      <c r="AC147" s="44">
        <v>0</v>
      </c>
      <c r="AD147" s="44">
        <v>0</v>
      </c>
      <c r="AE147" s="46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6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6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6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6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v>0</v>
      </c>
      <c r="BU147" s="44">
        <v>0</v>
      </c>
      <c r="BV147" s="44">
        <v>0</v>
      </c>
      <c r="BW147" s="44">
        <v>0</v>
      </c>
      <c r="BX147" s="44">
        <v>0</v>
      </c>
    </row>
    <row r="148" spans="1:82" x14ac:dyDescent="0.35">
      <c r="A148" t="s">
        <v>365</v>
      </c>
      <c r="B148" s="4" t="s">
        <v>73</v>
      </c>
      <c r="C148" s="4" t="s">
        <v>145</v>
      </c>
      <c r="D148" s="4" t="s">
        <v>72</v>
      </c>
      <c r="E148" s="50"/>
      <c r="F148" s="50"/>
      <c r="G148" s="38"/>
      <c r="H148" s="211"/>
      <c r="I148" s="76"/>
      <c r="J148" s="212"/>
      <c r="K148" s="212"/>
      <c r="N148" s="38"/>
      <c r="Q148"/>
      <c r="W148" s="47">
        <v>0</v>
      </c>
      <c r="X148" s="389">
        <f>'[1]Steel_BF-BOF with H2'!$H$42</f>
        <v>-5.2256119372476872E-2</v>
      </c>
      <c r="Y148" s="48">
        <f>'[1]Steel_NG-DR'!H43</f>
        <v>0.04</v>
      </c>
      <c r="Z148" s="48">
        <f>'[1]Steel_100%H2-DR'!H23+'[1]Steel_100%H2-DR'!H43</f>
        <v>0.04</v>
      </c>
      <c r="AA148" s="390">
        <f>'[1]Steel_BF-BOF with char (+CCUS)'!$H$30</f>
        <v>-0.26400000000000001</v>
      </c>
      <c r="AB148" s="390">
        <f>'[1]Steel_BF-BOF with char (+CCUS)'!$H$57</f>
        <v>-0.8528</v>
      </c>
      <c r="AC148" s="390">
        <f>'[1]Steel_BF-BOF with char (+CCUS)'!$H$70</f>
        <v>-0.8</v>
      </c>
      <c r="AD148" s="47">
        <v>0</v>
      </c>
      <c r="AE148" s="49">
        <v>0</v>
      </c>
      <c r="AF148" s="47">
        <v>0</v>
      </c>
      <c r="AG148" s="47">
        <v>0</v>
      </c>
      <c r="AH148" s="47">
        <v>0</v>
      </c>
      <c r="AI148" s="47">
        <v>0</v>
      </c>
      <c r="AJ148" s="47">
        <v>0</v>
      </c>
      <c r="AK148" s="47"/>
      <c r="AL148" s="47">
        <v>0</v>
      </c>
      <c r="AM148" s="47">
        <v>0</v>
      </c>
      <c r="AN148" s="49">
        <v>0</v>
      </c>
      <c r="AO148" s="47">
        <v>0</v>
      </c>
      <c r="AP148" s="47">
        <v>0</v>
      </c>
      <c r="AQ148" s="47">
        <v>0</v>
      </c>
      <c r="AR148" s="47">
        <v>0</v>
      </c>
      <c r="AS148" s="47">
        <v>0</v>
      </c>
      <c r="AT148" s="47">
        <v>0</v>
      </c>
      <c r="AU148" s="47">
        <v>0</v>
      </c>
      <c r="AV148" s="47">
        <v>0</v>
      </c>
      <c r="AW148" s="49">
        <v>0</v>
      </c>
      <c r="AX148" s="47">
        <v>0</v>
      </c>
      <c r="AY148" s="47">
        <v>0</v>
      </c>
      <c r="AZ148" s="47">
        <v>0</v>
      </c>
      <c r="BA148" s="47">
        <v>0</v>
      </c>
      <c r="BB148" s="47">
        <v>0</v>
      </c>
      <c r="BC148" s="47">
        <v>0</v>
      </c>
      <c r="BD148" s="47">
        <v>0</v>
      </c>
      <c r="BE148" s="47">
        <v>0</v>
      </c>
      <c r="BF148" s="49">
        <v>0</v>
      </c>
      <c r="BG148" s="47">
        <v>0</v>
      </c>
      <c r="BH148" s="47">
        <v>0</v>
      </c>
      <c r="BI148" s="47">
        <v>0</v>
      </c>
      <c r="BJ148" s="47">
        <v>0</v>
      </c>
      <c r="BK148" s="47">
        <v>0</v>
      </c>
      <c r="BL148" s="47">
        <v>0</v>
      </c>
      <c r="BM148" s="47">
        <v>0</v>
      </c>
      <c r="BN148" s="47">
        <v>0</v>
      </c>
      <c r="BO148" s="49">
        <v>0</v>
      </c>
      <c r="BP148" s="47">
        <v>0</v>
      </c>
      <c r="BQ148" s="47">
        <v>0</v>
      </c>
      <c r="BR148" s="47">
        <v>0</v>
      </c>
      <c r="BS148" s="47">
        <v>0</v>
      </c>
      <c r="BT148" s="47">
        <v>0</v>
      </c>
      <c r="BU148" s="47">
        <v>0</v>
      </c>
      <c r="BV148" s="47">
        <v>0</v>
      </c>
      <c r="BW148" s="47">
        <v>0</v>
      </c>
      <c r="BX148" s="47">
        <v>0</v>
      </c>
    </row>
    <row r="149" spans="1:82" ht="15" thickBot="1" x14ac:dyDescent="0.4"/>
    <row r="150" spans="1:82" ht="15" thickBot="1" x14ac:dyDescent="0.4">
      <c r="E150" s="51">
        <f>SUM(E22:E75)</f>
        <v>7</v>
      </c>
      <c r="F150" s="53">
        <f t="shared" ref="F150:V150" si="3">SUM(F22:F75)</f>
        <v>73.060957317118934</v>
      </c>
      <c r="G150" s="53">
        <f t="shared" si="3"/>
        <v>97.114448944395548</v>
      </c>
      <c r="H150" s="52">
        <f t="shared" si="3"/>
        <v>0</v>
      </c>
      <c r="I150" s="52">
        <f t="shared" si="3"/>
        <v>0</v>
      </c>
      <c r="J150" s="52">
        <f t="shared" si="3"/>
        <v>0</v>
      </c>
      <c r="K150" s="52">
        <f t="shared" si="3"/>
        <v>0</v>
      </c>
      <c r="L150" s="52">
        <f t="shared" si="3"/>
        <v>0</v>
      </c>
      <c r="M150" s="52">
        <f t="shared" si="3"/>
        <v>0</v>
      </c>
      <c r="N150" s="52">
        <f t="shared" si="3"/>
        <v>0</v>
      </c>
      <c r="O150" s="52">
        <f t="shared" si="3"/>
        <v>0</v>
      </c>
      <c r="P150" s="52">
        <f t="shared" si="3"/>
        <v>0</v>
      </c>
      <c r="Q150" s="52">
        <f t="shared" si="3"/>
        <v>0</v>
      </c>
      <c r="R150" s="52">
        <f t="shared" si="3"/>
        <v>0</v>
      </c>
      <c r="S150" s="52">
        <f t="shared" si="3"/>
        <v>0</v>
      </c>
      <c r="T150" s="52">
        <f t="shared" si="3"/>
        <v>0</v>
      </c>
      <c r="U150" s="52">
        <f t="shared" si="3"/>
        <v>0</v>
      </c>
      <c r="V150" s="214">
        <f t="shared" si="3"/>
        <v>0</v>
      </c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</row>
    <row r="151" spans="1:82" x14ac:dyDescent="0.35">
      <c r="E151" s="50"/>
      <c r="F151" s="50"/>
      <c r="G151" s="38"/>
      <c r="H151" s="211"/>
      <c r="I151" s="76"/>
      <c r="J151" s="212"/>
      <c r="K151" s="212"/>
      <c r="N151" s="38"/>
      <c r="Q151"/>
    </row>
    <row r="152" spans="1:82" s="4" customFormat="1" x14ac:dyDescent="0.35">
      <c r="A152" s="255" t="s">
        <v>358</v>
      </c>
      <c r="D152" s="19" t="s">
        <v>135</v>
      </c>
      <c r="E152" s="38" t="str" cm="1">
        <f t="array" ref="E152:BX152">TRANSPOSE(D155:D226)</f>
        <v>ST</v>
      </c>
      <c r="F152" s="38" t="str">
        <v>SR_H2</v>
      </c>
      <c r="G152" s="38" t="str">
        <v>ELE_H2</v>
      </c>
      <c r="H152" s="76" t="str">
        <v>ST</v>
      </c>
      <c r="I152" s="215" t="str">
        <v>SR_H2</v>
      </c>
      <c r="J152" s="76" t="str">
        <v>ELE_H2</v>
      </c>
      <c r="K152" s="216" t="str">
        <v>ST</v>
      </c>
      <c r="L152" s="4" t="str">
        <v>SR_H2</v>
      </c>
      <c r="M152" s="4" t="str">
        <v>ELE_H2</v>
      </c>
      <c r="N152" s="38" t="str">
        <v>ST</v>
      </c>
      <c r="O152" s="4" t="str">
        <v>SR_H2</v>
      </c>
      <c r="P152" s="4" t="str">
        <v>ELE_H2</v>
      </c>
      <c r="Q152" s="4" t="str">
        <v>ST</v>
      </c>
      <c r="R152" s="4" t="str">
        <v>SR_H2</v>
      </c>
      <c r="S152" s="4" t="str">
        <v>ELE_H2</v>
      </c>
      <c r="T152" s="4" t="str">
        <v>ST</v>
      </c>
      <c r="U152" s="4" t="str">
        <v>SR_H2</v>
      </c>
      <c r="V152" s="17" t="str">
        <v>ELE_H2</v>
      </c>
      <c r="W152" s="4" t="str">
        <v>M_ST</v>
      </c>
      <c r="X152" s="4" t="str">
        <v>H2BF_ST</v>
      </c>
      <c r="Y152" s="4" t="str">
        <v>NG_ST</v>
      </c>
      <c r="Z152" s="4" t="str">
        <v>H2_ST</v>
      </c>
      <c r="AA152" s="4" t="str">
        <v>CH_ST</v>
      </c>
      <c r="AB152" s="4" t="str">
        <v>CH_CC_ST</v>
      </c>
      <c r="AC152" s="4" t="str">
        <v>CC_ST</v>
      </c>
      <c r="AD152" s="4" t="str">
        <v>SR_H2_P</v>
      </c>
      <c r="AE152" s="4" t="str">
        <v>ELE_H2_P</v>
      </c>
      <c r="AF152" s="4" t="str">
        <v>M_ST</v>
      </c>
      <c r="AG152" s="4" t="str">
        <v>H2BF_ST</v>
      </c>
      <c r="AH152" s="4" t="str">
        <v>NG_ST</v>
      </c>
      <c r="AI152" s="4" t="str">
        <v>H2_ST</v>
      </c>
      <c r="AJ152" s="4" t="str">
        <v>CH_ST</v>
      </c>
      <c r="AK152" s="4" t="str">
        <v>CH_CC_ST</v>
      </c>
      <c r="AL152" s="4" t="str">
        <v>CC_ST</v>
      </c>
      <c r="AM152" s="4" t="str">
        <v>SR_H2_P</v>
      </c>
      <c r="AN152" s="4" t="str">
        <v>ELE_H2_P</v>
      </c>
      <c r="AO152" s="4" t="str">
        <v>M_ST</v>
      </c>
      <c r="AP152" s="4" t="str">
        <v>H2BF_ST</v>
      </c>
      <c r="AQ152" s="4" t="str">
        <v>NG_ST</v>
      </c>
      <c r="AR152" s="4" t="str">
        <v>H2_ST</v>
      </c>
      <c r="AS152" s="4" t="str">
        <v>CH_ST</v>
      </c>
      <c r="AT152" s="4" t="str">
        <v>CH_CC_ST</v>
      </c>
      <c r="AU152" s="4" t="str">
        <v>CC_ST</v>
      </c>
      <c r="AV152" s="4" t="str">
        <v>SR_H2_P</v>
      </c>
      <c r="AW152" s="4" t="str">
        <v>ELE_H2_P</v>
      </c>
      <c r="AX152" s="4" t="str">
        <v>M_ST</v>
      </c>
      <c r="AY152" s="4" t="str">
        <v>H2BF_ST</v>
      </c>
      <c r="AZ152" s="4" t="str">
        <v>NG_ST</v>
      </c>
      <c r="BA152" s="4" t="str">
        <v>H2_ST</v>
      </c>
      <c r="BB152" s="4" t="str">
        <v>CH_ST</v>
      </c>
      <c r="BC152" s="4" t="str">
        <v>CH_CC_ST</v>
      </c>
      <c r="BD152" s="4" t="str">
        <v>CC_ST</v>
      </c>
      <c r="BE152" s="4" t="str">
        <v>SR_H2_P</v>
      </c>
      <c r="BF152" s="4" t="str">
        <v>ELE_H2_P</v>
      </c>
      <c r="BG152" s="4" t="str">
        <v>M_ST</v>
      </c>
      <c r="BH152" s="4" t="str">
        <v>H2BF_ST</v>
      </c>
      <c r="BI152" s="4" t="str">
        <v>NG_ST</v>
      </c>
      <c r="BJ152" s="4" t="str">
        <v>H2_ST</v>
      </c>
      <c r="BK152" s="4" t="str">
        <v>CH_ST</v>
      </c>
      <c r="BL152" s="4" t="str">
        <v>CH_CC_ST</v>
      </c>
      <c r="BM152" s="4" t="str">
        <v>CC_ST</v>
      </c>
      <c r="BN152" s="4" t="str">
        <v>SR_H2_P</v>
      </c>
      <c r="BO152" s="4" t="str">
        <v>ELE_H2_P</v>
      </c>
      <c r="BP152" s="4" t="str">
        <v>M_ST</v>
      </c>
      <c r="BQ152" s="4" t="str">
        <v>H2BF_ST</v>
      </c>
      <c r="BR152" s="4" t="str">
        <v>NG_ST</v>
      </c>
      <c r="BS152" s="4" t="str">
        <v>H2_ST</v>
      </c>
      <c r="BT152" s="4" t="str">
        <v>CH_ST</v>
      </c>
      <c r="BU152" s="4" t="str">
        <v>CH_CC_ST</v>
      </c>
      <c r="BV152" s="4" t="str">
        <v>CC_ST</v>
      </c>
      <c r="BW152" s="4" t="str">
        <v>SR_H2_P</v>
      </c>
      <c r="BX152" s="4" t="str">
        <v>ELE_H2_P</v>
      </c>
      <c r="BY152" s="4" t="s">
        <v>359</v>
      </c>
      <c r="BZ152" s="4" t="s">
        <v>359</v>
      </c>
      <c r="CA152" s="4" t="s">
        <v>359</v>
      </c>
      <c r="CB152" s="4" t="s">
        <v>359</v>
      </c>
      <c r="CC152" s="4" t="s">
        <v>359</v>
      </c>
      <c r="CD152" s="4" t="s">
        <v>359</v>
      </c>
    </row>
    <row r="153" spans="1:82" s="4" customFormat="1" x14ac:dyDescent="0.35">
      <c r="D153" s="19" t="s">
        <v>136</v>
      </c>
      <c r="E153" s="38" t="str" cm="1">
        <f t="array" ref="E153:AW153">TRANSPOSE(B155:B199)</f>
        <v>EU27</v>
      </c>
      <c r="F153" s="38" t="str">
        <v>EU27</v>
      </c>
      <c r="G153" s="38" t="str">
        <v>EU27</v>
      </c>
      <c r="H153" s="211" t="str">
        <v>China</v>
      </c>
      <c r="I153" s="217" t="str">
        <v>China</v>
      </c>
      <c r="J153" s="211" t="str">
        <v>China</v>
      </c>
      <c r="K153" s="212" t="str">
        <v>USA</v>
      </c>
      <c r="L153" s="4" t="str">
        <v>USA</v>
      </c>
      <c r="M153" s="4" t="str">
        <v>USA</v>
      </c>
      <c r="N153" s="38" t="str">
        <v>India</v>
      </c>
      <c r="O153" s="4" t="str">
        <v>India</v>
      </c>
      <c r="P153" s="216" t="str">
        <v>India</v>
      </c>
      <c r="Q153" s="4" t="str">
        <v>Russia</v>
      </c>
      <c r="R153" s="4" t="str">
        <v>Russia</v>
      </c>
      <c r="S153" s="4" t="str">
        <v>Russia</v>
      </c>
      <c r="T153" s="4" t="str">
        <v>RoW</v>
      </c>
      <c r="U153" s="4" t="str">
        <v>RoW</v>
      </c>
      <c r="V153" s="17" t="str">
        <v>RoW</v>
      </c>
      <c r="W153" s="4" t="str">
        <v>EU27</v>
      </c>
      <c r="X153" s="4" t="str">
        <v>EU27</v>
      </c>
      <c r="Y153" s="4" t="str">
        <v>EU27</v>
      </c>
      <c r="Z153" s="4" t="str">
        <v>EU27</v>
      </c>
      <c r="AA153" s="4" t="str">
        <v>EU27</v>
      </c>
      <c r="AB153" s="4" t="str">
        <v>EU27</v>
      </c>
      <c r="AC153" s="4" t="str">
        <v>EU27</v>
      </c>
      <c r="AD153" s="4" t="str">
        <v>EU27</v>
      </c>
      <c r="AE153" s="4" t="str">
        <v>EU27</v>
      </c>
      <c r="AF153" s="4" t="str">
        <v>China</v>
      </c>
      <c r="AG153" s="4" t="str">
        <v>China</v>
      </c>
      <c r="AH153" s="4" t="str">
        <v>China</v>
      </c>
      <c r="AI153" s="4" t="str">
        <v>China</v>
      </c>
      <c r="AJ153" s="4" t="str">
        <v>China</v>
      </c>
      <c r="AK153" s="4" t="str">
        <v>China</v>
      </c>
      <c r="AL153" s="4" t="str">
        <v>China</v>
      </c>
      <c r="AM153" s="4" t="str">
        <v>China</v>
      </c>
      <c r="AN153" s="4" t="str">
        <v>China</v>
      </c>
      <c r="AO153" s="4" t="str">
        <v>USA</v>
      </c>
      <c r="AP153" s="4" t="str">
        <v>USA</v>
      </c>
      <c r="AQ153" s="4" t="str">
        <v>USA</v>
      </c>
      <c r="AR153" s="4" t="str">
        <v>USA</v>
      </c>
      <c r="AS153" s="4" t="str">
        <v>USA</v>
      </c>
      <c r="AT153" s="4" t="str">
        <v>USA</v>
      </c>
      <c r="AU153" s="4" t="str">
        <v>USA</v>
      </c>
      <c r="AV153" s="4" t="str">
        <v>USA</v>
      </c>
      <c r="AW153" s="4" t="str">
        <v>USA</v>
      </c>
      <c r="BY153" s="4" t="s">
        <v>73</v>
      </c>
      <c r="BZ153" s="4" t="s">
        <v>88</v>
      </c>
      <c r="CA153" s="4" t="s">
        <v>90</v>
      </c>
      <c r="CB153" s="4" t="s">
        <v>91</v>
      </c>
      <c r="CC153" s="4" t="s">
        <v>92</v>
      </c>
      <c r="CD153" s="4" t="s">
        <v>93</v>
      </c>
    </row>
    <row r="154" spans="1:82" s="4" customFormat="1" x14ac:dyDescent="0.35">
      <c r="A154" s="18" t="s">
        <v>137</v>
      </c>
      <c r="B154" s="19" t="s">
        <v>136</v>
      </c>
      <c r="C154" s="19" t="s">
        <v>138</v>
      </c>
      <c r="E154" s="38" t="str" cm="1">
        <f t="array" ref="E154:BX154">TRANSPOSE(C155:C226)</f>
        <v>ton</v>
      </c>
      <c r="F154" s="38" t="str">
        <v>kgH2</v>
      </c>
      <c r="G154" s="38" t="str">
        <v>kgH2</v>
      </c>
      <c r="H154" s="211" t="str">
        <v>ton</v>
      </c>
      <c r="I154" s="217" t="str">
        <v>kgH2</v>
      </c>
      <c r="J154" s="211" t="str">
        <v>kgH2</v>
      </c>
      <c r="K154" s="212" t="str">
        <v>ton</v>
      </c>
      <c r="L154" s="4" t="str">
        <v>kgH2</v>
      </c>
      <c r="M154" s="4" t="str">
        <v>kgH2</v>
      </c>
      <c r="N154" s="38" t="str">
        <v>ton</v>
      </c>
      <c r="O154" s="4" t="str">
        <v>kgH2</v>
      </c>
      <c r="P154" s="4" t="str">
        <v>kgH2</v>
      </c>
      <c r="Q154" s="4" t="str">
        <v>ton</v>
      </c>
      <c r="R154" s="4" t="str">
        <v>kgH2</v>
      </c>
      <c r="S154" s="4" t="str">
        <v>kgH2</v>
      </c>
      <c r="T154" s="4" t="str">
        <v>ton</v>
      </c>
      <c r="U154" s="4" t="str">
        <v>kgH2</v>
      </c>
      <c r="V154" s="17" t="str">
        <v>kgH2</v>
      </c>
      <c r="W154" s="4" t="str">
        <v>ton</v>
      </c>
      <c r="X154" s="4" t="str">
        <v>ton</v>
      </c>
      <c r="Y154" s="4" t="str">
        <v>ton</v>
      </c>
      <c r="Z154" s="4" t="str">
        <v>ton</v>
      </c>
      <c r="AA154" s="4" t="str">
        <v>ton</v>
      </c>
      <c r="AB154" s="4" t="str">
        <v>ton</v>
      </c>
      <c r="AC154" s="4" t="str">
        <v>ton</v>
      </c>
      <c r="AD154" s="4" t="str">
        <v>kgH2</v>
      </c>
      <c r="AE154" s="4" t="str">
        <v>kgH2</v>
      </c>
      <c r="AF154" s="4" t="str">
        <v>ton</v>
      </c>
      <c r="AG154" s="4" t="str">
        <v>ton</v>
      </c>
      <c r="AH154" s="4" t="str">
        <v>ton</v>
      </c>
      <c r="AI154" s="4" t="str">
        <v>ton</v>
      </c>
      <c r="AJ154" s="4" t="str">
        <v>ton</v>
      </c>
      <c r="AK154" s="4" t="str">
        <v>ton</v>
      </c>
      <c r="AL154" s="4" t="str">
        <v>ton</v>
      </c>
      <c r="AM154" s="4" t="str">
        <v>kgH2</v>
      </c>
      <c r="AN154" s="4" t="str">
        <v>kgH2</v>
      </c>
      <c r="AO154" s="4" t="str">
        <v>ton</v>
      </c>
      <c r="AP154" s="4" t="str">
        <v>ton</v>
      </c>
      <c r="AQ154" s="4" t="str">
        <v>ton</v>
      </c>
      <c r="AR154" s="4" t="str">
        <v>ton</v>
      </c>
      <c r="AS154" s="4" t="str">
        <v>ton</v>
      </c>
      <c r="AT154" s="4" t="str">
        <v>ton</v>
      </c>
      <c r="AU154" s="4" t="str">
        <v>ton</v>
      </c>
      <c r="AV154" s="4" t="str">
        <v>kgH2</v>
      </c>
      <c r="AW154" s="4" t="str">
        <v>kgH2</v>
      </c>
      <c r="AX154" s="4" t="str">
        <v>ton</v>
      </c>
      <c r="AY154" s="4" t="str">
        <v>ton</v>
      </c>
      <c r="AZ154" s="4" t="str">
        <v>ton</v>
      </c>
      <c r="BA154" s="4" t="str">
        <v>ton</v>
      </c>
      <c r="BB154" s="4" t="str">
        <v>ton</v>
      </c>
      <c r="BC154" s="4" t="str">
        <v>ton</v>
      </c>
      <c r="BD154" s="4" t="str">
        <v>ton</v>
      </c>
      <c r="BE154" s="4" t="str">
        <v>kgH2</v>
      </c>
      <c r="BF154" s="4" t="str">
        <v>kgH2</v>
      </c>
      <c r="BG154" s="4" t="str">
        <v>ton</v>
      </c>
      <c r="BH154" s="4" t="str">
        <v>ton</v>
      </c>
      <c r="BI154" s="4" t="str">
        <v>ton</v>
      </c>
      <c r="BJ154" s="4" t="str">
        <v>ton</v>
      </c>
      <c r="BK154" s="4" t="str">
        <v>ton</v>
      </c>
      <c r="BL154" s="4" t="str">
        <v>ton</v>
      </c>
      <c r="BM154" s="4" t="str">
        <v>ton</v>
      </c>
      <c r="BN154" s="4" t="str">
        <v>kgH2</v>
      </c>
      <c r="BO154" s="4" t="str">
        <v>kgH2</v>
      </c>
      <c r="BP154" s="4" t="str">
        <v>ton</v>
      </c>
      <c r="BQ154" s="4" t="str">
        <v>ton</v>
      </c>
      <c r="BR154" s="4" t="str">
        <v>ton</v>
      </c>
      <c r="BS154" s="4" t="str">
        <v>ton</v>
      </c>
      <c r="BT154" s="4" t="str">
        <v>ton</v>
      </c>
      <c r="BU154" s="4" t="str">
        <v>ton</v>
      </c>
      <c r="BV154" s="4" t="str">
        <v>ton</v>
      </c>
      <c r="BW154" s="4" t="str">
        <v>kgH2</v>
      </c>
      <c r="BX154" s="4" t="str">
        <v>kgH2</v>
      </c>
    </row>
    <row r="155" spans="1:82" x14ac:dyDescent="0.35">
      <c r="A155" t="s">
        <v>144</v>
      </c>
      <c r="B155" s="4" t="s">
        <v>73</v>
      </c>
      <c r="C155" s="4" t="s">
        <v>145</v>
      </c>
      <c r="D155" s="4" t="s">
        <v>146</v>
      </c>
      <c r="E155" s="50"/>
      <c r="F155" s="50"/>
      <c r="G155" s="38"/>
      <c r="H155" s="211"/>
      <c r="I155" s="217"/>
      <c r="J155" s="211"/>
      <c r="K155" s="212"/>
      <c r="N155" s="38"/>
      <c r="Q155"/>
      <c r="W155" s="54" cm="1">
        <f t="array" ref="W155:AE157">MMULT(W4:AE6,MINVERSE(_xlfn.MUNIT(9)*CF22:CF30))</f>
        <v>0</v>
      </c>
      <c r="X155" s="54">
        <v>0</v>
      </c>
      <c r="Y155" s="54">
        <v>0</v>
      </c>
      <c r="Z155" s="54">
        <v>0</v>
      </c>
      <c r="AA155" s="54">
        <v>0</v>
      </c>
      <c r="AB155" s="54">
        <v>0</v>
      </c>
      <c r="AC155" s="54">
        <v>0</v>
      </c>
      <c r="AD155" s="54">
        <v>0</v>
      </c>
      <c r="AE155" s="219">
        <v>0</v>
      </c>
      <c r="AF155" s="54">
        <v>0</v>
      </c>
      <c r="AG155" s="54">
        <v>0</v>
      </c>
      <c r="AH155" s="54">
        <v>0</v>
      </c>
      <c r="AI155" s="54">
        <v>0</v>
      </c>
      <c r="AJ155" s="54">
        <v>0</v>
      </c>
      <c r="AK155" s="54">
        <v>0</v>
      </c>
      <c r="AL155" s="54">
        <v>0</v>
      </c>
      <c r="AM155" s="54">
        <v>0</v>
      </c>
      <c r="AN155" s="219">
        <v>0</v>
      </c>
      <c r="AO155" s="54">
        <v>0</v>
      </c>
      <c r="AP155" s="54">
        <v>0</v>
      </c>
      <c r="AQ155" s="54">
        <v>0</v>
      </c>
      <c r="AR155" s="54">
        <v>0</v>
      </c>
      <c r="AS155" s="54">
        <v>0</v>
      </c>
      <c r="AT155" s="54">
        <v>0</v>
      </c>
      <c r="AU155" s="54">
        <v>0</v>
      </c>
      <c r="AV155" s="54">
        <v>0</v>
      </c>
      <c r="AW155" s="219">
        <v>0</v>
      </c>
      <c r="AX155" s="54">
        <v>0</v>
      </c>
      <c r="AY155" s="54">
        <v>0</v>
      </c>
      <c r="AZ155" s="54">
        <v>0</v>
      </c>
      <c r="BA155" s="54">
        <v>0</v>
      </c>
      <c r="BB155" s="54">
        <v>0</v>
      </c>
      <c r="BC155" s="54">
        <v>0</v>
      </c>
      <c r="BD155" s="54">
        <v>0</v>
      </c>
      <c r="BE155" s="54">
        <v>0</v>
      </c>
      <c r="BF155" s="219">
        <v>0</v>
      </c>
      <c r="BG155" s="54">
        <v>0</v>
      </c>
      <c r="BH155" s="54">
        <v>0</v>
      </c>
      <c r="BI155" s="54">
        <v>0</v>
      </c>
      <c r="BJ155" s="54">
        <v>0</v>
      </c>
      <c r="BK155" s="54">
        <v>0</v>
      </c>
      <c r="BL155" s="54">
        <v>0</v>
      </c>
      <c r="BM155" s="54">
        <v>0</v>
      </c>
      <c r="BN155" s="54">
        <v>0</v>
      </c>
      <c r="BO155" s="219">
        <v>0</v>
      </c>
      <c r="BP155" s="54">
        <v>0</v>
      </c>
      <c r="BQ155" s="54">
        <v>0</v>
      </c>
      <c r="BR155" s="54">
        <v>0</v>
      </c>
      <c r="BS155" s="54">
        <v>0</v>
      </c>
      <c r="BT155" s="54">
        <v>0</v>
      </c>
      <c r="BU155" s="54">
        <v>0</v>
      </c>
      <c r="BV155" s="54">
        <v>0</v>
      </c>
      <c r="BW155" s="54">
        <v>0</v>
      </c>
      <c r="BX155" s="54">
        <v>0</v>
      </c>
      <c r="BY155" s="310" cm="1">
        <f t="array" ref="BY155:CD172">BY4:CD21</f>
        <v>7</v>
      </c>
      <c r="BZ155" s="311">
        <v>0</v>
      </c>
      <c r="CA155" s="311">
        <v>0</v>
      </c>
      <c r="CB155" s="311">
        <v>0</v>
      </c>
      <c r="CC155" s="311">
        <v>0</v>
      </c>
      <c r="CD155" s="312">
        <v>0</v>
      </c>
    </row>
    <row r="156" spans="1:82" x14ac:dyDescent="0.35">
      <c r="A156" s="77" t="s">
        <v>147</v>
      </c>
      <c r="B156" s="4" t="s">
        <v>73</v>
      </c>
      <c r="C156" s="4" t="s">
        <v>148</v>
      </c>
      <c r="D156" s="4" t="s">
        <v>149</v>
      </c>
      <c r="E156" s="50"/>
      <c r="F156" s="50"/>
      <c r="G156" s="38"/>
      <c r="H156" s="212"/>
      <c r="I156" s="76"/>
      <c r="J156" s="212"/>
      <c r="K156" s="212"/>
      <c r="N156" s="38"/>
      <c r="Q156"/>
      <c r="W156" s="54">
        <v>0</v>
      </c>
      <c r="X156" s="55">
        <v>1.8124436429215509</v>
      </c>
      <c r="Y156" s="54">
        <v>71.248513674197383</v>
      </c>
      <c r="Z156" s="54">
        <v>0</v>
      </c>
      <c r="AA156" s="54">
        <v>0</v>
      </c>
      <c r="AB156" s="54">
        <v>0</v>
      </c>
      <c r="AC156" s="54">
        <v>0</v>
      </c>
      <c r="AD156" s="54">
        <v>0</v>
      </c>
      <c r="AE156" s="219">
        <v>0</v>
      </c>
      <c r="AF156" s="54">
        <v>0</v>
      </c>
      <c r="AG156" s="54">
        <v>0</v>
      </c>
      <c r="AH156" s="54">
        <v>0</v>
      </c>
      <c r="AI156" s="54">
        <v>0</v>
      </c>
      <c r="AJ156" s="54">
        <v>0</v>
      </c>
      <c r="AK156" s="54">
        <v>0</v>
      </c>
      <c r="AL156" s="54">
        <v>0</v>
      </c>
      <c r="AM156" s="54">
        <v>0</v>
      </c>
      <c r="AN156" s="219">
        <v>0</v>
      </c>
      <c r="AO156" s="54">
        <v>0</v>
      </c>
      <c r="AP156" s="54">
        <v>0</v>
      </c>
      <c r="AQ156" s="54">
        <v>0</v>
      </c>
      <c r="AR156" s="54">
        <v>0</v>
      </c>
      <c r="AS156" s="54">
        <v>0</v>
      </c>
      <c r="AT156" s="54">
        <v>0</v>
      </c>
      <c r="AU156" s="54">
        <v>0</v>
      </c>
      <c r="AV156" s="54">
        <v>0</v>
      </c>
      <c r="AW156" s="219">
        <v>0</v>
      </c>
      <c r="AX156" s="54">
        <v>0</v>
      </c>
      <c r="AY156" s="54">
        <v>0</v>
      </c>
      <c r="AZ156" s="54">
        <v>0</v>
      </c>
      <c r="BA156" s="54">
        <v>0</v>
      </c>
      <c r="BB156" s="54">
        <v>0</v>
      </c>
      <c r="BC156" s="54">
        <v>0</v>
      </c>
      <c r="BD156" s="54">
        <v>0</v>
      </c>
      <c r="BE156" s="54">
        <v>0</v>
      </c>
      <c r="BF156" s="219">
        <v>0</v>
      </c>
      <c r="BG156" s="54">
        <v>0</v>
      </c>
      <c r="BH156" s="54">
        <v>0</v>
      </c>
      <c r="BI156" s="54">
        <v>0</v>
      </c>
      <c r="BJ156" s="54">
        <v>0</v>
      </c>
      <c r="BK156" s="54">
        <v>0</v>
      </c>
      <c r="BL156" s="54">
        <v>0</v>
      </c>
      <c r="BM156" s="54">
        <v>0</v>
      </c>
      <c r="BN156" s="54">
        <v>0</v>
      </c>
      <c r="BO156" s="219">
        <v>0</v>
      </c>
      <c r="BP156" s="54">
        <v>0</v>
      </c>
      <c r="BQ156" s="54">
        <v>0</v>
      </c>
      <c r="BR156" s="54">
        <v>0</v>
      </c>
      <c r="BS156" s="54">
        <v>0</v>
      </c>
      <c r="BT156" s="54">
        <v>0</v>
      </c>
      <c r="BU156" s="54">
        <v>0</v>
      </c>
      <c r="BV156" s="54">
        <v>0</v>
      </c>
      <c r="BW156" s="54">
        <v>0</v>
      </c>
      <c r="BX156" s="54">
        <v>0</v>
      </c>
      <c r="BY156" s="313">
        <v>0</v>
      </c>
      <c r="BZ156" s="311">
        <v>0</v>
      </c>
      <c r="CA156" s="311">
        <v>0</v>
      </c>
      <c r="CB156" s="311">
        <v>0</v>
      </c>
      <c r="CC156" s="311">
        <v>0</v>
      </c>
      <c r="CD156" s="312">
        <v>0</v>
      </c>
    </row>
    <row r="157" spans="1:82" ht="15" thickBot="1" x14ac:dyDescent="0.4">
      <c r="A157" t="s">
        <v>150</v>
      </c>
      <c r="B157" s="4" t="s">
        <v>73</v>
      </c>
      <c r="C157" s="4" t="s">
        <v>148</v>
      </c>
      <c r="D157" s="4" t="s">
        <v>151</v>
      </c>
      <c r="E157" s="50"/>
      <c r="F157" s="50"/>
      <c r="G157" s="50"/>
      <c r="H157" s="212"/>
      <c r="I157" s="212"/>
      <c r="J157" s="212"/>
      <c r="K157" s="212"/>
      <c r="N157" s="50"/>
      <c r="W157" s="330">
        <v>0</v>
      </c>
      <c r="X157" s="331">
        <v>7.2497745716862037</v>
      </c>
      <c r="Y157" s="221">
        <v>0</v>
      </c>
      <c r="Z157" s="221">
        <v>89.864674372709345</v>
      </c>
      <c r="AA157" s="221">
        <v>0</v>
      </c>
      <c r="AB157" s="221">
        <v>0</v>
      </c>
      <c r="AC157" s="221">
        <v>0</v>
      </c>
      <c r="AD157" s="221">
        <v>0</v>
      </c>
      <c r="AE157" s="222">
        <v>0</v>
      </c>
      <c r="AF157" s="330">
        <v>0</v>
      </c>
      <c r="AG157" s="221">
        <v>0</v>
      </c>
      <c r="AH157" s="221">
        <v>0</v>
      </c>
      <c r="AI157" s="221">
        <v>0</v>
      </c>
      <c r="AJ157" s="221">
        <v>0</v>
      </c>
      <c r="AK157" s="221">
        <v>0</v>
      </c>
      <c r="AL157" s="221">
        <v>0</v>
      </c>
      <c r="AM157" s="221">
        <v>0</v>
      </c>
      <c r="AN157" s="222">
        <v>0</v>
      </c>
      <c r="AO157" s="330">
        <v>0</v>
      </c>
      <c r="AP157" s="221">
        <v>0</v>
      </c>
      <c r="AQ157" s="221">
        <v>0</v>
      </c>
      <c r="AR157" s="221">
        <v>0</v>
      </c>
      <c r="AS157" s="221">
        <v>0</v>
      </c>
      <c r="AT157" s="221">
        <v>0</v>
      </c>
      <c r="AU157" s="221">
        <v>0</v>
      </c>
      <c r="AV157" s="221">
        <v>0</v>
      </c>
      <c r="AW157" s="222">
        <v>0</v>
      </c>
      <c r="AX157" s="330">
        <v>0</v>
      </c>
      <c r="AY157" s="221">
        <v>0</v>
      </c>
      <c r="AZ157" s="221">
        <v>0</v>
      </c>
      <c r="BA157" s="221">
        <v>0</v>
      </c>
      <c r="BB157" s="221">
        <v>0</v>
      </c>
      <c r="BC157" s="221">
        <v>0</v>
      </c>
      <c r="BD157" s="221">
        <v>0</v>
      </c>
      <c r="BE157" s="221">
        <v>0</v>
      </c>
      <c r="BF157" s="222">
        <v>0</v>
      </c>
      <c r="BG157" s="330">
        <v>0</v>
      </c>
      <c r="BH157" s="221">
        <v>0</v>
      </c>
      <c r="BI157" s="221">
        <v>0</v>
      </c>
      <c r="BJ157" s="221">
        <v>0</v>
      </c>
      <c r="BK157" s="221">
        <v>0</v>
      </c>
      <c r="BL157" s="221">
        <v>0</v>
      </c>
      <c r="BM157" s="221">
        <v>0</v>
      </c>
      <c r="BN157" s="221">
        <v>0</v>
      </c>
      <c r="BO157" s="222">
        <v>0</v>
      </c>
      <c r="BP157" s="330">
        <v>0</v>
      </c>
      <c r="BQ157" s="221">
        <v>0</v>
      </c>
      <c r="BR157" s="221">
        <v>0</v>
      </c>
      <c r="BS157" s="221">
        <v>0</v>
      </c>
      <c r="BT157" s="221">
        <v>0</v>
      </c>
      <c r="BU157" s="221">
        <v>0</v>
      </c>
      <c r="BV157" s="221">
        <v>0</v>
      </c>
      <c r="BW157" s="221">
        <v>0</v>
      </c>
      <c r="BX157" s="221">
        <v>0</v>
      </c>
      <c r="BY157" s="317">
        <v>0</v>
      </c>
      <c r="BZ157" s="318">
        <v>0</v>
      </c>
      <c r="CA157" s="318">
        <v>0</v>
      </c>
      <c r="CB157" s="318">
        <v>0</v>
      </c>
      <c r="CC157" s="318">
        <v>0</v>
      </c>
      <c r="CD157" s="319">
        <v>0</v>
      </c>
    </row>
    <row r="158" spans="1:82" x14ac:dyDescent="0.35">
      <c r="A158" t="s">
        <v>144</v>
      </c>
      <c r="B158" s="4" t="s">
        <v>88</v>
      </c>
      <c r="C158" s="4" t="s">
        <v>145</v>
      </c>
      <c r="D158" s="4" t="s">
        <v>146</v>
      </c>
      <c r="E158" s="50"/>
      <c r="F158" s="50"/>
      <c r="G158" s="50"/>
      <c r="H158" s="212"/>
      <c r="I158" s="212"/>
      <c r="J158" s="212"/>
      <c r="K158" s="212"/>
      <c r="N158" s="50"/>
      <c r="W158" s="54">
        <v>0</v>
      </c>
      <c r="X158" s="54">
        <v>0</v>
      </c>
      <c r="Y158" s="54">
        <v>0</v>
      </c>
      <c r="Z158" s="54">
        <v>0</v>
      </c>
      <c r="AA158" s="54">
        <v>0</v>
      </c>
      <c r="AB158" s="54">
        <v>0</v>
      </c>
      <c r="AC158" s="54">
        <v>0</v>
      </c>
      <c r="AD158" s="54">
        <v>0</v>
      </c>
      <c r="AE158" s="219">
        <v>0</v>
      </c>
      <c r="AF158" s="54">
        <v>0</v>
      </c>
      <c r="AG158" s="54">
        <v>0</v>
      </c>
      <c r="AH158" s="54">
        <v>0</v>
      </c>
      <c r="AI158" s="54">
        <v>0</v>
      </c>
      <c r="AJ158" s="54">
        <v>0</v>
      </c>
      <c r="AK158" s="54">
        <v>0</v>
      </c>
      <c r="AL158" s="54">
        <v>0</v>
      </c>
      <c r="AM158" s="54">
        <v>0</v>
      </c>
      <c r="AN158" s="219">
        <v>0</v>
      </c>
      <c r="AO158" s="54">
        <v>0</v>
      </c>
      <c r="AP158" s="54">
        <v>0</v>
      </c>
      <c r="AQ158" s="54">
        <v>0</v>
      </c>
      <c r="AR158" s="54">
        <v>0</v>
      </c>
      <c r="AS158" s="54">
        <v>0</v>
      </c>
      <c r="AT158" s="54">
        <v>0</v>
      </c>
      <c r="AU158" s="54">
        <v>0</v>
      </c>
      <c r="AV158" s="54">
        <v>0</v>
      </c>
      <c r="AW158" s="219">
        <v>0</v>
      </c>
      <c r="AX158" s="54">
        <v>0</v>
      </c>
      <c r="AY158" s="54">
        <v>0</v>
      </c>
      <c r="AZ158" s="54">
        <v>0</v>
      </c>
      <c r="BA158" s="54">
        <v>0</v>
      </c>
      <c r="BB158" s="54">
        <v>0</v>
      </c>
      <c r="BC158" s="54">
        <v>0</v>
      </c>
      <c r="BD158" s="54">
        <v>0</v>
      </c>
      <c r="BE158" s="54">
        <v>0</v>
      </c>
      <c r="BF158" s="219">
        <v>0</v>
      </c>
      <c r="BG158" s="54">
        <v>0</v>
      </c>
      <c r="BH158" s="54">
        <v>0</v>
      </c>
      <c r="BI158" s="54">
        <v>0</v>
      </c>
      <c r="BJ158" s="54">
        <v>0</v>
      </c>
      <c r="BK158" s="54">
        <v>0</v>
      </c>
      <c r="BL158" s="54">
        <v>0</v>
      </c>
      <c r="BM158" s="54">
        <v>0</v>
      </c>
      <c r="BN158" s="54">
        <v>0</v>
      </c>
      <c r="BO158" s="219">
        <v>0</v>
      </c>
      <c r="BP158" s="54">
        <v>0</v>
      </c>
      <c r="BQ158" s="54">
        <v>0</v>
      </c>
      <c r="BR158" s="54">
        <v>0</v>
      </c>
      <c r="BS158" s="54">
        <v>0</v>
      </c>
      <c r="BT158" s="54">
        <v>0</v>
      </c>
      <c r="BU158" s="54">
        <v>0</v>
      </c>
      <c r="BV158" s="54">
        <v>0</v>
      </c>
      <c r="BW158" s="54">
        <v>0</v>
      </c>
      <c r="BX158" s="54">
        <v>0</v>
      </c>
      <c r="BY158" s="310">
        <v>0</v>
      </c>
      <c r="BZ158" s="311">
        <v>0</v>
      </c>
      <c r="CA158" s="311">
        <v>0</v>
      </c>
      <c r="CB158" s="311">
        <v>0</v>
      </c>
      <c r="CC158" s="311">
        <v>0</v>
      </c>
      <c r="CD158" s="312">
        <v>0</v>
      </c>
    </row>
    <row r="159" spans="1:82" x14ac:dyDescent="0.35">
      <c r="A159" s="77" t="s">
        <v>147</v>
      </c>
      <c r="B159" s="4" t="s">
        <v>88</v>
      </c>
      <c r="C159" s="4" t="s">
        <v>148</v>
      </c>
      <c r="D159" s="4" t="s">
        <v>149</v>
      </c>
      <c r="E159" s="50"/>
      <c r="F159" s="50"/>
      <c r="G159" s="50"/>
      <c r="H159" s="212"/>
      <c r="I159" s="212"/>
      <c r="J159" s="212"/>
      <c r="K159" s="212"/>
      <c r="N159" s="50"/>
      <c r="W159" s="54">
        <v>0</v>
      </c>
      <c r="X159" s="54">
        <v>0</v>
      </c>
      <c r="Y159" s="54">
        <v>0</v>
      </c>
      <c r="Z159" s="54">
        <v>0</v>
      </c>
      <c r="AA159" s="54">
        <v>0</v>
      </c>
      <c r="AB159" s="54">
        <v>0</v>
      </c>
      <c r="AC159" s="54">
        <v>0</v>
      </c>
      <c r="AD159" s="54">
        <v>0</v>
      </c>
      <c r="AE159" s="219">
        <v>0</v>
      </c>
      <c r="AF159" s="54">
        <v>0</v>
      </c>
      <c r="AG159" s="54">
        <v>0</v>
      </c>
      <c r="AH159" s="54">
        <v>0</v>
      </c>
      <c r="AI159" s="54">
        <v>0</v>
      </c>
      <c r="AJ159" s="54">
        <v>0</v>
      </c>
      <c r="AK159" s="54">
        <v>0</v>
      </c>
      <c r="AL159" s="54">
        <v>0</v>
      </c>
      <c r="AM159" s="54">
        <v>0</v>
      </c>
      <c r="AN159" s="219">
        <v>0</v>
      </c>
      <c r="AO159" s="54">
        <v>0</v>
      </c>
      <c r="AP159" s="54">
        <v>0</v>
      </c>
      <c r="AQ159" s="54">
        <v>0</v>
      </c>
      <c r="AR159" s="54">
        <v>0</v>
      </c>
      <c r="AS159" s="54">
        <v>0</v>
      </c>
      <c r="AT159" s="54">
        <v>0</v>
      </c>
      <c r="AU159" s="54">
        <v>0</v>
      </c>
      <c r="AV159" s="54">
        <v>0</v>
      </c>
      <c r="AW159" s="219">
        <v>0</v>
      </c>
      <c r="AX159" s="54">
        <v>0</v>
      </c>
      <c r="AY159" s="54">
        <v>0</v>
      </c>
      <c r="AZ159" s="54">
        <v>0</v>
      </c>
      <c r="BA159" s="54">
        <v>0</v>
      </c>
      <c r="BB159" s="54">
        <v>0</v>
      </c>
      <c r="BC159" s="54">
        <v>0</v>
      </c>
      <c r="BD159" s="54">
        <v>0</v>
      </c>
      <c r="BE159" s="54">
        <v>0</v>
      </c>
      <c r="BF159" s="219">
        <v>0</v>
      </c>
      <c r="BG159" s="54">
        <v>0</v>
      </c>
      <c r="BH159" s="54">
        <v>0</v>
      </c>
      <c r="BI159" s="54">
        <v>0</v>
      </c>
      <c r="BJ159" s="54">
        <v>0</v>
      </c>
      <c r="BK159" s="54">
        <v>0</v>
      </c>
      <c r="BL159" s="54">
        <v>0</v>
      </c>
      <c r="BM159" s="54">
        <v>0</v>
      </c>
      <c r="BN159" s="54">
        <v>0</v>
      </c>
      <c r="BO159" s="219">
        <v>0</v>
      </c>
      <c r="BP159" s="54">
        <v>0</v>
      </c>
      <c r="BQ159" s="54">
        <v>0</v>
      </c>
      <c r="BR159" s="54">
        <v>0</v>
      </c>
      <c r="BS159" s="54">
        <v>0</v>
      </c>
      <c r="BT159" s="54">
        <v>0</v>
      </c>
      <c r="BU159" s="54">
        <v>0</v>
      </c>
      <c r="BV159" s="54">
        <v>0</v>
      </c>
      <c r="BW159" s="54">
        <v>0</v>
      </c>
      <c r="BX159" s="54">
        <v>0</v>
      </c>
      <c r="BY159" s="310">
        <v>0</v>
      </c>
      <c r="BZ159" s="311">
        <v>0</v>
      </c>
      <c r="CA159" s="311">
        <v>0</v>
      </c>
      <c r="CB159" s="311">
        <v>0</v>
      </c>
      <c r="CC159" s="311">
        <v>0</v>
      </c>
      <c r="CD159" s="312">
        <v>0</v>
      </c>
    </row>
    <row r="160" spans="1:82" ht="15" thickBot="1" x14ac:dyDescent="0.4">
      <c r="A160" t="s">
        <v>150</v>
      </c>
      <c r="B160" s="4" t="s">
        <v>88</v>
      </c>
      <c r="C160" s="4" t="s">
        <v>148</v>
      </c>
      <c r="D160" s="4" t="s">
        <v>151</v>
      </c>
      <c r="E160" s="50"/>
      <c r="F160" s="50"/>
      <c r="G160" s="50"/>
      <c r="H160" s="212"/>
      <c r="I160" s="212"/>
      <c r="J160" s="212"/>
      <c r="K160" s="212"/>
      <c r="N160" s="50"/>
      <c r="W160" s="221">
        <v>0</v>
      </c>
      <c r="X160" s="221">
        <v>0</v>
      </c>
      <c r="Y160" s="221">
        <v>0</v>
      </c>
      <c r="Z160" s="221">
        <v>0</v>
      </c>
      <c r="AA160" s="221">
        <v>0</v>
      </c>
      <c r="AB160" s="221">
        <v>0</v>
      </c>
      <c r="AC160" s="221">
        <v>0</v>
      </c>
      <c r="AD160" s="221">
        <v>0</v>
      </c>
      <c r="AE160" s="222">
        <v>0</v>
      </c>
      <c r="AF160" s="221">
        <v>0</v>
      </c>
      <c r="AG160" s="221">
        <v>0</v>
      </c>
      <c r="AH160" s="221">
        <v>0</v>
      </c>
      <c r="AI160" s="221">
        <v>0</v>
      </c>
      <c r="AJ160" s="221">
        <v>0</v>
      </c>
      <c r="AK160" s="221">
        <v>0</v>
      </c>
      <c r="AL160" s="221">
        <v>0</v>
      </c>
      <c r="AM160" s="221">
        <v>0</v>
      </c>
      <c r="AN160" s="222">
        <v>0</v>
      </c>
      <c r="AO160" s="221">
        <v>0</v>
      </c>
      <c r="AP160" s="221">
        <v>0</v>
      </c>
      <c r="AQ160" s="221">
        <v>0</v>
      </c>
      <c r="AR160" s="221">
        <v>0</v>
      </c>
      <c r="AS160" s="221">
        <v>0</v>
      </c>
      <c r="AT160" s="221">
        <v>0</v>
      </c>
      <c r="AU160" s="221">
        <v>0</v>
      </c>
      <c r="AV160" s="221">
        <v>0</v>
      </c>
      <c r="AW160" s="222">
        <v>0</v>
      </c>
      <c r="AX160" s="221">
        <v>0</v>
      </c>
      <c r="AY160" s="221">
        <v>0</v>
      </c>
      <c r="AZ160" s="221">
        <v>0</v>
      </c>
      <c r="BA160" s="221">
        <v>0</v>
      </c>
      <c r="BB160" s="221">
        <v>0</v>
      </c>
      <c r="BC160" s="221">
        <v>0</v>
      </c>
      <c r="BD160" s="221">
        <v>0</v>
      </c>
      <c r="BE160" s="221">
        <v>0</v>
      </c>
      <c r="BF160" s="222">
        <v>0</v>
      </c>
      <c r="BG160" s="221">
        <v>0</v>
      </c>
      <c r="BH160" s="221">
        <v>0</v>
      </c>
      <c r="BI160" s="221">
        <v>0</v>
      </c>
      <c r="BJ160" s="221">
        <v>0</v>
      </c>
      <c r="BK160" s="221">
        <v>0</v>
      </c>
      <c r="BL160" s="221">
        <v>0</v>
      </c>
      <c r="BM160" s="221">
        <v>0</v>
      </c>
      <c r="BN160" s="221">
        <v>0</v>
      </c>
      <c r="BO160" s="222">
        <v>0</v>
      </c>
      <c r="BP160" s="221">
        <v>0</v>
      </c>
      <c r="BQ160" s="221">
        <v>0</v>
      </c>
      <c r="BR160" s="221">
        <v>0</v>
      </c>
      <c r="BS160" s="221">
        <v>0</v>
      </c>
      <c r="BT160" s="221">
        <v>0</v>
      </c>
      <c r="BU160" s="221">
        <v>0</v>
      </c>
      <c r="BV160" s="221">
        <v>0</v>
      </c>
      <c r="BW160" s="221">
        <v>0</v>
      </c>
      <c r="BX160" s="221">
        <v>0</v>
      </c>
      <c r="BY160" s="317">
        <v>0</v>
      </c>
      <c r="BZ160" s="318">
        <v>0</v>
      </c>
      <c r="CA160" s="318">
        <v>0</v>
      </c>
      <c r="CB160" s="318">
        <v>0</v>
      </c>
      <c r="CC160" s="318">
        <v>0</v>
      </c>
      <c r="CD160" s="319">
        <v>0</v>
      </c>
    </row>
    <row r="161" spans="1:86" x14ac:dyDescent="0.35">
      <c r="A161" t="s">
        <v>144</v>
      </c>
      <c r="B161" s="4" t="s">
        <v>90</v>
      </c>
      <c r="C161" s="4" t="s">
        <v>145</v>
      </c>
      <c r="D161" s="4" t="s">
        <v>146</v>
      </c>
      <c r="E161" s="50"/>
      <c r="F161" s="50"/>
      <c r="G161" s="50"/>
      <c r="H161" s="212"/>
      <c r="I161" s="212"/>
      <c r="J161" s="212"/>
      <c r="K161" s="212"/>
      <c r="N161" s="50"/>
      <c r="W161" s="54">
        <v>0</v>
      </c>
      <c r="X161" s="54">
        <v>0</v>
      </c>
      <c r="Y161" s="54">
        <v>0</v>
      </c>
      <c r="Z161" s="54">
        <v>0</v>
      </c>
      <c r="AA161" s="54">
        <v>0</v>
      </c>
      <c r="AB161" s="54">
        <v>0</v>
      </c>
      <c r="AC161" s="54">
        <v>0</v>
      </c>
      <c r="AD161" s="54">
        <v>0</v>
      </c>
      <c r="AE161" s="219">
        <v>0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219">
        <v>0</v>
      </c>
      <c r="AO161" s="54">
        <v>0</v>
      </c>
      <c r="AP161" s="54">
        <v>0</v>
      </c>
      <c r="AQ161" s="54">
        <v>0</v>
      </c>
      <c r="AR161" s="54">
        <v>0</v>
      </c>
      <c r="AS161" s="54">
        <v>0</v>
      </c>
      <c r="AT161" s="54">
        <v>0</v>
      </c>
      <c r="AU161" s="54">
        <v>0</v>
      </c>
      <c r="AV161" s="54">
        <v>0</v>
      </c>
      <c r="AW161" s="219">
        <v>0</v>
      </c>
      <c r="AX161" s="54">
        <v>0</v>
      </c>
      <c r="AY161" s="54">
        <v>0</v>
      </c>
      <c r="AZ161" s="54">
        <v>0</v>
      </c>
      <c r="BA161" s="54">
        <v>0</v>
      </c>
      <c r="BB161" s="54">
        <v>0</v>
      </c>
      <c r="BC161" s="54">
        <v>0</v>
      </c>
      <c r="BD161" s="54">
        <v>0</v>
      </c>
      <c r="BE161" s="54">
        <v>0</v>
      </c>
      <c r="BF161" s="219">
        <v>0</v>
      </c>
      <c r="BG161" s="54">
        <v>0</v>
      </c>
      <c r="BH161" s="54">
        <v>0</v>
      </c>
      <c r="BI161" s="54">
        <v>0</v>
      </c>
      <c r="BJ161" s="54">
        <v>0</v>
      </c>
      <c r="BK161" s="54">
        <v>0</v>
      </c>
      <c r="BL161" s="54">
        <v>0</v>
      </c>
      <c r="BM161" s="54">
        <v>0</v>
      </c>
      <c r="BN161" s="54">
        <v>0</v>
      </c>
      <c r="BO161" s="219">
        <v>0</v>
      </c>
      <c r="BP161" s="54">
        <v>0</v>
      </c>
      <c r="BQ161" s="54">
        <v>0</v>
      </c>
      <c r="BR161" s="54">
        <v>0</v>
      </c>
      <c r="BS161" s="54">
        <v>0</v>
      </c>
      <c r="BT161" s="54">
        <v>0</v>
      </c>
      <c r="BU161" s="54">
        <v>0</v>
      </c>
      <c r="BV161" s="54">
        <v>0</v>
      </c>
      <c r="BW161" s="54">
        <v>0</v>
      </c>
      <c r="BX161" s="54">
        <v>0</v>
      </c>
      <c r="BY161" s="310">
        <v>0</v>
      </c>
      <c r="BZ161" s="311">
        <v>0</v>
      </c>
      <c r="CA161" s="311">
        <v>0</v>
      </c>
      <c r="CB161" s="311">
        <v>0</v>
      </c>
      <c r="CC161" s="311">
        <v>0</v>
      </c>
      <c r="CD161" s="312">
        <v>0</v>
      </c>
    </row>
    <row r="162" spans="1:86" x14ac:dyDescent="0.35">
      <c r="A162" s="77" t="s">
        <v>147</v>
      </c>
      <c r="B162" s="4" t="s">
        <v>90</v>
      </c>
      <c r="C162" s="4" t="s">
        <v>148</v>
      </c>
      <c r="D162" s="4" t="s">
        <v>149</v>
      </c>
      <c r="E162" s="50"/>
      <c r="F162" s="50"/>
      <c r="G162" s="50"/>
      <c r="H162" s="212"/>
      <c r="I162" s="212"/>
      <c r="J162" s="212"/>
      <c r="K162" s="212"/>
      <c r="N162" s="50"/>
      <c r="W162" s="54">
        <v>0</v>
      </c>
      <c r="X162" s="54">
        <v>0</v>
      </c>
      <c r="Y162" s="54">
        <v>0</v>
      </c>
      <c r="Z162" s="54">
        <v>0</v>
      </c>
      <c r="AA162" s="54">
        <v>0</v>
      </c>
      <c r="AB162" s="54">
        <v>0</v>
      </c>
      <c r="AC162" s="54">
        <v>0</v>
      </c>
      <c r="AD162" s="54">
        <v>0</v>
      </c>
      <c r="AE162" s="219">
        <v>0</v>
      </c>
      <c r="AF162" s="54">
        <v>0</v>
      </c>
      <c r="AG162" s="54">
        <v>0</v>
      </c>
      <c r="AH162" s="54">
        <v>0</v>
      </c>
      <c r="AI162" s="54">
        <v>0</v>
      </c>
      <c r="AJ162" s="54">
        <v>0</v>
      </c>
      <c r="AK162" s="54">
        <v>0</v>
      </c>
      <c r="AL162" s="54">
        <v>0</v>
      </c>
      <c r="AM162" s="54">
        <v>0</v>
      </c>
      <c r="AN162" s="219">
        <v>0</v>
      </c>
      <c r="AO162" s="54">
        <v>0</v>
      </c>
      <c r="AP162" s="54">
        <v>0</v>
      </c>
      <c r="AQ162" s="54">
        <v>0</v>
      </c>
      <c r="AR162" s="54">
        <v>0</v>
      </c>
      <c r="AS162" s="54">
        <v>0</v>
      </c>
      <c r="AT162" s="54">
        <v>0</v>
      </c>
      <c r="AU162" s="54">
        <v>0</v>
      </c>
      <c r="AV162" s="54">
        <v>0</v>
      </c>
      <c r="AW162" s="219">
        <v>0</v>
      </c>
      <c r="AX162" s="54">
        <v>0</v>
      </c>
      <c r="AY162" s="54">
        <v>0</v>
      </c>
      <c r="AZ162" s="54">
        <v>0</v>
      </c>
      <c r="BA162" s="54">
        <v>0</v>
      </c>
      <c r="BB162" s="54">
        <v>0</v>
      </c>
      <c r="BC162" s="54">
        <v>0</v>
      </c>
      <c r="BD162" s="54">
        <v>0</v>
      </c>
      <c r="BE162" s="54">
        <v>0</v>
      </c>
      <c r="BF162" s="219">
        <v>0</v>
      </c>
      <c r="BG162" s="54">
        <v>0</v>
      </c>
      <c r="BH162" s="54">
        <v>0</v>
      </c>
      <c r="BI162" s="54">
        <v>0</v>
      </c>
      <c r="BJ162" s="54">
        <v>0</v>
      </c>
      <c r="BK162" s="54">
        <v>0</v>
      </c>
      <c r="BL162" s="54">
        <v>0</v>
      </c>
      <c r="BM162" s="54">
        <v>0</v>
      </c>
      <c r="BN162" s="54">
        <v>0</v>
      </c>
      <c r="BO162" s="219">
        <v>0</v>
      </c>
      <c r="BP162" s="54">
        <v>0</v>
      </c>
      <c r="BQ162" s="54">
        <v>0</v>
      </c>
      <c r="BR162" s="54">
        <v>0</v>
      </c>
      <c r="BS162" s="54">
        <v>0</v>
      </c>
      <c r="BT162" s="54">
        <v>0</v>
      </c>
      <c r="BU162" s="54">
        <v>0</v>
      </c>
      <c r="BV162" s="54">
        <v>0</v>
      </c>
      <c r="BW162" s="54">
        <v>0</v>
      </c>
      <c r="BX162" s="54">
        <v>0</v>
      </c>
      <c r="BY162" s="310">
        <v>0</v>
      </c>
      <c r="BZ162" s="311">
        <v>0</v>
      </c>
      <c r="CA162" s="311">
        <v>0</v>
      </c>
      <c r="CB162" s="311">
        <v>0</v>
      </c>
      <c r="CC162" s="311">
        <v>0</v>
      </c>
      <c r="CD162" s="312">
        <v>0</v>
      </c>
    </row>
    <row r="163" spans="1:86" ht="15" thickBot="1" x14ac:dyDescent="0.4">
      <c r="A163" t="s">
        <v>150</v>
      </c>
      <c r="B163" s="4" t="s">
        <v>90</v>
      </c>
      <c r="C163" s="4" t="s">
        <v>148</v>
      </c>
      <c r="D163" s="4" t="s">
        <v>151</v>
      </c>
      <c r="E163" s="50"/>
      <c r="F163" s="50"/>
      <c r="G163" s="50"/>
      <c r="H163" s="212"/>
      <c r="I163" s="212"/>
      <c r="J163" s="212"/>
      <c r="K163" s="212"/>
      <c r="N163" s="50"/>
      <c r="W163" s="221">
        <v>0</v>
      </c>
      <c r="X163" s="221">
        <v>0</v>
      </c>
      <c r="Y163" s="221">
        <v>0</v>
      </c>
      <c r="Z163" s="221">
        <v>0</v>
      </c>
      <c r="AA163" s="221">
        <v>0</v>
      </c>
      <c r="AB163" s="221">
        <v>0</v>
      </c>
      <c r="AC163" s="221">
        <v>0</v>
      </c>
      <c r="AD163" s="221">
        <v>0</v>
      </c>
      <c r="AE163" s="222">
        <v>0</v>
      </c>
      <c r="AF163" s="221">
        <v>0</v>
      </c>
      <c r="AG163" s="221">
        <v>0</v>
      </c>
      <c r="AH163" s="221">
        <v>0</v>
      </c>
      <c r="AI163" s="221">
        <v>0</v>
      </c>
      <c r="AJ163" s="221">
        <v>0</v>
      </c>
      <c r="AK163" s="221">
        <v>0</v>
      </c>
      <c r="AL163" s="221">
        <v>0</v>
      </c>
      <c r="AM163" s="221">
        <v>0</v>
      </c>
      <c r="AN163" s="222">
        <v>0</v>
      </c>
      <c r="AO163" s="221">
        <v>0</v>
      </c>
      <c r="AP163" s="221">
        <v>0</v>
      </c>
      <c r="AQ163" s="221">
        <v>0</v>
      </c>
      <c r="AR163" s="221">
        <v>0</v>
      </c>
      <c r="AS163" s="221">
        <v>0</v>
      </c>
      <c r="AT163" s="221">
        <v>0</v>
      </c>
      <c r="AU163" s="221">
        <v>0</v>
      </c>
      <c r="AV163" s="221">
        <v>0</v>
      </c>
      <c r="AW163" s="222">
        <v>0</v>
      </c>
      <c r="AX163" s="221">
        <v>0</v>
      </c>
      <c r="AY163" s="221">
        <v>0</v>
      </c>
      <c r="AZ163" s="221">
        <v>0</v>
      </c>
      <c r="BA163" s="221">
        <v>0</v>
      </c>
      <c r="BB163" s="221">
        <v>0</v>
      </c>
      <c r="BC163" s="221">
        <v>0</v>
      </c>
      <c r="BD163" s="221">
        <v>0</v>
      </c>
      <c r="BE163" s="221">
        <v>0</v>
      </c>
      <c r="BF163" s="222">
        <v>0</v>
      </c>
      <c r="BG163" s="221">
        <v>0</v>
      </c>
      <c r="BH163" s="221">
        <v>0</v>
      </c>
      <c r="BI163" s="221">
        <v>0</v>
      </c>
      <c r="BJ163" s="221">
        <v>0</v>
      </c>
      <c r="BK163" s="221">
        <v>0</v>
      </c>
      <c r="BL163" s="221">
        <v>0</v>
      </c>
      <c r="BM163" s="221">
        <v>0</v>
      </c>
      <c r="BN163" s="221">
        <v>0</v>
      </c>
      <c r="BO163" s="222">
        <v>0</v>
      </c>
      <c r="BP163" s="221">
        <v>0</v>
      </c>
      <c r="BQ163" s="221">
        <v>0</v>
      </c>
      <c r="BR163" s="221">
        <v>0</v>
      </c>
      <c r="BS163" s="221">
        <v>0</v>
      </c>
      <c r="BT163" s="221">
        <v>0</v>
      </c>
      <c r="BU163" s="221">
        <v>0</v>
      </c>
      <c r="BV163" s="221">
        <v>0</v>
      </c>
      <c r="BW163" s="221">
        <v>0</v>
      </c>
      <c r="BX163" s="221">
        <v>0</v>
      </c>
      <c r="BY163" s="317">
        <v>0</v>
      </c>
      <c r="BZ163" s="318">
        <v>0</v>
      </c>
      <c r="CA163" s="318">
        <v>0</v>
      </c>
      <c r="CB163" s="318">
        <v>0</v>
      </c>
      <c r="CC163" s="318">
        <v>0</v>
      </c>
      <c r="CD163" s="319">
        <v>0</v>
      </c>
    </row>
    <row r="164" spans="1:86" x14ac:dyDescent="0.35">
      <c r="A164" t="s">
        <v>144</v>
      </c>
      <c r="B164" s="4" t="s">
        <v>91</v>
      </c>
      <c r="C164" s="4" t="s">
        <v>145</v>
      </c>
      <c r="D164" s="4" t="s">
        <v>146</v>
      </c>
      <c r="E164" s="50"/>
      <c r="F164" s="50"/>
      <c r="G164" s="50"/>
      <c r="H164" s="212"/>
      <c r="I164" s="212"/>
      <c r="J164" s="212"/>
      <c r="K164" s="212"/>
      <c r="N164" s="50"/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54">
        <v>0</v>
      </c>
      <c r="AD164" s="54">
        <v>0</v>
      </c>
      <c r="AE164" s="219">
        <v>0</v>
      </c>
      <c r="AF164" s="54">
        <v>0</v>
      </c>
      <c r="AG164" s="54">
        <v>0</v>
      </c>
      <c r="AH164" s="54">
        <v>0</v>
      </c>
      <c r="AI164" s="54">
        <v>0</v>
      </c>
      <c r="AJ164" s="54">
        <v>0</v>
      </c>
      <c r="AK164" s="54">
        <v>0</v>
      </c>
      <c r="AL164" s="54">
        <v>0</v>
      </c>
      <c r="AM164" s="54">
        <v>0</v>
      </c>
      <c r="AN164" s="219">
        <v>0</v>
      </c>
      <c r="AO164" s="54">
        <v>0</v>
      </c>
      <c r="AP164" s="54">
        <v>0</v>
      </c>
      <c r="AQ164" s="54">
        <v>0</v>
      </c>
      <c r="AR164" s="54">
        <v>0</v>
      </c>
      <c r="AS164" s="54">
        <v>0</v>
      </c>
      <c r="AT164" s="54">
        <v>0</v>
      </c>
      <c r="AU164" s="54">
        <v>0</v>
      </c>
      <c r="AV164" s="54">
        <v>0</v>
      </c>
      <c r="AW164" s="219">
        <v>0</v>
      </c>
      <c r="AX164" s="54">
        <v>0</v>
      </c>
      <c r="AY164" s="54">
        <v>0</v>
      </c>
      <c r="AZ164" s="54">
        <v>0</v>
      </c>
      <c r="BA164" s="54">
        <v>0</v>
      </c>
      <c r="BB164" s="54">
        <v>0</v>
      </c>
      <c r="BC164" s="54">
        <v>0</v>
      </c>
      <c r="BD164" s="54">
        <v>0</v>
      </c>
      <c r="BE164" s="54">
        <v>0</v>
      </c>
      <c r="BF164" s="219">
        <v>0</v>
      </c>
      <c r="BG164" s="54">
        <v>0</v>
      </c>
      <c r="BH164" s="54">
        <v>0</v>
      </c>
      <c r="BI164" s="54">
        <v>0</v>
      </c>
      <c r="BJ164" s="54">
        <v>0</v>
      </c>
      <c r="BK164" s="54">
        <v>0</v>
      </c>
      <c r="BL164" s="54">
        <v>0</v>
      </c>
      <c r="BM164" s="54">
        <v>0</v>
      </c>
      <c r="BN164" s="54">
        <v>0</v>
      </c>
      <c r="BO164" s="219">
        <v>0</v>
      </c>
      <c r="BP164" s="54">
        <v>0</v>
      </c>
      <c r="BQ164" s="54">
        <v>0</v>
      </c>
      <c r="BR164" s="54">
        <v>0</v>
      </c>
      <c r="BS164" s="54">
        <v>0</v>
      </c>
      <c r="BT164" s="54">
        <v>0</v>
      </c>
      <c r="BU164" s="54">
        <v>0</v>
      </c>
      <c r="BV164" s="54">
        <v>0</v>
      </c>
      <c r="BW164" s="54">
        <v>0</v>
      </c>
      <c r="BX164" s="54">
        <v>0</v>
      </c>
      <c r="BY164" s="310">
        <v>0</v>
      </c>
      <c r="BZ164" s="311">
        <v>0</v>
      </c>
      <c r="CA164" s="311">
        <v>0</v>
      </c>
      <c r="CB164" s="311">
        <v>0</v>
      </c>
      <c r="CC164" s="311">
        <v>0</v>
      </c>
      <c r="CD164" s="312">
        <v>0</v>
      </c>
    </row>
    <row r="165" spans="1:86" x14ac:dyDescent="0.35">
      <c r="A165" s="77" t="s">
        <v>147</v>
      </c>
      <c r="B165" s="4" t="s">
        <v>91</v>
      </c>
      <c r="C165" s="4" t="s">
        <v>148</v>
      </c>
      <c r="D165" s="4" t="s">
        <v>149</v>
      </c>
      <c r="E165" s="50"/>
      <c r="F165" s="50"/>
      <c r="G165" s="50"/>
      <c r="H165" s="212"/>
      <c r="I165" s="212"/>
      <c r="J165" s="212"/>
      <c r="K165" s="212"/>
      <c r="N165" s="50"/>
      <c r="W165" s="54">
        <v>0</v>
      </c>
      <c r="X165" s="54">
        <v>0</v>
      </c>
      <c r="Y165" s="54">
        <v>0</v>
      </c>
      <c r="Z165" s="54">
        <v>0</v>
      </c>
      <c r="AA165" s="54">
        <v>0</v>
      </c>
      <c r="AB165" s="54">
        <v>0</v>
      </c>
      <c r="AC165" s="54">
        <v>0</v>
      </c>
      <c r="AD165" s="54">
        <v>0</v>
      </c>
      <c r="AE165" s="219">
        <v>0</v>
      </c>
      <c r="AF165" s="54">
        <v>0</v>
      </c>
      <c r="AG165" s="54">
        <v>0</v>
      </c>
      <c r="AH165" s="54">
        <v>0</v>
      </c>
      <c r="AI165" s="54">
        <v>0</v>
      </c>
      <c r="AJ165" s="54">
        <v>0</v>
      </c>
      <c r="AK165" s="54">
        <v>0</v>
      </c>
      <c r="AL165" s="54">
        <v>0</v>
      </c>
      <c r="AM165" s="54">
        <v>0</v>
      </c>
      <c r="AN165" s="219">
        <v>0</v>
      </c>
      <c r="AO165" s="54">
        <v>0</v>
      </c>
      <c r="AP165" s="54">
        <v>0</v>
      </c>
      <c r="AQ165" s="54">
        <v>0</v>
      </c>
      <c r="AR165" s="54">
        <v>0</v>
      </c>
      <c r="AS165" s="54">
        <v>0</v>
      </c>
      <c r="AT165" s="54">
        <v>0</v>
      </c>
      <c r="AU165" s="54">
        <v>0</v>
      </c>
      <c r="AV165" s="54">
        <v>0</v>
      </c>
      <c r="AW165" s="219">
        <v>0</v>
      </c>
      <c r="AX165" s="54">
        <v>0</v>
      </c>
      <c r="AY165" s="54">
        <v>0</v>
      </c>
      <c r="AZ165" s="54">
        <v>0</v>
      </c>
      <c r="BA165" s="54">
        <v>0</v>
      </c>
      <c r="BB165" s="54">
        <v>0</v>
      </c>
      <c r="BC165" s="54">
        <v>0</v>
      </c>
      <c r="BD165" s="54">
        <v>0</v>
      </c>
      <c r="BE165" s="54">
        <v>0</v>
      </c>
      <c r="BF165" s="219">
        <v>0</v>
      </c>
      <c r="BG165" s="54">
        <v>0</v>
      </c>
      <c r="BH165" s="54">
        <v>0</v>
      </c>
      <c r="BI165" s="54">
        <v>0</v>
      </c>
      <c r="BJ165" s="54">
        <v>0</v>
      </c>
      <c r="BK165" s="54">
        <v>0</v>
      </c>
      <c r="BL165" s="54">
        <v>0</v>
      </c>
      <c r="BM165" s="54">
        <v>0</v>
      </c>
      <c r="BN165" s="54">
        <v>0</v>
      </c>
      <c r="BO165" s="219">
        <v>0</v>
      </c>
      <c r="BP165" s="54">
        <v>0</v>
      </c>
      <c r="BQ165" s="54">
        <v>0</v>
      </c>
      <c r="BR165" s="54">
        <v>0</v>
      </c>
      <c r="BS165" s="54">
        <v>0</v>
      </c>
      <c r="BT165" s="54">
        <v>0</v>
      </c>
      <c r="BU165" s="54">
        <v>0</v>
      </c>
      <c r="BV165" s="54">
        <v>0</v>
      </c>
      <c r="BW165" s="54">
        <v>0</v>
      </c>
      <c r="BX165" s="54">
        <v>0</v>
      </c>
      <c r="BY165" s="310">
        <v>0</v>
      </c>
      <c r="BZ165" s="311">
        <v>0</v>
      </c>
      <c r="CA165" s="311">
        <v>0</v>
      </c>
      <c r="CB165" s="311">
        <v>0</v>
      </c>
      <c r="CC165" s="311">
        <v>0</v>
      </c>
      <c r="CD165" s="312">
        <v>0</v>
      </c>
    </row>
    <row r="166" spans="1:86" ht="15" thickBot="1" x14ac:dyDescent="0.4">
      <c r="A166" t="s">
        <v>150</v>
      </c>
      <c r="B166" s="4" t="s">
        <v>91</v>
      </c>
      <c r="C166" s="4" t="s">
        <v>148</v>
      </c>
      <c r="D166" s="4" t="s">
        <v>151</v>
      </c>
      <c r="E166" s="50"/>
      <c r="F166" s="50"/>
      <c r="G166" s="50"/>
      <c r="H166" s="212"/>
      <c r="I166" s="212"/>
      <c r="J166" s="212"/>
      <c r="K166" s="212"/>
      <c r="N166" s="50"/>
      <c r="W166" s="221">
        <v>0</v>
      </c>
      <c r="X166" s="221">
        <v>0</v>
      </c>
      <c r="Y166" s="221">
        <v>0</v>
      </c>
      <c r="Z166" s="221">
        <v>0</v>
      </c>
      <c r="AA166" s="221">
        <v>0</v>
      </c>
      <c r="AB166" s="221">
        <v>0</v>
      </c>
      <c r="AC166" s="221">
        <v>0</v>
      </c>
      <c r="AD166" s="221">
        <v>0</v>
      </c>
      <c r="AE166" s="222">
        <v>0</v>
      </c>
      <c r="AF166" s="221">
        <v>0</v>
      </c>
      <c r="AG166" s="221">
        <v>0</v>
      </c>
      <c r="AH166" s="221">
        <v>0</v>
      </c>
      <c r="AI166" s="221">
        <v>0</v>
      </c>
      <c r="AJ166" s="221">
        <v>0</v>
      </c>
      <c r="AK166" s="221">
        <v>0</v>
      </c>
      <c r="AL166" s="221">
        <v>0</v>
      </c>
      <c r="AM166" s="221">
        <v>0</v>
      </c>
      <c r="AN166" s="222">
        <v>0</v>
      </c>
      <c r="AO166" s="221">
        <v>0</v>
      </c>
      <c r="AP166" s="221">
        <v>0</v>
      </c>
      <c r="AQ166" s="221">
        <v>0</v>
      </c>
      <c r="AR166" s="221">
        <v>0</v>
      </c>
      <c r="AS166" s="221">
        <v>0</v>
      </c>
      <c r="AT166" s="221">
        <v>0</v>
      </c>
      <c r="AU166" s="221">
        <v>0</v>
      </c>
      <c r="AV166" s="221">
        <v>0</v>
      </c>
      <c r="AW166" s="222">
        <v>0</v>
      </c>
      <c r="AX166" s="221">
        <v>0</v>
      </c>
      <c r="AY166" s="221">
        <v>0</v>
      </c>
      <c r="AZ166" s="221">
        <v>0</v>
      </c>
      <c r="BA166" s="221">
        <v>0</v>
      </c>
      <c r="BB166" s="221">
        <v>0</v>
      </c>
      <c r="BC166" s="221">
        <v>0</v>
      </c>
      <c r="BD166" s="221">
        <v>0</v>
      </c>
      <c r="BE166" s="221">
        <v>0</v>
      </c>
      <c r="BF166" s="222">
        <v>0</v>
      </c>
      <c r="BG166" s="221">
        <v>0</v>
      </c>
      <c r="BH166" s="221">
        <v>0</v>
      </c>
      <c r="BI166" s="221">
        <v>0</v>
      </c>
      <c r="BJ166" s="221">
        <v>0</v>
      </c>
      <c r="BK166" s="221">
        <v>0</v>
      </c>
      <c r="BL166" s="221">
        <v>0</v>
      </c>
      <c r="BM166" s="221">
        <v>0</v>
      </c>
      <c r="BN166" s="221">
        <v>0</v>
      </c>
      <c r="BO166" s="222">
        <v>0</v>
      </c>
      <c r="BP166" s="221">
        <v>0</v>
      </c>
      <c r="BQ166" s="221">
        <v>0</v>
      </c>
      <c r="BR166" s="221">
        <v>0</v>
      </c>
      <c r="BS166" s="221">
        <v>0</v>
      </c>
      <c r="BT166" s="221">
        <v>0</v>
      </c>
      <c r="BU166" s="221">
        <v>0</v>
      </c>
      <c r="BV166" s="221">
        <v>0</v>
      </c>
      <c r="BW166" s="221">
        <v>0</v>
      </c>
      <c r="BX166" s="221">
        <v>0</v>
      </c>
      <c r="BY166" s="317">
        <v>0</v>
      </c>
      <c r="BZ166" s="318">
        <v>0</v>
      </c>
      <c r="CA166" s="318">
        <v>0</v>
      </c>
      <c r="CB166" s="318">
        <v>0</v>
      </c>
      <c r="CC166" s="318">
        <v>0</v>
      </c>
      <c r="CD166" s="319">
        <v>0</v>
      </c>
    </row>
    <row r="167" spans="1:86" x14ac:dyDescent="0.35">
      <c r="A167" t="s">
        <v>144</v>
      </c>
      <c r="B167" s="4" t="s">
        <v>92</v>
      </c>
      <c r="C167" s="4" t="s">
        <v>145</v>
      </c>
      <c r="D167" s="4" t="s">
        <v>146</v>
      </c>
      <c r="E167" s="50"/>
      <c r="F167" s="50"/>
      <c r="G167" s="50"/>
      <c r="H167" s="212"/>
      <c r="I167" s="212"/>
      <c r="J167" s="212"/>
      <c r="K167" s="212"/>
      <c r="N167" s="50"/>
      <c r="W167" s="54">
        <v>0</v>
      </c>
      <c r="X167" s="54">
        <v>0</v>
      </c>
      <c r="Y167" s="54">
        <v>0</v>
      </c>
      <c r="Z167" s="54">
        <v>0</v>
      </c>
      <c r="AA167" s="54">
        <v>0</v>
      </c>
      <c r="AB167" s="54">
        <v>0</v>
      </c>
      <c r="AC167" s="54">
        <v>0</v>
      </c>
      <c r="AD167" s="54">
        <v>0</v>
      </c>
      <c r="AE167" s="219">
        <v>0</v>
      </c>
      <c r="AF167" s="54">
        <v>0</v>
      </c>
      <c r="AG167" s="54">
        <v>0</v>
      </c>
      <c r="AH167" s="54">
        <v>0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219">
        <v>0</v>
      </c>
      <c r="AO167" s="54">
        <v>0</v>
      </c>
      <c r="AP167" s="54">
        <v>0</v>
      </c>
      <c r="AQ167" s="54">
        <v>0</v>
      </c>
      <c r="AR167" s="54">
        <v>0</v>
      </c>
      <c r="AS167" s="54">
        <v>0</v>
      </c>
      <c r="AT167" s="54">
        <v>0</v>
      </c>
      <c r="AU167" s="54">
        <v>0</v>
      </c>
      <c r="AV167" s="54">
        <v>0</v>
      </c>
      <c r="AW167" s="219">
        <v>0</v>
      </c>
      <c r="AX167" s="54">
        <v>0</v>
      </c>
      <c r="AY167" s="54">
        <v>0</v>
      </c>
      <c r="AZ167" s="54">
        <v>0</v>
      </c>
      <c r="BA167" s="54">
        <v>0</v>
      </c>
      <c r="BB167" s="54">
        <v>0</v>
      </c>
      <c r="BC167" s="54">
        <v>0</v>
      </c>
      <c r="BD167" s="54">
        <v>0</v>
      </c>
      <c r="BE167" s="54">
        <v>0</v>
      </c>
      <c r="BF167" s="219">
        <v>0</v>
      </c>
      <c r="BG167" s="54">
        <v>0</v>
      </c>
      <c r="BH167" s="54">
        <v>0</v>
      </c>
      <c r="BI167" s="54">
        <v>0</v>
      </c>
      <c r="BJ167" s="54">
        <v>0</v>
      </c>
      <c r="BK167" s="54">
        <v>0</v>
      </c>
      <c r="BL167" s="54">
        <v>0</v>
      </c>
      <c r="BM167" s="54">
        <v>0</v>
      </c>
      <c r="BN167" s="54">
        <v>0</v>
      </c>
      <c r="BO167" s="219">
        <v>0</v>
      </c>
      <c r="BP167" s="54">
        <v>0</v>
      </c>
      <c r="BQ167" s="54">
        <v>0</v>
      </c>
      <c r="BR167" s="54">
        <v>0</v>
      </c>
      <c r="BS167" s="54">
        <v>0</v>
      </c>
      <c r="BT167" s="54">
        <v>0</v>
      </c>
      <c r="BU167" s="54">
        <v>0</v>
      </c>
      <c r="BV167" s="54">
        <v>0</v>
      </c>
      <c r="BW167" s="54">
        <v>0</v>
      </c>
      <c r="BX167" s="54">
        <v>0</v>
      </c>
      <c r="BY167" s="310">
        <v>0</v>
      </c>
      <c r="BZ167" s="311">
        <v>0</v>
      </c>
      <c r="CA167" s="311">
        <v>0</v>
      </c>
      <c r="CB167" s="311">
        <v>0</v>
      </c>
      <c r="CC167" s="311">
        <v>0</v>
      </c>
      <c r="CD167" s="312">
        <v>0</v>
      </c>
    </row>
    <row r="168" spans="1:86" x14ac:dyDescent="0.35">
      <c r="A168" s="77" t="s">
        <v>147</v>
      </c>
      <c r="B168" s="4" t="s">
        <v>92</v>
      </c>
      <c r="C168" s="4" t="s">
        <v>148</v>
      </c>
      <c r="D168" s="4" t="s">
        <v>149</v>
      </c>
      <c r="E168" s="50"/>
      <c r="F168" s="50"/>
      <c r="G168" s="50"/>
      <c r="H168" s="212"/>
      <c r="I168" s="212"/>
      <c r="J168" s="212"/>
      <c r="K168" s="212"/>
      <c r="N168" s="50"/>
      <c r="W168" s="54">
        <v>0</v>
      </c>
      <c r="X168" s="54">
        <v>0</v>
      </c>
      <c r="Y168" s="54">
        <v>0</v>
      </c>
      <c r="Z168" s="54">
        <v>0</v>
      </c>
      <c r="AA168" s="54">
        <v>0</v>
      </c>
      <c r="AB168" s="54">
        <v>0</v>
      </c>
      <c r="AC168" s="54">
        <v>0</v>
      </c>
      <c r="AD168" s="54">
        <v>0</v>
      </c>
      <c r="AE168" s="219">
        <v>0</v>
      </c>
      <c r="AF168" s="54">
        <v>0</v>
      </c>
      <c r="AG168" s="54">
        <v>0</v>
      </c>
      <c r="AH168" s="54">
        <v>0</v>
      </c>
      <c r="AI168" s="54">
        <v>0</v>
      </c>
      <c r="AJ168" s="54">
        <v>0</v>
      </c>
      <c r="AK168" s="54">
        <v>0</v>
      </c>
      <c r="AL168" s="54">
        <v>0</v>
      </c>
      <c r="AM168" s="54">
        <v>0</v>
      </c>
      <c r="AN168" s="219">
        <v>0</v>
      </c>
      <c r="AO168" s="54">
        <v>0</v>
      </c>
      <c r="AP168" s="54">
        <v>0</v>
      </c>
      <c r="AQ168" s="54">
        <v>0</v>
      </c>
      <c r="AR168" s="54">
        <v>0</v>
      </c>
      <c r="AS168" s="54">
        <v>0</v>
      </c>
      <c r="AT168" s="54">
        <v>0</v>
      </c>
      <c r="AU168" s="54">
        <v>0</v>
      </c>
      <c r="AV168" s="54">
        <v>0</v>
      </c>
      <c r="AW168" s="219">
        <v>0</v>
      </c>
      <c r="AX168" s="54">
        <v>0</v>
      </c>
      <c r="AY168" s="54">
        <v>0</v>
      </c>
      <c r="AZ168" s="54">
        <v>0</v>
      </c>
      <c r="BA168" s="54">
        <v>0</v>
      </c>
      <c r="BB168" s="54">
        <v>0</v>
      </c>
      <c r="BC168" s="54">
        <v>0</v>
      </c>
      <c r="BD168" s="54">
        <v>0</v>
      </c>
      <c r="BE168" s="54">
        <v>0</v>
      </c>
      <c r="BF168" s="219">
        <v>0</v>
      </c>
      <c r="BG168" s="54">
        <v>0</v>
      </c>
      <c r="BH168" s="54">
        <v>0</v>
      </c>
      <c r="BI168" s="54">
        <v>0</v>
      </c>
      <c r="BJ168" s="54">
        <v>0</v>
      </c>
      <c r="BK168" s="54">
        <v>0</v>
      </c>
      <c r="BL168" s="54">
        <v>0</v>
      </c>
      <c r="BM168" s="54">
        <v>0</v>
      </c>
      <c r="BN168" s="54">
        <v>0</v>
      </c>
      <c r="BO168" s="219">
        <v>0</v>
      </c>
      <c r="BP168" s="54">
        <v>0</v>
      </c>
      <c r="BQ168" s="54">
        <v>0</v>
      </c>
      <c r="BR168" s="54">
        <v>0</v>
      </c>
      <c r="BS168" s="54">
        <v>0</v>
      </c>
      <c r="BT168" s="54">
        <v>0</v>
      </c>
      <c r="BU168" s="54">
        <v>0</v>
      </c>
      <c r="BV168" s="54">
        <v>0</v>
      </c>
      <c r="BW168" s="54">
        <v>0</v>
      </c>
      <c r="BX168" s="54">
        <v>0</v>
      </c>
      <c r="BY168" s="310">
        <v>0</v>
      </c>
      <c r="BZ168" s="311">
        <v>0</v>
      </c>
      <c r="CA168" s="311">
        <v>0</v>
      </c>
      <c r="CB168" s="311">
        <v>0</v>
      </c>
      <c r="CC168" s="311">
        <v>0</v>
      </c>
      <c r="CD168" s="312">
        <v>0</v>
      </c>
    </row>
    <row r="169" spans="1:86" ht="15" thickBot="1" x14ac:dyDescent="0.4">
      <c r="A169" t="s">
        <v>150</v>
      </c>
      <c r="B169" s="4" t="s">
        <v>92</v>
      </c>
      <c r="C169" s="4" t="s">
        <v>148</v>
      </c>
      <c r="D169" s="4" t="s">
        <v>151</v>
      </c>
      <c r="J169" s="224"/>
      <c r="W169" s="221">
        <v>0</v>
      </c>
      <c r="X169" s="221">
        <v>0</v>
      </c>
      <c r="Y169" s="221">
        <v>0</v>
      </c>
      <c r="Z169" s="221">
        <v>0</v>
      </c>
      <c r="AA169" s="221">
        <v>0</v>
      </c>
      <c r="AB169" s="221">
        <v>0</v>
      </c>
      <c r="AC169" s="221">
        <v>0</v>
      </c>
      <c r="AD169" s="221">
        <v>0</v>
      </c>
      <c r="AE169" s="222">
        <v>0</v>
      </c>
      <c r="AF169" s="221">
        <v>0</v>
      </c>
      <c r="AG169" s="221">
        <v>0</v>
      </c>
      <c r="AH169" s="221">
        <v>0</v>
      </c>
      <c r="AI169" s="221">
        <v>0</v>
      </c>
      <c r="AJ169" s="221">
        <v>0</v>
      </c>
      <c r="AK169" s="221">
        <v>0</v>
      </c>
      <c r="AL169" s="221">
        <v>0</v>
      </c>
      <c r="AM169" s="221">
        <v>0</v>
      </c>
      <c r="AN169" s="222">
        <v>0</v>
      </c>
      <c r="AO169" s="221">
        <v>0</v>
      </c>
      <c r="AP169" s="221">
        <v>0</v>
      </c>
      <c r="AQ169" s="221">
        <v>0</v>
      </c>
      <c r="AR169" s="221">
        <v>0</v>
      </c>
      <c r="AS169" s="221">
        <v>0</v>
      </c>
      <c r="AT169" s="221">
        <v>0</v>
      </c>
      <c r="AU169" s="221">
        <v>0</v>
      </c>
      <c r="AV169" s="221">
        <v>0</v>
      </c>
      <c r="AW169" s="222">
        <v>0</v>
      </c>
      <c r="AX169" s="221">
        <v>0</v>
      </c>
      <c r="AY169" s="221">
        <v>0</v>
      </c>
      <c r="AZ169" s="221">
        <v>0</v>
      </c>
      <c r="BA169" s="221">
        <v>0</v>
      </c>
      <c r="BB169" s="221">
        <v>0</v>
      </c>
      <c r="BC169" s="221">
        <v>0</v>
      </c>
      <c r="BD169" s="221">
        <v>0</v>
      </c>
      <c r="BE169" s="221">
        <v>0</v>
      </c>
      <c r="BF169" s="222">
        <v>0</v>
      </c>
      <c r="BG169" s="221">
        <v>0</v>
      </c>
      <c r="BH169" s="221">
        <v>0</v>
      </c>
      <c r="BI169" s="221">
        <v>0</v>
      </c>
      <c r="BJ169" s="221">
        <v>0</v>
      </c>
      <c r="BK169" s="221">
        <v>0</v>
      </c>
      <c r="BL169" s="221">
        <v>0</v>
      </c>
      <c r="BM169" s="221">
        <v>0</v>
      </c>
      <c r="BN169" s="221">
        <v>0</v>
      </c>
      <c r="BO169" s="222">
        <v>0</v>
      </c>
      <c r="BP169" s="221">
        <v>0</v>
      </c>
      <c r="BQ169" s="221">
        <v>0</v>
      </c>
      <c r="BR169" s="221">
        <v>0</v>
      </c>
      <c r="BS169" s="221">
        <v>0</v>
      </c>
      <c r="BT169" s="221">
        <v>0</v>
      </c>
      <c r="BU169" s="221">
        <v>0</v>
      </c>
      <c r="BV169" s="221">
        <v>0</v>
      </c>
      <c r="BW169" s="221">
        <v>0</v>
      </c>
      <c r="BX169" s="221">
        <v>0</v>
      </c>
      <c r="BY169" s="317">
        <v>0</v>
      </c>
      <c r="BZ169" s="318">
        <v>0</v>
      </c>
      <c r="CA169" s="318">
        <v>0</v>
      </c>
      <c r="CB169" s="318">
        <v>0</v>
      </c>
      <c r="CC169" s="318">
        <v>0</v>
      </c>
      <c r="CD169" s="319">
        <v>0</v>
      </c>
    </row>
    <row r="170" spans="1:86" x14ac:dyDescent="0.35">
      <c r="A170" t="s">
        <v>144</v>
      </c>
      <c r="B170" s="4" t="s">
        <v>93</v>
      </c>
      <c r="C170" s="4" t="s">
        <v>145</v>
      </c>
      <c r="D170" s="4" t="s">
        <v>146</v>
      </c>
      <c r="E170" s="76"/>
      <c r="F170" s="76"/>
      <c r="G170" s="76"/>
      <c r="H170" s="76"/>
      <c r="I170" s="76"/>
      <c r="J170" s="225"/>
      <c r="W170" s="54">
        <v>0</v>
      </c>
      <c r="X170" s="54">
        <v>0</v>
      </c>
      <c r="Y170" s="54">
        <v>0</v>
      </c>
      <c r="Z170" s="54">
        <v>0</v>
      </c>
      <c r="AA170" s="54">
        <v>0</v>
      </c>
      <c r="AB170" s="54">
        <v>0</v>
      </c>
      <c r="AC170" s="54">
        <v>0</v>
      </c>
      <c r="AD170" s="54">
        <v>0</v>
      </c>
      <c r="AE170" s="219">
        <v>0</v>
      </c>
      <c r="AF170" s="54">
        <v>0</v>
      </c>
      <c r="AG170" s="54">
        <v>0</v>
      </c>
      <c r="AH170" s="54">
        <v>0</v>
      </c>
      <c r="AI170" s="54">
        <v>0</v>
      </c>
      <c r="AJ170" s="54">
        <v>0</v>
      </c>
      <c r="AK170" s="54">
        <v>0</v>
      </c>
      <c r="AL170" s="54">
        <v>0</v>
      </c>
      <c r="AM170" s="54">
        <v>0</v>
      </c>
      <c r="AN170" s="219">
        <v>0</v>
      </c>
      <c r="AO170" s="54">
        <v>0</v>
      </c>
      <c r="AP170" s="54">
        <v>0</v>
      </c>
      <c r="AQ170" s="54">
        <v>0</v>
      </c>
      <c r="AR170" s="54">
        <v>0</v>
      </c>
      <c r="AS170" s="54">
        <v>0</v>
      </c>
      <c r="AT170" s="54">
        <v>0</v>
      </c>
      <c r="AU170" s="54">
        <v>0</v>
      </c>
      <c r="AV170" s="54">
        <v>0</v>
      </c>
      <c r="AW170" s="219">
        <v>0</v>
      </c>
      <c r="AX170" s="54">
        <v>0</v>
      </c>
      <c r="AY170" s="54">
        <v>0</v>
      </c>
      <c r="AZ170" s="54">
        <v>0</v>
      </c>
      <c r="BA170" s="54">
        <v>0</v>
      </c>
      <c r="BB170" s="54">
        <v>0</v>
      </c>
      <c r="BC170" s="54">
        <v>0</v>
      </c>
      <c r="BD170" s="54">
        <v>0</v>
      </c>
      <c r="BE170" s="54">
        <v>0</v>
      </c>
      <c r="BF170" s="219">
        <v>0</v>
      </c>
      <c r="BG170" s="54">
        <v>0</v>
      </c>
      <c r="BH170" s="54">
        <v>0</v>
      </c>
      <c r="BI170" s="54">
        <v>0</v>
      </c>
      <c r="BJ170" s="54">
        <v>0</v>
      </c>
      <c r="BK170" s="54">
        <v>0</v>
      </c>
      <c r="BL170" s="54">
        <v>0</v>
      </c>
      <c r="BM170" s="54">
        <v>0</v>
      </c>
      <c r="BN170" s="54">
        <v>0</v>
      </c>
      <c r="BO170" s="219">
        <v>0</v>
      </c>
      <c r="BP170" s="54">
        <v>0</v>
      </c>
      <c r="BQ170" s="54">
        <v>0</v>
      </c>
      <c r="BR170" s="54">
        <v>0</v>
      </c>
      <c r="BS170" s="54">
        <v>0</v>
      </c>
      <c r="BT170" s="54">
        <v>0</v>
      </c>
      <c r="BU170" s="54">
        <v>0</v>
      </c>
      <c r="BV170" s="54">
        <v>0</v>
      </c>
      <c r="BW170" s="54">
        <v>0</v>
      </c>
      <c r="BX170" s="54">
        <v>0</v>
      </c>
      <c r="BY170" s="310">
        <v>0</v>
      </c>
      <c r="BZ170" s="311">
        <v>0</v>
      </c>
      <c r="CA170" s="311">
        <v>0</v>
      </c>
      <c r="CB170" s="311">
        <v>0</v>
      </c>
      <c r="CC170" s="311">
        <v>0</v>
      </c>
      <c r="CD170" s="312">
        <v>0</v>
      </c>
    </row>
    <row r="171" spans="1:86" x14ac:dyDescent="0.35">
      <c r="A171" s="77" t="s">
        <v>147</v>
      </c>
      <c r="B171" s="4" t="s">
        <v>93</v>
      </c>
      <c r="C171" s="4" t="s">
        <v>148</v>
      </c>
      <c r="D171" s="4" t="s">
        <v>149</v>
      </c>
      <c r="E171" s="76"/>
      <c r="F171" s="76"/>
      <c r="G171" s="76"/>
      <c r="H171" s="76"/>
      <c r="I171" s="76"/>
      <c r="J171" s="225"/>
      <c r="W171" s="54">
        <v>0</v>
      </c>
      <c r="X171" s="54">
        <v>0</v>
      </c>
      <c r="Y171" s="54">
        <v>0</v>
      </c>
      <c r="Z171" s="54">
        <v>0</v>
      </c>
      <c r="AA171" s="54">
        <v>0</v>
      </c>
      <c r="AB171" s="54">
        <v>0</v>
      </c>
      <c r="AC171" s="54">
        <v>0</v>
      </c>
      <c r="AD171" s="54">
        <v>0</v>
      </c>
      <c r="AE171" s="219">
        <v>0</v>
      </c>
      <c r="AF171" s="54">
        <v>0</v>
      </c>
      <c r="AG171" s="54">
        <v>0</v>
      </c>
      <c r="AH171" s="54">
        <v>0</v>
      </c>
      <c r="AI171" s="54">
        <v>0</v>
      </c>
      <c r="AJ171" s="54">
        <v>0</v>
      </c>
      <c r="AK171" s="54">
        <v>0</v>
      </c>
      <c r="AL171" s="54">
        <v>0</v>
      </c>
      <c r="AM171" s="54">
        <v>0</v>
      </c>
      <c r="AN171" s="219">
        <v>0</v>
      </c>
      <c r="AO171" s="54">
        <v>0</v>
      </c>
      <c r="AP171" s="54">
        <v>0</v>
      </c>
      <c r="AQ171" s="54">
        <v>0</v>
      </c>
      <c r="AR171" s="54">
        <v>0</v>
      </c>
      <c r="AS171" s="54">
        <v>0</v>
      </c>
      <c r="AT171" s="54">
        <v>0</v>
      </c>
      <c r="AU171" s="54">
        <v>0</v>
      </c>
      <c r="AV171" s="54">
        <v>0</v>
      </c>
      <c r="AW171" s="219">
        <v>0</v>
      </c>
      <c r="AX171" s="54">
        <v>0</v>
      </c>
      <c r="AY171" s="54">
        <v>0</v>
      </c>
      <c r="AZ171" s="54">
        <v>0</v>
      </c>
      <c r="BA171" s="54">
        <v>0</v>
      </c>
      <c r="BB171" s="54">
        <v>0</v>
      </c>
      <c r="BC171" s="54">
        <v>0</v>
      </c>
      <c r="BD171" s="54">
        <v>0</v>
      </c>
      <c r="BE171" s="54">
        <v>0</v>
      </c>
      <c r="BF171" s="219">
        <v>0</v>
      </c>
      <c r="BG171" s="54">
        <v>0</v>
      </c>
      <c r="BH171" s="54">
        <v>0</v>
      </c>
      <c r="BI171" s="54">
        <v>0</v>
      </c>
      <c r="BJ171" s="54">
        <v>0</v>
      </c>
      <c r="BK171" s="54">
        <v>0</v>
      </c>
      <c r="BL171" s="54">
        <v>0</v>
      </c>
      <c r="BM171" s="54">
        <v>0</v>
      </c>
      <c r="BN171" s="54">
        <v>0</v>
      </c>
      <c r="BO171" s="219">
        <v>0</v>
      </c>
      <c r="BP171" s="54">
        <v>0</v>
      </c>
      <c r="BQ171" s="54">
        <v>0</v>
      </c>
      <c r="BR171" s="54">
        <v>0</v>
      </c>
      <c r="BS171" s="54">
        <v>0</v>
      </c>
      <c r="BT171" s="54">
        <v>0</v>
      </c>
      <c r="BU171" s="54">
        <v>0</v>
      </c>
      <c r="BV171" s="54">
        <v>0</v>
      </c>
      <c r="BW171" s="54">
        <v>0</v>
      </c>
      <c r="BX171" s="54">
        <v>0</v>
      </c>
      <c r="BY171" s="310">
        <v>0</v>
      </c>
      <c r="BZ171" s="311">
        <v>0</v>
      </c>
      <c r="CA171" s="311">
        <v>0</v>
      </c>
      <c r="CB171" s="311">
        <v>0</v>
      </c>
      <c r="CC171" s="311">
        <v>0</v>
      </c>
      <c r="CD171" s="312">
        <v>0</v>
      </c>
    </row>
    <row r="172" spans="1:86" x14ac:dyDescent="0.35">
      <c r="A172" t="s">
        <v>150</v>
      </c>
      <c r="B172" s="4" t="s">
        <v>93</v>
      </c>
      <c r="C172" s="4" t="s">
        <v>148</v>
      </c>
      <c r="D172" s="4" t="s">
        <v>151</v>
      </c>
      <c r="E172" s="50"/>
      <c r="F172" s="50"/>
      <c r="G172" s="50"/>
      <c r="H172" s="332"/>
      <c r="I172" s="332"/>
      <c r="J172" s="332"/>
      <c r="K172" s="38"/>
      <c r="W172" s="54">
        <v>0</v>
      </c>
      <c r="X172" s="54">
        <v>0</v>
      </c>
      <c r="Y172" s="54">
        <v>0</v>
      </c>
      <c r="Z172" s="54">
        <v>0</v>
      </c>
      <c r="AA172" s="54">
        <v>0</v>
      </c>
      <c r="AB172" s="54">
        <v>0</v>
      </c>
      <c r="AC172" s="54">
        <v>0</v>
      </c>
      <c r="AD172" s="54">
        <v>0</v>
      </c>
      <c r="AE172" s="219">
        <v>0</v>
      </c>
      <c r="AF172" s="54">
        <v>0</v>
      </c>
      <c r="AG172" s="54">
        <v>0</v>
      </c>
      <c r="AH172" s="54">
        <v>0</v>
      </c>
      <c r="AI172" s="54">
        <v>0</v>
      </c>
      <c r="AJ172" s="54">
        <v>0</v>
      </c>
      <c r="AK172" s="54">
        <v>0</v>
      </c>
      <c r="AL172" s="54">
        <v>0</v>
      </c>
      <c r="AM172" s="54">
        <v>0</v>
      </c>
      <c r="AN172" s="219">
        <v>0</v>
      </c>
      <c r="AO172" s="54">
        <v>0</v>
      </c>
      <c r="AP172" s="54">
        <v>0</v>
      </c>
      <c r="AQ172" s="54">
        <v>0</v>
      </c>
      <c r="AR172" s="54">
        <v>0</v>
      </c>
      <c r="AS172" s="54">
        <v>0</v>
      </c>
      <c r="AT172" s="54">
        <v>0</v>
      </c>
      <c r="AU172" s="54">
        <v>0</v>
      </c>
      <c r="AV172" s="54">
        <v>0</v>
      </c>
      <c r="AW172" s="219">
        <v>0</v>
      </c>
      <c r="AX172" s="54">
        <v>0</v>
      </c>
      <c r="AY172" s="54">
        <v>0</v>
      </c>
      <c r="AZ172" s="54">
        <v>0</v>
      </c>
      <c r="BA172" s="54">
        <v>0</v>
      </c>
      <c r="BB172" s="54">
        <v>0</v>
      </c>
      <c r="BC172" s="54">
        <v>0</v>
      </c>
      <c r="BD172" s="54">
        <v>0</v>
      </c>
      <c r="BE172" s="54">
        <v>0</v>
      </c>
      <c r="BF172" s="219">
        <v>0</v>
      </c>
      <c r="BG172" s="54">
        <v>0</v>
      </c>
      <c r="BH172" s="54">
        <v>0</v>
      </c>
      <c r="BI172" s="54">
        <v>0</v>
      </c>
      <c r="BJ172" s="54">
        <v>0</v>
      </c>
      <c r="BK172" s="54">
        <v>0</v>
      </c>
      <c r="BL172" s="54">
        <v>0</v>
      </c>
      <c r="BM172" s="54">
        <v>0</v>
      </c>
      <c r="BN172" s="54">
        <v>0</v>
      </c>
      <c r="BO172" s="219">
        <v>0</v>
      </c>
      <c r="BP172" s="54">
        <v>0</v>
      </c>
      <c r="BQ172" s="54">
        <v>0</v>
      </c>
      <c r="BR172" s="54">
        <v>0</v>
      </c>
      <c r="BS172" s="54">
        <v>0</v>
      </c>
      <c r="BT172" s="54">
        <v>0</v>
      </c>
      <c r="BU172" s="54">
        <v>0</v>
      </c>
      <c r="BV172" s="54">
        <v>0</v>
      </c>
      <c r="BW172" s="54">
        <v>0</v>
      </c>
      <c r="BX172" s="54">
        <v>0</v>
      </c>
      <c r="BY172" s="310">
        <v>0</v>
      </c>
      <c r="BZ172" s="311">
        <v>0</v>
      </c>
      <c r="CA172" s="311">
        <v>0</v>
      </c>
      <c r="CB172" s="311">
        <v>0</v>
      </c>
      <c r="CC172" s="311">
        <v>0</v>
      </c>
      <c r="CD172" s="312">
        <v>0</v>
      </c>
    </row>
    <row r="173" spans="1:86" s="8" customFormat="1" x14ac:dyDescent="0.35">
      <c r="A173" s="8" t="s">
        <v>368</v>
      </c>
      <c r="B173" s="320" t="s">
        <v>73</v>
      </c>
      <c r="C173" s="320" t="s">
        <v>145</v>
      </c>
      <c r="D173" s="320" t="s">
        <v>369</v>
      </c>
      <c r="E173" s="333" cm="1">
        <f t="array" ref="E173:G181">MMULT(E22:G30,MINVERSE(_xlfn.MUNIT(3)*CF4:CF6))</f>
        <v>0.14285714285714285</v>
      </c>
      <c r="F173" s="333">
        <v>0</v>
      </c>
      <c r="G173" s="229">
        <v>0</v>
      </c>
      <c r="H173" s="334">
        <v>0</v>
      </c>
      <c r="I173" s="334">
        <v>0</v>
      </c>
      <c r="J173" s="229">
        <v>0</v>
      </c>
      <c r="K173" s="334">
        <v>0</v>
      </c>
      <c r="L173" s="334">
        <v>0</v>
      </c>
      <c r="M173" s="229">
        <v>0</v>
      </c>
      <c r="N173" s="334">
        <v>0</v>
      </c>
      <c r="O173" s="334">
        <v>0</v>
      </c>
      <c r="P173" s="229">
        <v>0</v>
      </c>
      <c r="Q173" s="334">
        <v>0</v>
      </c>
      <c r="R173" s="334">
        <v>0</v>
      </c>
      <c r="S173" s="229">
        <v>0</v>
      </c>
      <c r="T173" s="334">
        <v>0</v>
      </c>
      <c r="U173" s="334">
        <v>0</v>
      </c>
      <c r="V173" s="340">
        <v>0</v>
      </c>
      <c r="AO173" s="325"/>
      <c r="AP173" s="325"/>
      <c r="AQ173" s="325"/>
      <c r="AR173" s="325"/>
      <c r="AS173" s="325"/>
      <c r="AT173" s="325"/>
      <c r="AU173" s="325"/>
      <c r="AV173" s="325"/>
      <c r="AW173" s="325"/>
      <c r="AX173" s="325"/>
      <c r="AY173" s="325"/>
      <c r="AZ173" s="325"/>
      <c r="BA173" s="325"/>
      <c r="BB173" s="325"/>
      <c r="BC173" s="325"/>
      <c r="BD173" s="325"/>
      <c r="BE173" s="325"/>
      <c r="BF173" s="325"/>
      <c r="BG173" s="325"/>
      <c r="BH173" s="325"/>
      <c r="BI173" s="325"/>
      <c r="BJ173" s="325"/>
      <c r="BK173" s="325"/>
      <c r="BL173" s="325"/>
      <c r="BM173" s="325"/>
      <c r="BN173" s="325"/>
      <c r="BO173" s="325"/>
      <c r="BP173" s="325"/>
      <c r="BQ173" s="325"/>
      <c r="BR173" s="325"/>
      <c r="BS173" s="325"/>
      <c r="BT173" s="325"/>
      <c r="BU173" s="325"/>
      <c r="BV173" s="325"/>
      <c r="BW173" s="325"/>
      <c r="BX173" s="325"/>
      <c r="BY173" s="320"/>
      <c r="BZ173" s="320"/>
      <c r="CA173" s="320"/>
      <c r="CB173" s="320"/>
      <c r="CC173" s="320"/>
      <c r="CD173" s="320"/>
      <c r="CH173" s="320"/>
    </row>
    <row r="174" spans="1:86" x14ac:dyDescent="0.35">
      <c r="A174" t="s">
        <v>166</v>
      </c>
      <c r="B174" s="4" t="s">
        <v>73</v>
      </c>
      <c r="C174" s="4" t="s">
        <v>145</v>
      </c>
      <c r="D174" s="4" t="s">
        <v>167</v>
      </c>
      <c r="E174" s="335">
        <v>0.14285714285714285</v>
      </c>
      <c r="F174" s="335">
        <v>0</v>
      </c>
      <c r="G174" s="230">
        <v>0</v>
      </c>
      <c r="H174" s="61">
        <v>0</v>
      </c>
      <c r="I174" s="61">
        <v>0</v>
      </c>
      <c r="J174" s="230">
        <v>0</v>
      </c>
      <c r="K174" s="61">
        <v>0</v>
      </c>
      <c r="L174" s="61">
        <v>0</v>
      </c>
      <c r="M174" s="230">
        <v>0</v>
      </c>
      <c r="N174" s="61">
        <v>0</v>
      </c>
      <c r="O174" s="61">
        <v>0</v>
      </c>
      <c r="P174" s="230">
        <v>0</v>
      </c>
      <c r="Q174" s="61">
        <v>0</v>
      </c>
      <c r="R174" s="61">
        <v>0</v>
      </c>
      <c r="S174" s="230">
        <v>0</v>
      </c>
      <c r="T174" s="61">
        <v>0</v>
      </c>
      <c r="U174" s="61">
        <v>0</v>
      </c>
      <c r="V174" s="62">
        <v>0</v>
      </c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</row>
    <row r="175" spans="1:86" x14ac:dyDescent="0.35">
      <c r="A175" t="s">
        <v>156</v>
      </c>
      <c r="B175" s="4" t="s">
        <v>73</v>
      </c>
      <c r="C175" s="4" t="s">
        <v>145</v>
      </c>
      <c r="D175" s="4" t="s">
        <v>157</v>
      </c>
      <c r="E175" s="335">
        <v>0.14285714285714285</v>
      </c>
      <c r="F175" s="335">
        <v>0</v>
      </c>
      <c r="G175" s="230">
        <v>0</v>
      </c>
      <c r="H175" s="61">
        <v>0</v>
      </c>
      <c r="I175" s="61">
        <v>0</v>
      </c>
      <c r="J175" s="230">
        <v>0</v>
      </c>
      <c r="K175" s="61">
        <v>0</v>
      </c>
      <c r="L175" s="61">
        <v>0</v>
      </c>
      <c r="M175" s="230">
        <v>0</v>
      </c>
      <c r="N175" s="61">
        <v>0</v>
      </c>
      <c r="O175" s="61">
        <v>0</v>
      </c>
      <c r="P175" s="230">
        <v>0</v>
      </c>
      <c r="Q175" s="61">
        <v>0</v>
      </c>
      <c r="R175" s="61">
        <v>0</v>
      </c>
      <c r="S175" s="230">
        <v>0</v>
      </c>
      <c r="T175" s="61">
        <v>0</v>
      </c>
      <c r="U175" s="61">
        <v>0</v>
      </c>
      <c r="V175" s="62">
        <v>0</v>
      </c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</row>
    <row r="176" spans="1:86" x14ac:dyDescent="0.35">
      <c r="A176" t="s">
        <v>158</v>
      </c>
      <c r="B176" s="4" t="s">
        <v>73</v>
      </c>
      <c r="C176" s="4" t="s">
        <v>145</v>
      </c>
      <c r="D176" s="4" t="s">
        <v>159</v>
      </c>
      <c r="E176" s="335">
        <v>0.14285714285714285</v>
      </c>
      <c r="F176" s="335">
        <v>0</v>
      </c>
      <c r="G176" s="230">
        <v>0</v>
      </c>
      <c r="H176" s="61">
        <v>0</v>
      </c>
      <c r="I176" s="61">
        <v>0</v>
      </c>
      <c r="J176" s="230">
        <v>0</v>
      </c>
      <c r="K176" s="61">
        <v>0</v>
      </c>
      <c r="L176" s="61">
        <v>0</v>
      </c>
      <c r="M176" s="230">
        <v>0</v>
      </c>
      <c r="N176" s="61">
        <v>0</v>
      </c>
      <c r="O176" s="61">
        <v>0</v>
      </c>
      <c r="P176" s="230">
        <v>0</v>
      </c>
      <c r="Q176" s="61">
        <v>0</v>
      </c>
      <c r="R176" s="61">
        <v>0</v>
      </c>
      <c r="S176" s="230">
        <v>0</v>
      </c>
      <c r="T176" s="61">
        <v>0</v>
      </c>
      <c r="U176" s="61">
        <v>0</v>
      </c>
      <c r="V176" s="62">
        <v>0</v>
      </c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</row>
    <row r="177" spans="1:76" x14ac:dyDescent="0.35">
      <c r="A177" t="s">
        <v>160</v>
      </c>
      <c r="B177" s="4" t="s">
        <v>73</v>
      </c>
      <c r="C177" s="4" t="s">
        <v>145</v>
      </c>
      <c r="D177" s="4" t="s">
        <v>161</v>
      </c>
      <c r="E177" s="335">
        <v>0.14285714285714285</v>
      </c>
      <c r="F177" s="335">
        <v>0</v>
      </c>
      <c r="G177" s="230">
        <v>0</v>
      </c>
      <c r="H177" s="61">
        <v>0</v>
      </c>
      <c r="I177" s="61">
        <v>0</v>
      </c>
      <c r="J177" s="230">
        <v>0</v>
      </c>
      <c r="K177" s="61">
        <v>0</v>
      </c>
      <c r="L177" s="61">
        <v>0</v>
      </c>
      <c r="M177" s="230">
        <v>0</v>
      </c>
      <c r="N177" s="61">
        <v>0</v>
      </c>
      <c r="O177" s="61">
        <v>0</v>
      </c>
      <c r="P177" s="230">
        <v>0</v>
      </c>
      <c r="Q177" s="61">
        <v>0</v>
      </c>
      <c r="R177" s="61">
        <v>0</v>
      </c>
      <c r="S177" s="230">
        <v>0</v>
      </c>
      <c r="T177" s="61">
        <v>0</v>
      </c>
      <c r="U177" s="61">
        <v>0</v>
      </c>
      <c r="V177" s="62">
        <v>0</v>
      </c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</row>
    <row r="178" spans="1:76" x14ac:dyDescent="0.35">
      <c r="A178" t="s">
        <v>162</v>
      </c>
      <c r="B178" s="4" t="s">
        <v>73</v>
      </c>
      <c r="C178" s="4" t="s">
        <v>145</v>
      </c>
      <c r="D178" s="4" t="s">
        <v>163</v>
      </c>
      <c r="E178" s="335">
        <v>0.14285714285714285</v>
      </c>
      <c r="F178" s="335">
        <v>0</v>
      </c>
      <c r="G178" s="230">
        <v>0</v>
      </c>
      <c r="H178" s="61">
        <v>0</v>
      </c>
      <c r="I178" s="61">
        <v>0</v>
      </c>
      <c r="J178" s="230">
        <v>0</v>
      </c>
      <c r="K178" s="61">
        <v>0</v>
      </c>
      <c r="L178" s="61">
        <v>0</v>
      </c>
      <c r="M178" s="230">
        <v>0</v>
      </c>
      <c r="N178" s="61">
        <v>0</v>
      </c>
      <c r="O178" s="61">
        <v>0</v>
      </c>
      <c r="P178" s="230">
        <v>0</v>
      </c>
      <c r="Q178" s="61">
        <v>0</v>
      </c>
      <c r="R178" s="61">
        <v>0</v>
      </c>
      <c r="S178" s="230">
        <v>0</v>
      </c>
      <c r="T178" s="61">
        <v>0</v>
      </c>
      <c r="U178" s="61">
        <v>0</v>
      </c>
      <c r="V178" s="62">
        <v>0</v>
      </c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</row>
    <row r="179" spans="1:76" x14ac:dyDescent="0.35">
      <c r="A179" t="s">
        <v>164</v>
      </c>
      <c r="B179" s="4" t="s">
        <v>73</v>
      </c>
      <c r="C179" s="4" t="s">
        <v>145</v>
      </c>
      <c r="D179" s="4" t="s">
        <v>165</v>
      </c>
      <c r="E179" s="335">
        <v>0.14285714285714285</v>
      </c>
      <c r="F179" s="335">
        <v>0</v>
      </c>
      <c r="G179" s="230">
        <v>0</v>
      </c>
      <c r="H179" s="61">
        <v>0</v>
      </c>
      <c r="I179" s="61">
        <v>0</v>
      </c>
      <c r="J179" s="230">
        <v>0</v>
      </c>
      <c r="K179" s="61">
        <v>0</v>
      </c>
      <c r="L179" s="61">
        <v>0</v>
      </c>
      <c r="M179" s="230">
        <v>0</v>
      </c>
      <c r="N179" s="61">
        <v>0</v>
      </c>
      <c r="O179" s="61">
        <v>0</v>
      </c>
      <c r="P179" s="230">
        <v>0</v>
      </c>
      <c r="Q179" s="61">
        <v>0</v>
      </c>
      <c r="R179" s="61">
        <v>0</v>
      </c>
      <c r="S179" s="230">
        <v>0</v>
      </c>
      <c r="T179" s="61">
        <v>0</v>
      </c>
      <c r="U179" s="61">
        <v>0</v>
      </c>
      <c r="V179" s="62">
        <v>0</v>
      </c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</row>
    <row r="180" spans="1:76" x14ac:dyDescent="0.35">
      <c r="A180" t="s">
        <v>168</v>
      </c>
      <c r="B180" s="4" t="s">
        <v>73</v>
      </c>
      <c r="C180" s="4" t="s">
        <v>148</v>
      </c>
      <c r="D180" s="4" t="s">
        <v>169</v>
      </c>
      <c r="E180" s="61">
        <v>0</v>
      </c>
      <c r="F180" s="336">
        <v>1</v>
      </c>
      <c r="G180" s="337">
        <v>0</v>
      </c>
      <c r="H180" s="61">
        <v>0</v>
      </c>
      <c r="I180" s="61">
        <v>0</v>
      </c>
      <c r="J180" s="230">
        <v>0</v>
      </c>
      <c r="K180" s="61">
        <v>0</v>
      </c>
      <c r="L180" s="61">
        <v>0</v>
      </c>
      <c r="M180" s="230">
        <v>0</v>
      </c>
      <c r="N180" s="61">
        <v>0</v>
      </c>
      <c r="O180" s="61">
        <v>0</v>
      </c>
      <c r="P180" s="230">
        <v>0</v>
      </c>
      <c r="Q180" s="61">
        <v>0</v>
      </c>
      <c r="R180" s="61">
        <v>0</v>
      </c>
      <c r="S180" s="230">
        <v>0</v>
      </c>
      <c r="T180" s="61">
        <v>0</v>
      </c>
      <c r="U180" s="61">
        <v>0</v>
      </c>
      <c r="V180" s="62">
        <v>0</v>
      </c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</row>
    <row r="181" spans="1:76" ht="15" thickBot="1" x14ac:dyDescent="0.4">
      <c r="A181" t="s">
        <v>170</v>
      </c>
      <c r="B181" s="4" t="s">
        <v>73</v>
      </c>
      <c r="C181" s="4" t="s">
        <v>148</v>
      </c>
      <c r="D181" s="4" t="s">
        <v>171</v>
      </c>
      <c r="E181" s="231">
        <v>0</v>
      </c>
      <c r="F181" s="338">
        <v>0</v>
      </c>
      <c r="G181" s="339">
        <v>1</v>
      </c>
      <c r="H181" s="231">
        <v>0</v>
      </c>
      <c r="I181" s="231">
        <v>0</v>
      </c>
      <c r="J181" s="232">
        <v>0</v>
      </c>
      <c r="K181" s="231">
        <v>0</v>
      </c>
      <c r="L181" s="231">
        <v>0</v>
      </c>
      <c r="M181" s="232">
        <v>0</v>
      </c>
      <c r="N181" s="231">
        <v>0</v>
      </c>
      <c r="O181" s="231">
        <v>0</v>
      </c>
      <c r="P181" s="232">
        <v>0</v>
      </c>
      <c r="Q181" s="231">
        <v>0</v>
      </c>
      <c r="R181" s="231">
        <v>0</v>
      </c>
      <c r="S181" s="232">
        <v>0</v>
      </c>
      <c r="T181" s="231">
        <v>0</v>
      </c>
      <c r="U181" s="231">
        <v>0</v>
      </c>
      <c r="V181" s="341">
        <v>0</v>
      </c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</row>
    <row r="182" spans="1:76" x14ac:dyDescent="0.35">
      <c r="A182" t="s">
        <v>368</v>
      </c>
      <c r="B182" s="4" t="s">
        <v>88</v>
      </c>
      <c r="C182" s="4" t="s">
        <v>145</v>
      </c>
      <c r="D182" s="4" t="s">
        <v>369</v>
      </c>
      <c r="E182" s="61">
        <v>0</v>
      </c>
      <c r="F182" s="61">
        <v>0</v>
      </c>
      <c r="G182" s="230">
        <v>0</v>
      </c>
      <c r="H182" s="61">
        <v>0</v>
      </c>
      <c r="I182" s="61">
        <v>0</v>
      </c>
      <c r="J182" s="230">
        <v>0</v>
      </c>
      <c r="K182" s="61">
        <v>0</v>
      </c>
      <c r="L182" s="61">
        <v>0</v>
      </c>
      <c r="M182" s="230">
        <v>0</v>
      </c>
      <c r="N182" s="61">
        <v>0</v>
      </c>
      <c r="O182" s="61">
        <v>0</v>
      </c>
      <c r="P182" s="230">
        <v>0</v>
      </c>
      <c r="Q182" s="61">
        <v>0</v>
      </c>
      <c r="R182" s="61">
        <v>0</v>
      </c>
      <c r="S182" s="230">
        <v>0</v>
      </c>
      <c r="T182" s="61">
        <v>0</v>
      </c>
      <c r="U182" s="61">
        <v>0</v>
      </c>
      <c r="V182" s="62">
        <v>0</v>
      </c>
    </row>
    <row r="183" spans="1:76" x14ac:dyDescent="0.35">
      <c r="A183" t="s">
        <v>166</v>
      </c>
      <c r="B183" s="4" t="s">
        <v>88</v>
      </c>
      <c r="C183" s="4" t="s">
        <v>145</v>
      </c>
      <c r="D183" s="4" t="s">
        <v>167</v>
      </c>
      <c r="E183" s="61">
        <v>0</v>
      </c>
      <c r="F183" s="61">
        <v>0</v>
      </c>
      <c r="G183" s="230">
        <v>0</v>
      </c>
      <c r="H183" s="61">
        <v>0</v>
      </c>
      <c r="I183" s="61">
        <v>0</v>
      </c>
      <c r="J183" s="230">
        <v>0</v>
      </c>
      <c r="K183" s="61">
        <v>0</v>
      </c>
      <c r="L183" s="61">
        <v>0</v>
      </c>
      <c r="M183" s="230">
        <v>0</v>
      </c>
      <c r="N183" s="61">
        <v>0</v>
      </c>
      <c r="O183" s="61">
        <v>0</v>
      </c>
      <c r="P183" s="230">
        <v>0</v>
      </c>
      <c r="Q183" s="61">
        <v>0</v>
      </c>
      <c r="R183" s="61">
        <v>0</v>
      </c>
      <c r="S183" s="230">
        <v>0</v>
      </c>
      <c r="T183" s="61">
        <v>0</v>
      </c>
      <c r="U183" s="61">
        <v>0</v>
      </c>
      <c r="V183" s="62">
        <v>0</v>
      </c>
    </row>
    <row r="184" spans="1:76" x14ac:dyDescent="0.35">
      <c r="A184" t="s">
        <v>156</v>
      </c>
      <c r="B184" s="4" t="s">
        <v>88</v>
      </c>
      <c r="C184" s="4" t="s">
        <v>145</v>
      </c>
      <c r="D184" s="4" t="s">
        <v>157</v>
      </c>
      <c r="E184" s="61">
        <v>0</v>
      </c>
      <c r="F184" s="61">
        <v>0</v>
      </c>
      <c r="G184" s="230">
        <v>0</v>
      </c>
      <c r="H184" s="61">
        <v>0</v>
      </c>
      <c r="I184" s="61">
        <v>0</v>
      </c>
      <c r="J184" s="230">
        <v>0</v>
      </c>
      <c r="K184" s="61">
        <v>0</v>
      </c>
      <c r="L184" s="61">
        <v>0</v>
      </c>
      <c r="M184" s="230">
        <v>0</v>
      </c>
      <c r="N184" s="61">
        <v>0</v>
      </c>
      <c r="O184" s="61">
        <v>0</v>
      </c>
      <c r="P184" s="230">
        <v>0</v>
      </c>
      <c r="Q184" s="61">
        <v>0</v>
      </c>
      <c r="R184" s="61">
        <v>0</v>
      </c>
      <c r="S184" s="230">
        <v>0</v>
      </c>
      <c r="T184" s="61">
        <v>0</v>
      </c>
      <c r="U184" s="61">
        <v>0</v>
      </c>
      <c r="V184" s="62">
        <v>0</v>
      </c>
    </row>
    <row r="185" spans="1:76" x14ac:dyDescent="0.35">
      <c r="A185" t="s">
        <v>158</v>
      </c>
      <c r="B185" s="4" t="s">
        <v>88</v>
      </c>
      <c r="C185" s="4" t="s">
        <v>145</v>
      </c>
      <c r="D185" s="4" t="s">
        <v>159</v>
      </c>
      <c r="E185" s="61">
        <v>0</v>
      </c>
      <c r="F185" s="61">
        <v>0</v>
      </c>
      <c r="G185" s="230">
        <v>0</v>
      </c>
      <c r="H185" s="61">
        <v>0</v>
      </c>
      <c r="I185" s="61">
        <v>0</v>
      </c>
      <c r="J185" s="230">
        <v>0</v>
      </c>
      <c r="K185" s="61">
        <v>0</v>
      </c>
      <c r="L185" s="61">
        <v>0</v>
      </c>
      <c r="M185" s="230">
        <v>0</v>
      </c>
      <c r="N185" s="61">
        <v>0</v>
      </c>
      <c r="O185" s="61">
        <v>0</v>
      </c>
      <c r="P185" s="230">
        <v>0</v>
      </c>
      <c r="Q185" s="61">
        <v>0</v>
      </c>
      <c r="R185" s="61">
        <v>0</v>
      </c>
      <c r="S185" s="230">
        <v>0</v>
      </c>
      <c r="T185" s="61">
        <v>0</v>
      </c>
      <c r="U185" s="61">
        <v>0</v>
      </c>
      <c r="V185" s="62">
        <v>0</v>
      </c>
    </row>
    <row r="186" spans="1:76" x14ac:dyDescent="0.35">
      <c r="A186" t="s">
        <v>160</v>
      </c>
      <c r="B186" s="4" t="s">
        <v>88</v>
      </c>
      <c r="C186" s="4" t="s">
        <v>145</v>
      </c>
      <c r="D186" s="4" t="s">
        <v>161</v>
      </c>
      <c r="E186" s="61">
        <v>0</v>
      </c>
      <c r="F186" s="61">
        <v>0</v>
      </c>
      <c r="G186" s="230">
        <v>0</v>
      </c>
      <c r="H186" s="61">
        <v>0</v>
      </c>
      <c r="I186" s="61">
        <v>0</v>
      </c>
      <c r="J186" s="230">
        <v>0</v>
      </c>
      <c r="K186" s="61">
        <v>0</v>
      </c>
      <c r="L186" s="61">
        <v>0</v>
      </c>
      <c r="M186" s="230">
        <v>0</v>
      </c>
      <c r="N186" s="61">
        <v>0</v>
      </c>
      <c r="O186" s="61">
        <v>0</v>
      </c>
      <c r="P186" s="230">
        <v>0</v>
      </c>
      <c r="Q186" s="61">
        <v>0</v>
      </c>
      <c r="R186" s="61">
        <v>0</v>
      </c>
      <c r="S186" s="230">
        <v>0</v>
      </c>
      <c r="T186" s="61">
        <v>0</v>
      </c>
      <c r="U186" s="61">
        <v>0</v>
      </c>
      <c r="V186" s="62">
        <v>0</v>
      </c>
    </row>
    <row r="187" spans="1:76" x14ac:dyDescent="0.35">
      <c r="A187" t="s">
        <v>162</v>
      </c>
      <c r="B187" s="4" t="s">
        <v>88</v>
      </c>
      <c r="C187" s="4" t="s">
        <v>145</v>
      </c>
      <c r="D187" s="4" t="s">
        <v>163</v>
      </c>
      <c r="E187" s="61">
        <v>0</v>
      </c>
      <c r="F187" s="61">
        <v>0</v>
      </c>
      <c r="G187" s="230">
        <v>0</v>
      </c>
      <c r="H187" s="61">
        <v>0</v>
      </c>
      <c r="I187" s="61">
        <v>0</v>
      </c>
      <c r="J187" s="230">
        <v>0</v>
      </c>
      <c r="K187" s="61">
        <v>0</v>
      </c>
      <c r="L187" s="61">
        <v>0</v>
      </c>
      <c r="M187" s="230">
        <v>0</v>
      </c>
      <c r="N187" s="61">
        <v>0</v>
      </c>
      <c r="O187" s="61">
        <v>0</v>
      </c>
      <c r="P187" s="230">
        <v>0</v>
      </c>
      <c r="Q187" s="61">
        <v>0</v>
      </c>
      <c r="R187" s="61">
        <v>0</v>
      </c>
      <c r="S187" s="230">
        <v>0</v>
      </c>
      <c r="T187" s="61">
        <v>0</v>
      </c>
      <c r="U187" s="61">
        <v>0</v>
      </c>
      <c r="V187" s="62">
        <v>0</v>
      </c>
    </row>
    <row r="188" spans="1:76" x14ac:dyDescent="0.35">
      <c r="A188" t="s">
        <v>164</v>
      </c>
      <c r="B188" s="4" t="s">
        <v>88</v>
      </c>
      <c r="C188" s="4" t="s">
        <v>145</v>
      </c>
      <c r="D188" s="4" t="s">
        <v>165</v>
      </c>
      <c r="E188" s="61">
        <v>0</v>
      </c>
      <c r="F188" s="61">
        <v>0</v>
      </c>
      <c r="G188" s="230">
        <v>0</v>
      </c>
      <c r="H188" s="61">
        <v>0</v>
      </c>
      <c r="I188" s="61">
        <v>0</v>
      </c>
      <c r="J188" s="230">
        <v>0</v>
      </c>
      <c r="K188" s="61">
        <v>0</v>
      </c>
      <c r="L188" s="61">
        <v>0</v>
      </c>
      <c r="M188" s="230">
        <v>0</v>
      </c>
      <c r="N188" s="61">
        <v>0</v>
      </c>
      <c r="O188" s="61">
        <v>0</v>
      </c>
      <c r="P188" s="230">
        <v>0</v>
      </c>
      <c r="Q188" s="61">
        <v>0</v>
      </c>
      <c r="R188" s="61">
        <v>0</v>
      </c>
      <c r="S188" s="230">
        <v>0</v>
      </c>
      <c r="T188" s="61">
        <v>0</v>
      </c>
      <c r="U188" s="61">
        <v>0</v>
      </c>
      <c r="V188" s="62">
        <v>0</v>
      </c>
    </row>
    <row r="189" spans="1:76" x14ac:dyDescent="0.35">
      <c r="A189" t="s">
        <v>168</v>
      </c>
      <c r="B189" s="4" t="s">
        <v>88</v>
      </c>
      <c r="C189" s="4" t="s">
        <v>148</v>
      </c>
      <c r="D189" s="4" t="s">
        <v>169</v>
      </c>
      <c r="E189" s="61">
        <v>0</v>
      </c>
      <c r="F189" s="61">
        <v>0</v>
      </c>
      <c r="G189" s="230">
        <v>0</v>
      </c>
      <c r="H189" s="61">
        <v>0</v>
      </c>
      <c r="I189" s="61">
        <v>0</v>
      </c>
      <c r="J189" s="230">
        <v>0</v>
      </c>
      <c r="K189" s="61">
        <v>0</v>
      </c>
      <c r="L189" s="61">
        <v>0</v>
      </c>
      <c r="M189" s="230">
        <v>0</v>
      </c>
      <c r="N189" s="61">
        <v>0</v>
      </c>
      <c r="O189" s="61">
        <v>0</v>
      </c>
      <c r="P189" s="230">
        <v>0</v>
      </c>
      <c r="Q189" s="61">
        <v>0</v>
      </c>
      <c r="R189" s="61">
        <v>0</v>
      </c>
      <c r="S189" s="230">
        <v>0</v>
      </c>
      <c r="T189" s="61">
        <v>0</v>
      </c>
      <c r="U189" s="61">
        <v>0</v>
      </c>
      <c r="V189" s="62">
        <v>0</v>
      </c>
    </row>
    <row r="190" spans="1:76" ht="15" thickBot="1" x14ac:dyDescent="0.4">
      <c r="A190" t="s">
        <v>170</v>
      </c>
      <c r="B190" s="4" t="s">
        <v>88</v>
      </c>
      <c r="C190" s="4" t="s">
        <v>148</v>
      </c>
      <c r="D190" s="4" t="s">
        <v>171</v>
      </c>
      <c r="E190" s="231">
        <v>0</v>
      </c>
      <c r="F190" s="231">
        <v>0</v>
      </c>
      <c r="G190" s="232">
        <v>0</v>
      </c>
      <c r="H190" s="231">
        <v>0</v>
      </c>
      <c r="I190" s="231">
        <v>0</v>
      </c>
      <c r="J190" s="232">
        <v>0</v>
      </c>
      <c r="K190" s="231">
        <v>0</v>
      </c>
      <c r="L190" s="231">
        <v>0</v>
      </c>
      <c r="M190" s="232">
        <v>0</v>
      </c>
      <c r="N190" s="231">
        <v>0</v>
      </c>
      <c r="O190" s="231">
        <v>0</v>
      </c>
      <c r="P190" s="232">
        <v>0</v>
      </c>
      <c r="Q190" s="231">
        <v>0</v>
      </c>
      <c r="R190" s="231">
        <v>0</v>
      </c>
      <c r="S190" s="232">
        <v>0</v>
      </c>
      <c r="T190" s="231">
        <v>0</v>
      </c>
      <c r="U190" s="231">
        <v>0</v>
      </c>
      <c r="V190" s="341">
        <v>0</v>
      </c>
    </row>
    <row r="191" spans="1:76" x14ac:dyDescent="0.35">
      <c r="A191" t="s">
        <v>368</v>
      </c>
      <c r="B191" s="4" t="s">
        <v>90</v>
      </c>
      <c r="C191" s="4" t="s">
        <v>145</v>
      </c>
      <c r="D191" s="4" t="s">
        <v>369</v>
      </c>
      <c r="E191" s="61">
        <v>0</v>
      </c>
      <c r="F191" s="61">
        <v>0</v>
      </c>
      <c r="G191" s="230">
        <v>0</v>
      </c>
      <c r="H191" s="61">
        <v>0</v>
      </c>
      <c r="I191" s="61">
        <v>0</v>
      </c>
      <c r="J191" s="230">
        <v>0</v>
      </c>
      <c r="K191" s="61">
        <v>0</v>
      </c>
      <c r="L191" s="61">
        <v>0</v>
      </c>
      <c r="M191" s="230">
        <v>0</v>
      </c>
      <c r="N191" s="61">
        <v>0</v>
      </c>
      <c r="O191" s="61">
        <v>0</v>
      </c>
      <c r="P191" s="230">
        <v>0</v>
      </c>
      <c r="Q191" s="61">
        <v>0</v>
      </c>
      <c r="R191" s="61">
        <v>0</v>
      </c>
      <c r="S191" s="230">
        <v>0</v>
      </c>
      <c r="T191" s="61">
        <v>0</v>
      </c>
      <c r="U191" s="61">
        <v>0</v>
      </c>
      <c r="V191" s="62">
        <v>0</v>
      </c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</row>
    <row r="192" spans="1:76" x14ac:dyDescent="0.35">
      <c r="A192" t="s">
        <v>166</v>
      </c>
      <c r="B192" s="4" t="s">
        <v>90</v>
      </c>
      <c r="C192" s="4" t="s">
        <v>145</v>
      </c>
      <c r="D192" s="4" t="s">
        <v>167</v>
      </c>
      <c r="E192" s="61">
        <v>0</v>
      </c>
      <c r="F192" s="61">
        <v>0</v>
      </c>
      <c r="G192" s="230">
        <v>0</v>
      </c>
      <c r="H192" s="61">
        <v>0</v>
      </c>
      <c r="I192" s="61">
        <v>0</v>
      </c>
      <c r="J192" s="230">
        <v>0</v>
      </c>
      <c r="K192" s="61">
        <v>0</v>
      </c>
      <c r="L192" s="61">
        <v>0</v>
      </c>
      <c r="M192" s="230">
        <v>0</v>
      </c>
      <c r="N192" s="61">
        <v>0</v>
      </c>
      <c r="O192" s="61">
        <v>0</v>
      </c>
      <c r="P192" s="230">
        <v>0</v>
      </c>
      <c r="Q192" s="61">
        <v>0</v>
      </c>
      <c r="R192" s="61">
        <v>0</v>
      </c>
      <c r="S192" s="230">
        <v>0</v>
      </c>
      <c r="T192" s="61">
        <v>0</v>
      </c>
      <c r="U192" s="61">
        <v>0</v>
      </c>
      <c r="V192" s="62">
        <v>0</v>
      </c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</row>
    <row r="193" spans="1:76" x14ac:dyDescent="0.35">
      <c r="A193" t="s">
        <v>156</v>
      </c>
      <c r="B193" s="4" t="s">
        <v>90</v>
      </c>
      <c r="C193" s="4" t="s">
        <v>145</v>
      </c>
      <c r="D193" s="4" t="s">
        <v>157</v>
      </c>
      <c r="E193" s="61">
        <v>0</v>
      </c>
      <c r="F193" s="61">
        <v>0</v>
      </c>
      <c r="G193" s="230">
        <v>0</v>
      </c>
      <c r="H193" s="61">
        <v>0</v>
      </c>
      <c r="I193" s="61">
        <v>0</v>
      </c>
      <c r="J193" s="230">
        <v>0</v>
      </c>
      <c r="K193" s="61">
        <v>0</v>
      </c>
      <c r="L193" s="61">
        <v>0</v>
      </c>
      <c r="M193" s="230">
        <v>0</v>
      </c>
      <c r="N193" s="61">
        <v>0</v>
      </c>
      <c r="O193" s="61">
        <v>0</v>
      </c>
      <c r="P193" s="230">
        <v>0</v>
      </c>
      <c r="Q193" s="61">
        <v>0</v>
      </c>
      <c r="R193" s="61">
        <v>0</v>
      </c>
      <c r="S193" s="230">
        <v>0</v>
      </c>
      <c r="T193" s="61">
        <v>0</v>
      </c>
      <c r="U193" s="61">
        <v>0</v>
      </c>
      <c r="V193" s="62">
        <v>0</v>
      </c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</row>
    <row r="194" spans="1:76" x14ac:dyDescent="0.35">
      <c r="A194" t="s">
        <v>158</v>
      </c>
      <c r="B194" s="4" t="s">
        <v>90</v>
      </c>
      <c r="C194" s="4" t="s">
        <v>145</v>
      </c>
      <c r="D194" s="4" t="s">
        <v>159</v>
      </c>
      <c r="E194" s="61">
        <v>0</v>
      </c>
      <c r="F194" s="61">
        <v>0</v>
      </c>
      <c r="G194" s="230">
        <v>0</v>
      </c>
      <c r="H194" s="61">
        <v>0</v>
      </c>
      <c r="I194" s="61">
        <v>0</v>
      </c>
      <c r="J194" s="230">
        <v>0</v>
      </c>
      <c r="K194" s="61">
        <v>0</v>
      </c>
      <c r="L194" s="61">
        <v>0</v>
      </c>
      <c r="M194" s="230">
        <v>0</v>
      </c>
      <c r="N194" s="61">
        <v>0</v>
      </c>
      <c r="O194" s="61">
        <v>0</v>
      </c>
      <c r="P194" s="230">
        <v>0</v>
      </c>
      <c r="Q194" s="61">
        <v>0</v>
      </c>
      <c r="R194" s="61">
        <v>0</v>
      </c>
      <c r="S194" s="230">
        <v>0</v>
      </c>
      <c r="T194" s="61">
        <v>0</v>
      </c>
      <c r="U194" s="61">
        <v>0</v>
      </c>
      <c r="V194" s="62">
        <v>0</v>
      </c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</row>
    <row r="195" spans="1:76" x14ac:dyDescent="0.35">
      <c r="A195" t="s">
        <v>160</v>
      </c>
      <c r="B195" s="4" t="s">
        <v>90</v>
      </c>
      <c r="C195" s="4" t="s">
        <v>145</v>
      </c>
      <c r="D195" s="4" t="s">
        <v>161</v>
      </c>
      <c r="E195" s="61">
        <v>0</v>
      </c>
      <c r="F195" s="61">
        <v>0</v>
      </c>
      <c r="G195" s="230">
        <v>0</v>
      </c>
      <c r="H195" s="61">
        <v>0</v>
      </c>
      <c r="I195" s="61">
        <v>0</v>
      </c>
      <c r="J195" s="230">
        <v>0</v>
      </c>
      <c r="K195" s="61">
        <v>0</v>
      </c>
      <c r="L195" s="61">
        <v>0</v>
      </c>
      <c r="M195" s="230">
        <v>0</v>
      </c>
      <c r="N195" s="61">
        <v>0</v>
      </c>
      <c r="O195" s="61">
        <v>0</v>
      </c>
      <c r="P195" s="230">
        <v>0</v>
      </c>
      <c r="Q195" s="61">
        <v>0</v>
      </c>
      <c r="R195" s="61">
        <v>0</v>
      </c>
      <c r="S195" s="230">
        <v>0</v>
      </c>
      <c r="T195" s="61">
        <v>0</v>
      </c>
      <c r="U195" s="61">
        <v>0</v>
      </c>
      <c r="V195" s="62">
        <v>0</v>
      </c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</row>
    <row r="196" spans="1:76" x14ac:dyDescent="0.35">
      <c r="A196" t="s">
        <v>162</v>
      </c>
      <c r="B196" s="4" t="s">
        <v>90</v>
      </c>
      <c r="C196" s="4" t="s">
        <v>145</v>
      </c>
      <c r="D196" s="4" t="s">
        <v>163</v>
      </c>
      <c r="E196" s="61">
        <v>0</v>
      </c>
      <c r="F196" s="61">
        <v>0</v>
      </c>
      <c r="G196" s="230">
        <v>0</v>
      </c>
      <c r="H196" s="61">
        <v>0</v>
      </c>
      <c r="I196" s="61">
        <v>0</v>
      </c>
      <c r="J196" s="230">
        <v>0</v>
      </c>
      <c r="K196" s="61">
        <v>0</v>
      </c>
      <c r="L196" s="61">
        <v>0</v>
      </c>
      <c r="M196" s="230">
        <v>0</v>
      </c>
      <c r="N196" s="61">
        <v>0</v>
      </c>
      <c r="O196" s="61">
        <v>0</v>
      </c>
      <c r="P196" s="230">
        <v>0</v>
      </c>
      <c r="Q196" s="61">
        <v>0</v>
      </c>
      <c r="R196" s="61">
        <v>0</v>
      </c>
      <c r="S196" s="230">
        <v>0</v>
      </c>
      <c r="T196" s="61">
        <v>0</v>
      </c>
      <c r="U196" s="61">
        <v>0</v>
      </c>
      <c r="V196" s="62">
        <v>0</v>
      </c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</row>
    <row r="197" spans="1:76" x14ac:dyDescent="0.35">
      <c r="A197" t="s">
        <v>164</v>
      </c>
      <c r="B197" s="4" t="s">
        <v>90</v>
      </c>
      <c r="C197" s="4" t="s">
        <v>145</v>
      </c>
      <c r="D197" s="4" t="s">
        <v>165</v>
      </c>
      <c r="E197" s="61">
        <v>0</v>
      </c>
      <c r="F197" s="61">
        <v>0</v>
      </c>
      <c r="G197" s="230">
        <v>0</v>
      </c>
      <c r="H197" s="61">
        <v>0</v>
      </c>
      <c r="I197" s="61">
        <v>0</v>
      </c>
      <c r="J197" s="230">
        <v>0</v>
      </c>
      <c r="K197" s="61">
        <v>0</v>
      </c>
      <c r="L197" s="61">
        <v>0</v>
      </c>
      <c r="M197" s="230">
        <v>0</v>
      </c>
      <c r="N197" s="61">
        <v>0</v>
      </c>
      <c r="O197" s="61">
        <v>0</v>
      </c>
      <c r="P197" s="230">
        <v>0</v>
      </c>
      <c r="Q197" s="61">
        <v>0</v>
      </c>
      <c r="R197" s="61">
        <v>0</v>
      </c>
      <c r="S197" s="230">
        <v>0</v>
      </c>
      <c r="T197" s="61">
        <v>0</v>
      </c>
      <c r="U197" s="61">
        <v>0</v>
      </c>
      <c r="V197" s="62">
        <v>0</v>
      </c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</row>
    <row r="198" spans="1:76" x14ac:dyDescent="0.35">
      <c r="A198" t="s">
        <v>370</v>
      </c>
      <c r="B198" s="4" t="s">
        <v>90</v>
      </c>
      <c r="C198" s="4" t="s">
        <v>148</v>
      </c>
      <c r="D198" s="4" t="s">
        <v>169</v>
      </c>
      <c r="E198" s="61">
        <v>0</v>
      </c>
      <c r="F198" s="61">
        <v>0</v>
      </c>
      <c r="G198" s="230">
        <v>0</v>
      </c>
      <c r="H198" s="61">
        <v>0</v>
      </c>
      <c r="I198" s="61">
        <v>0</v>
      </c>
      <c r="J198" s="230">
        <v>0</v>
      </c>
      <c r="K198" s="61">
        <v>0</v>
      </c>
      <c r="L198" s="61">
        <v>0</v>
      </c>
      <c r="M198" s="230">
        <v>0</v>
      </c>
      <c r="N198" s="61">
        <v>0</v>
      </c>
      <c r="O198" s="61">
        <v>0</v>
      </c>
      <c r="P198" s="230">
        <v>0</v>
      </c>
      <c r="Q198" s="61">
        <v>0</v>
      </c>
      <c r="R198" s="61">
        <v>0</v>
      </c>
      <c r="S198" s="230">
        <v>0</v>
      </c>
      <c r="T198" s="61">
        <v>0</v>
      </c>
      <c r="U198" s="61">
        <v>0</v>
      </c>
      <c r="V198" s="62">
        <v>0</v>
      </c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</row>
    <row r="199" spans="1:76" s="4" customFormat="1" ht="15" thickBot="1" x14ac:dyDescent="0.4">
      <c r="A199" t="s">
        <v>170</v>
      </c>
      <c r="B199" s="4" t="s">
        <v>90</v>
      </c>
      <c r="C199" s="4" t="s">
        <v>148</v>
      </c>
      <c r="D199" s="4" t="s">
        <v>171</v>
      </c>
      <c r="E199" s="231">
        <v>0</v>
      </c>
      <c r="F199" s="231">
        <v>0</v>
      </c>
      <c r="G199" s="232">
        <v>0</v>
      </c>
      <c r="H199" s="231">
        <v>0</v>
      </c>
      <c r="I199" s="231">
        <v>0</v>
      </c>
      <c r="J199" s="232">
        <v>0</v>
      </c>
      <c r="K199" s="231">
        <v>0</v>
      </c>
      <c r="L199" s="231">
        <v>0</v>
      </c>
      <c r="M199" s="232">
        <v>0</v>
      </c>
      <c r="N199" s="231">
        <v>0</v>
      </c>
      <c r="O199" s="231">
        <v>0</v>
      </c>
      <c r="P199" s="232">
        <v>0</v>
      </c>
      <c r="Q199" s="231">
        <v>0</v>
      </c>
      <c r="R199" s="231">
        <v>0</v>
      </c>
      <c r="S199" s="232">
        <v>0</v>
      </c>
      <c r="T199" s="231">
        <v>0</v>
      </c>
      <c r="U199" s="231">
        <v>0</v>
      </c>
      <c r="V199" s="341">
        <v>0</v>
      </c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</row>
    <row r="200" spans="1:76" s="4" customFormat="1" x14ac:dyDescent="0.35">
      <c r="A200" t="s">
        <v>368</v>
      </c>
      <c r="B200" s="4" t="s">
        <v>91</v>
      </c>
      <c r="C200" s="4" t="s">
        <v>145</v>
      </c>
      <c r="D200" s="4" t="s">
        <v>369</v>
      </c>
      <c r="E200" s="61">
        <v>0</v>
      </c>
      <c r="F200" s="61">
        <v>0</v>
      </c>
      <c r="G200" s="230">
        <v>0</v>
      </c>
      <c r="H200" s="61">
        <v>0</v>
      </c>
      <c r="I200" s="61">
        <v>0</v>
      </c>
      <c r="J200" s="230">
        <v>0</v>
      </c>
      <c r="K200" s="61">
        <v>0</v>
      </c>
      <c r="L200" s="61">
        <v>0</v>
      </c>
      <c r="M200" s="230">
        <v>0</v>
      </c>
      <c r="N200" s="61">
        <v>0</v>
      </c>
      <c r="O200" s="61">
        <v>0</v>
      </c>
      <c r="P200" s="230">
        <v>0</v>
      </c>
      <c r="Q200" s="61">
        <v>0</v>
      </c>
      <c r="R200" s="61">
        <v>0</v>
      </c>
      <c r="S200" s="230">
        <v>0</v>
      </c>
      <c r="T200" s="61">
        <v>0</v>
      </c>
      <c r="U200" s="61">
        <v>0</v>
      </c>
      <c r="V200" s="62">
        <v>0</v>
      </c>
      <c r="W200" s="76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</row>
    <row r="201" spans="1:76" s="4" customFormat="1" x14ac:dyDescent="0.35">
      <c r="A201" t="s">
        <v>166</v>
      </c>
      <c r="B201" s="4" t="s">
        <v>91</v>
      </c>
      <c r="C201" s="4" t="s">
        <v>145</v>
      </c>
      <c r="D201" s="4" t="s">
        <v>167</v>
      </c>
      <c r="E201" s="61">
        <v>0</v>
      </c>
      <c r="F201" s="61">
        <v>0</v>
      </c>
      <c r="G201" s="230">
        <v>0</v>
      </c>
      <c r="H201" s="61">
        <v>0</v>
      </c>
      <c r="I201" s="61">
        <v>0</v>
      </c>
      <c r="J201" s="230">
        <v>0</v>
      </c>
      <c r="K201" s="61">
        <v>0</v>
      </c>
      <c r="L201" s="61">
        <v>0</v>
      </c>
      <c r="M201" s="230">
        <v>0</v>
      </c>
      <c r="N201" s="61">
        <v>0</v>
      </c>
      <c r="O201" s="61">
        <v>0</v>
      </c>
      <c r="P201" s="230">
        <v>0</v>
      </c>
      <c r="Q201" s="61">
        <v>0</v>
      </c>
      <c r="R201" s="61">
        <v>0</v>
      </c>
      <c r="S201" s="230">
        <v>0</v>
      </c>
      <c r="T201" s="61">
        <v>0</v>
      </c>
      <c r="U201" s="61">
        <v>0</v>
      </c>
      <c r="V201" s="62">
        <v>0</v>
      </c>
      <c r="W201" s="76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</row>
    <row r="202" spans="1:76" s="4" customFormat="1" x14ac:dyDescent="0.35">
      <c r="A202" t="s">
        <v>156</v>
      </c>
      <c r="B202" s="4" t="s">
        <v>91</v>
      </c>
      <c r="C202" s="4" t="s">
        <v>145</v>
      </c>
      <c r="D202" s="4" t="s">
        <v>157</v>
      </c>
      <c r="E202" s="61">
        <v>0</v>
      </c>
      <c r="F202" s="61">
        <v>0</v>
      </c>
      <c r="G202" s="230">
        <v>0</v>
      </c>
      <c r="H202" s="61">
        <v>0</v>
      </c>
      <c r="I202" s="61">
        <v>0</v>
      </c>
      <c r="J202" s="230">
        <v>0</v>
      </c>
      <c r="K202" s="61">
        <v>0</v>
      </c>
      <c r="L202" s="61">
        <v>0</v>
      </c>
      <c r="M202" s="230">
        <v>0</v>
      </c>
      <c r="N202" s="61">
        <v>0</v>
      </c>
      <c r="O202" s="61">
        <v>0</v>
      </c>
      <c r="P202" s="230">
        <v>0</v>
      </c>
      <c r="Q202" s="61">
        <v>0</v>
      </c>
      <c r="R202" s="61">
        <v>0</v>
      </c>
      <c r="S202" s="230">
        <v>0</v>
      </c>
      <c r="T202" s="61">
        <v>0</v>
      </c>
      <c r="U202" s="61">
        <v>0</v>
      </c>
      <c r="V202" s="62">
        <v>0</v>
      </c>
      <c r="W202" s="76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</row>
    <row r="203" spans="1:76" s="4" customFormat="1" x14ac:dyDescent="0.35">
      <c r="A203" t="s">
        <v>158</v>
      </c>
      <c r="B203" s="4" t="s">
        <v>91</v>
      </c>
      <c r="C203" s="4" t="s">
        <v>145</v>
      </c>
      <c r="D203" s="4" t="s">
        <v>159</v>
      </c>
      <c r="E203" s="61">
        <v>0</v>
      </c>
      <c r="F203" s="61">
        <v>0</v>
      </c>
      <c r="G203" s="230">
        <v>0</v>
      </c>
      <c r="H203" s="61">
        <v>0</v>
      </c>
      <c r="I203" s="61">
        <v>0</v>
      </c>
      <c r="J203" s="230">
        <v>0</v>
      </c>
      <c r="K203" s="61">
        <v>0</v>
      </c>
      <c r="L203" s="61">
        <v>0</v>
      </c>
      <c r="M203" s="230">
        <v>0</v>
      </c>
      <c r="N203" s="61">
        <v>0</v>
      </c>
      <c r="O203" s="61">
        <v>0</v>
      </c>
      <c r="P203" s="230">
        <v>0</v>
      </c>
      <c r="Q203" s="61">
        <v>0</v>
      </c>
      <c r="R203" s="61">
        <v>0</v>
      </c>
      <c r="S203" s="230">
        <v>0</v>
      </c>
      <c r="T203" s="61">
        <v>0</v>
      </c>
      <c r="U203" s="61">
        <v>0</v>
      </c>
      <c r="V203" s="62">
        <v>0</v>
      </c>
      <c r="W203" s="76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</row>
    <row r="204" spans="1:76" s="4" customFormat="1" x14ac:dyDescent="0.35">
      <c r="A204" t="s">
        <v>160</v>
      </c>
      <c r="B204" s="4" t="s">
        <v>91</v>
      </c>
      <c r="C204" s="4" t="s">
        <v>145</v>
      </c>
      <c r="D204" s="4" t="s">
        <v>161</v>
      </c>
      <c r="E204" s="61">
        <v>0</v>
      </c>
      <c r="F204" s="61">
        <v>0</v>
      </c>
      <c r="G204" s="230">
        <v>0</v>
      </c>
      <c r="H204" s="61">
        <v>0</v>
      </c>
      <c r="I204" s="61">
        <v>0</v>
      </c>
      <c r="J204" s="230">
        <v>0</v>
      </c>
      <c r="K204" s="61">
        <v>0</v>
      </c>
      <c r="L204" s="61">
        <v>0</v>
      </c>
      <c r="M204" s="230">
        <v>0</v>
      </c>
      <c r="N204" s="61">
        <v>0</v>
      </c>
      <c r="O204" s="61">
        <v>0</v>
      </c>
      <c r="P204" s="230">
        <v>0</v>
      </c>
      <c r="Q204" s="61">
        <v>0</v>
      </c>
      <c r="R204" s="61">
        <v>0</v>
      </c>
      <c r="S204" s="230">
        <v>0</v>
      </c>
      <c r="T204" s="61">
        <v>0</v>
      </c>
      <c r="U204" s="61">
        <v>0</v>
      </c>
      <c r="V204" s="62">
        <v>0</v>
      </c>
      <c r="W204" s="76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</row>
    <row r="205" spans="1:76" s="4" customFormat="1" x14ac:dyDescent="0.35">
      <c r="A205" t="s">
        <v>162</v>
      </c>
      <c r="B205" s="4" t="s">
        <v>91</v>
      </c>
      <c r="C205" s="4" t="s">
        <v>145</v>
      </c>
      <c r="D205" s="4" t="s">
        <v>163</v>
      </c>
      <c r="E205" s="61">
        <v>0</v>
      </c>
      <c r="F205" s="61">
        <v>0</v>
      </c>
      <c r="G205" s="230">
        <v>0</v>
      </c>
      <c r="H205" s="61">
        <v>0</v>
      </c>
      <c r="I205" s="61">
        <v>0</v>
      </c>
      <c r="J205" s="230">
        <v>0</v>
      </c>
      <c r="K205" s="61">
        <v>0</v>
      </c>
      <c r="L205" s="61">
        <v>0</v>
      </c>
      <c r="M205" s="230">
        <v>0</v>
      </c>
      <c r="N205" s="61">
        <v>0</v>
      </c>
      <c r="O205" s="61">
        <v>0</v>
      </c>
      <c r="P205" s="230">
        <v>0</v>
      </c>
      <c r="Q205" s="61">
        <v>0</v>
      </c>
      <c r="R205" s="61">
        <v>0</v>
      </c>
      <c r="S205" s="230">
        <v>0</v>
      </c>
      <c r="T205" s="61">
        <v>0</v>
      </c>
      <c r="U205" s="61">
        <v>0</v>
      </c>
      <c r="V205" s="62">
        <v>0</v>
      </c>
      <c r="W205" s="76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</row>
    <row r="206" spans="1:76" s="4" customFormat="1" x14ac:dyDescent="0.35">
      <c r="A206" t="s">
        <v>164</v>
      </c>
      <c r="B206" s="4" t="s">
        <v>91</v>
      </c>
      <c r="C206" s="4" t="s">
        <v>145</v>
      </c>
      <c r="D206" s="4" t="s">
        <v>165</v>
      </c>
      <c r="E206" s="61">
        <v>0</v>
      </c>
      <c r="F206" s="61">
        <v>0</v>
      </c>
      <c r="G206" s="230">
        <v>0</v>
      </c>
      <c r="H206" s="61">
        <v>0</v>
      </c>
      <c r="I206" s="61">
        <v>0</v>
      </c>
      <c r="J206" s="230">
        <v>0</v>
      </c>
      <c r="K206" s="61">
        <v>0</v>
      </c>
      <c r="L206" s="61">
        <v>0</v>
      </c>
      <c r="M206" s="230">
        <v>0</v>
      </c>
      <c r="N206" s="61">
        <v>0</v>
      </c>
      <c r="O206" s="61">
        <v>0</v>
      </c>
      <c r="P206" s="230">
        <v>0</v>
      </c>
      <c r="Q206" s="61">
        <v>0</v>
      </c>
      <c r="R206" s="61">
        <v>0</v>
      </c>
      <c r="S206" s="230">
        <v>0</v>
      </c>
      <c r="T206" s="61">
        <v>0</v>
      </c>
      <c r="U206" s="61">
        <v>0</v>
      </c>
      <c r="V206" s="62">
        <v>0</v>
      </c>
      <c r="W206" s="76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</row>
    <row r="207" spans="1:76" s="4" customFormat="1" x14ac:dyDescent="0.35">
      <c r="A207" t="s">
        <v>168</v>
      </c>
      <c r="B207" s="4" t="s">
        <v>91</v>
      </c>
      <c r="C207" s="4" t="s">
        <v>148</v>
      </c>
      <c r="D207" s="4" t="s">
        <v>169</v>
      </c>
      <c r="E207" s="61">
        <v>0</v>
      </c>
      <c r="F207" s="61">
        <v>0</v>
      </c>
      <c r="G207" s="230">
        <v>0</v>
      </c>
      <c r="H207" s="61">
        <v>0</v>
      </c>
      <c r="I207" s="61">
        <v>0</v>
      </c>
      <c r="J207" s="230">
        <v>0</v>
      </c>
      <c r="K207" s="61">
        <v>0</v>
      </c>
      <c r="L207" s="61">
        <v>0</v>
      </c>
      <c r="M207" s="230">
        <v>0</v>
      </c>
      <c r="N207" s="61">
        <v>0</v>
      </c>
      <c r="O207" s="61">
        <v>0</v>
      </c>
      <c r="P207" s="230">
        <v>0</v>
      </c>
      <c r="Q207" s="61">
        <v>0</v>
      </c>
      <c r="R207" s="61">
        <v>0</v>
      </c>
      <c r="S207" s="230">
        <v>0</v>
      </c>
      <c r="T207" s="61">
        <v>0</v>
      </c>
      <c r="U207" s="61">
        <v>0</v>
      </c>
      <c r="V207" s="62">
        <v>0</v>
      </c>
      <c r="W207" s="76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</row>
    <row r="208" spans="1:76" s="4" customFormat="1" ht="15" thickBot="1" x14ac:dyDescent="0.4">
      <c r="A208" t="s">
        <v>170</v>
      </c>
      <c r="B208" s="4" t="s">
        <v>91</v>
      </c>
      <c r="C208" s="4" t="s">
        <v>148</v>
      </c>
      <c r="D208" s="4" t="s">
        <v>171</v>
      </c>
      <c r="E208" s="231">
        <v>0</v>
      </c>
      <c r="F208" s="231">
        <v>0</v>
      </c>
      <c r="G208" s="232">
        <v>0</v>
      </c>
      <c r="H208" s="231">
        <v>0</v>
      </c>
      <c r="I208" s="231">
        <v>0</v>
      </c>
      <c r="J208" s="232">
        <v>0</v>
      </c>
      <c r="K208" s="231">
        <v>0</v>
      </c>
      <c r="L208" s="231">
        <v>0</v>
      </c>
      <c r="M208" s="232">
        <v>0</v>
      </c>
      <c r="N208" s="231">
        <v>0</v>
      </c>
      <c r="O208" s="231">
        <v>0</v>
      </c>
      <c r="P208" s="232">
        <v>0</v>
      </c>
      <c r="Q208" s="231">
        <v>0</v>
      </c>
      <c r="R208" s="231">
        <v>0</v>
      </c>
      <c r="S208" s="232">
        <v>0</v>
      </c>
      <c r="T208" s="231">
        <v>0</v>
      </c>
      <c r="U208" s="231">
        <v>0</v>
      </c>
      <c r="V208" s="341">
        <v>0</v>
      </c>
      <c r="W208" s="76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</row>
    <row r="209" spans="1:76" x14ac:dyDescent="0.35">
      <c r="A209" t="s">
        <v>368</v>
      </c>
      <c r="B209" s="4" t="s">
        <v>92</v>
      </c>
      <c r="C209" s="4" t="s">
        <v>145</v>
      </c>
      <c r="D209" s="4" t="s">
        <v>369</v>
      </c>
      <c r="E209" s="61">
        <v>0</v>
      </c>
      <c r="F209" s="61">
        <v>0</v>
      </c>
      <c r="G209" s="230">
        <v>0</v>
      </c>
      <c r="H209" s="61">
        <v>0</v>
      </c>
      <c r="I209" s="61">
        <v>0</v>
      </c>
      <c r="J209" s="230">
        <v>0</v>
      </c>
      <c r="K209" s="61">
        <v>0</v>
      </c>
      <c r="L209" s="61">
        <v>0</v>
      </c>
      <c r="M209" s="230">
        <v>0</v>
      </c>
      <c r="N209" s="61">
        <v>0</v>
      </c>
      <c r="O209" s="61">
        <v>0</v>
      </c>
      <c r="P209" s="230">
        <v>0</v>
      </c>
      <c r="Q209" s="61">
        <v>0</v>
      </c>
      <c r="R209" s="61">
        <v>0</v>
      </c>
      <c r="S209" s="230">
        <v>0</v>
      </c>
      <c r="T209" s="61">
        <v>0</v>
      </c>
      <c r="U209" s="61">
        <v>0</v>
      </c>
      <c r="V209" s="62">
        <v>0</v>
      </c>
      <c r="W209" s="76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</row>
    <row r="210" spans="1:76" x14ac:dyDescent="0.35">
      <c r="A210" t="s">
        <v>166</v>
      </c>
      <c r="B210" s="4" t="s">
        <v>92</v>
      </c>
      <c r="C210" s="4" t="s">
        <v>145</v>
      </c>
      <c r="D210" s="4" t="s">
        <v>167</v>
      </c>
      <c r="E210" s="61">
        <v>0</v>
      </c>
      <c r="F210" s="61">
        <v>0</v>
      </c>
      <c r="G210" s="230">
        <v>0</v>
      </c>
      <c r="H210" s="61">
        <v>0</v>
      </c>
      <c r="I210" s="61">
        <v>0</v>
      </c>
      <c r="J210" s="230">
        <v>0</v>
      </c>
      <c r="K210" s="61">
        <v>0</v>
      </c>
      <c r="L210" s="61">
        <v>0</v>
      </c>
      <c r="M210" s="230">
        <v>0</v>
      </c>
      <c r="N210" s="61">
        <v>0</v>
      </c>
      <c r="O210" s="61">
        <v>0</v>
      </c>
      <c r="P210" s="230">
        <v>0</v>
      </c>
      <c r="Q210" s="61">
        <v>0</v>
      </c>
      <c r="R210" s="61">
        <v>0</v>
      </c>
      <c r="S210" s="230">
        <v>0</v>
      </c>
      <c r="T210" s="61">
        <v>0</v>
      </c>
      <c r="U210" s="61">
        <v>0</v>
      </c>
      <c r="V210" s="62">
        <v>0</v>
      </c>
      <c r="W210" s="76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</row>
    <row r="211" spans="1:76" x14ac:dyDescent="0.35">
      <c r="A211" t="s">
        <v>156</v>
      </c>
      <c r="B211" s="4" t="s">
        <v>92</v>
      </c>
      <c r="C211" s="4" t="s">
        <v>145</v>
      </c>
      <c r="D211" s="4" t="s">
        <v>157</v>
      </c>
      <c r="E211" s="61">
        <v>0</v>
      </c>
      <c r="F211" s="61">
        <v>0</v>
      </c>
      <c r="G211" s="230">
        <v>0</v>
      </c>
      <c r="H211" s="61">
        <v>0</v>
      </c>
      <c r="I211" s="61">
        <v>0</v>
      </c>
      <c r="J211" s="230">
        <v>0</v>
      </c>
      <c r="K211" s="61">
        <v>0</v>
      </c>
      <c r="L211" s="61">
        <v>0</v>
      </c>
      <c r="M211" s="230">
        <v>0</v>
      </c>
      <c r="N211" s="61">
        <v>0</v>
      </c>
      <c r="O211" s="61">
        <v>0</v>
      </c>
      <c r="P211" s="230">
        <v>0</v>
      </c>
      <c r="Q211" s="61">
        <v>0</v>
      </c>
      <c r="R211" s="61">
        <v>0</v>
      </c>
      <c r="S211" s="230">
        <v>0</v>
      </c>
      <c r="T211" s="61">
        <v>0</v>
      </c>
      <c r="U211" s="61">
        <v>0</v>
      </c>
      <c r="V211" s="62">
        <v>0</v>
      </c>
      <c r="W211" s="76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</row>
    <row r="212" spans="1:76" x14ac:dyDescent="0.35">
      <c r="A212" t="s">
        <v>158</v>
      </c>
      <c r="B212" s="4" t="s">
        <v>92</v>
      </c>
      <c r="C212" s="4" t="s">
        <v>145</v>
      </c>
      <c r="D212" s="4" t="s">
        <v>159</v>
      </c>
      <c r="E212" s="61">
        <v>0</v>
      </c>
      <c r="F212" s="61">
        <v>0</v>
      </c>
      <c r="G212" s="230">
        <v>0</v>
      </c>
      <c r="H212" s="61">
        <v>0</v>
      </c>
      <c r="I212" s="61">
        <v>0</v>
      </c>
      <c r="J212" s="230">
        <v>0</v>
      </c>
      <c r="K212" s="61">
        <v>0</v>
      </c>
      <c r="L212" s="61">
        <v>0</v>
      </c>
      <c r="M212" s="230">
        <v>0</v>
      </c>
      <c r="N212" s="61">
        <v>0</v>
      </c>
      <c r="O212" s="61">
        <v>0</v>
      </c>
      <c r="P212" s="230">
        <v>0</v>
      </c>
      <c r="Q212" s="61">
        <v>0</v>
      </c>
      <c r="R212" s="61">
        <v>0</v>
      </c>
      <c r="S212" s="230">
        <v>0</v>
      </c>
      <c r="T212" s="61">
        <v>0</v>
      </c>
      <c r="U212" s="61">
        <v>0</v>
      </c>
      <c r="V212" s="62">
        <v>0</v>
      </c>
      <c r="W212" s="76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</row>
    <row r="213" spans="1:76" x14ac:dyDescent="0.35">
      <c r="A213" t="s">
        <v>160</v>
      </c>
      <c r="B213" s="4" t="s">
        <v>92</v>
      </c>
      <c r="C213" s="4" t="s">
        <v>145</v>
      </c>
      <c r="D213" s="4" t="s">
        <v>161</v>
      </c>
      <c r="E213" s="61">
        <v>0</v>
      </c>
      <c r="F213" s="61">
        <v>0</v>
      </c>
      <c r="G213" s="230">
        <v>0</v>
      </c>
      <c r="H213" s="61">
        <v>0</v>
      </c>
      <c r="I213" s="61">
        <v>0</v>
      </c>
      <c r="J213" s="230">
        <v>0</v>
      </c>
      <c r="K213" s="61">
        <v>0</v>
      </c>
      <c r="L213" s="61">
        <v>0</v>
      </c>
      <c r="M213" s="230">
        <v>0</v>
      </c>
      <c r="N213" s="61">
        <v>0</v>
      </c>
      <c r="O213" s="61">
        <v>0</v>
      </c>
      <c r="P213" s="230">
        <v>0</v>
      </c>
      <c r="Q213" s="61">
        <v>0</v>
      </c>
      <c r="R213" s="61">
        <v>0</v>
      </c>
      <c r="S213" s="230">
        <v>0</v>
      </c>
      <c r="T213" s="61">
        <v>0</v>
      </c>
      <c r="U213" s="61">
        <v>0</v>
      </c>
      <c r="V213" s="62">
        <v>0</v>
      </c>
      <c r="W213" s="76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</row>
    <row r="214" spans="1:76" x14ac:dyDescent="0.35">
      <c r="A214" t="s">
        <v>162</v>
      </c>
      <c r="B214" s="4" t="s">
        <v>92</v>
      </c>
      <c r="C214" s="4" t="s">
        <v>145</v>
      </c>
      <c r="D214" s="4" t="s">
        <v>163</v>
      </c>
      <c r="E214" s="61">
        <v>0</v>
      </c>
      <c r="F214" s="61">
        <v>0</v>
      </c>
      <c r="G214" s="230">
        <v>0</v>
      </c>
      <c r="H214" s="61">
        <v>0</v>
      </c>
      <c r="I214" s="61">
        <v>0</v>
      </c>
      <c r="J214" s="230">
        <v>0</v>
      </c>
      <c r="K214" s="61">
        <v>0</v>
      </c>
      <c r="L214" s="61">
        <v>0</v>
      </c>
      <c r="M214" s="230">
        <v>0</v>
      </c>
      <c r="N214" s="61">
        <v>0</v>
      </c>
      <c r="O214" s="61">
        <v>0</v>
      </c>
      <c r="P214" s="230">
        <v>0</v>
      </c>
      <c r="Q214" s="61">
        <v>0</v>
      </c>
      <c r="R214" s="61">
        <v>0</v>
      </c>
      <c r="S214" s="230">
        <v>0</v>
      </c>
      <c r="T214" s="61">
        <v>0</v>
      </c>
      <c r="U214" s="61">
        <v>0</v>
      </c>
      <c r="V214" s="62">
        <v>0</v>
      </c>
      <c r="W214" s="76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</row>
    <row r="215" spans="1:76" x14ac:dyDescent="0.35">
      <c r="A215" t="s">
        <v>164</v>
      </c>
      <c r="B215" s="4" t="s">
        <v>92</v>
      </c>
      <c r="C215" s="4" t="s">
        <v>145</v>
      </c>
      <c r="D215" s="4" t="s">
        <v>165</v>
      </c>
      <c r="E215" s="61">
        <v>0</v>
      </c>
      <c r="F215" s="61">
        <v>0</v>
      </c>
      <c r="G215" s="230">
        <v>0</v>
      </c>
      <c r="H215" s="61">
        <v>0</v>
      </c>
      <c r="I215" s="61">
        <v>0</v>
      </c>
      <c r="J215" s="230">
        <v>0</v>
      </c>
      <c r="K215" s="61">
        <v>0</v>
      </c>
      <c r="L215" s="61">
        <v>0</v>
      </c>
      <c r="M215" s="230">
        <v>0</v>
      </c>
      <c r="N215" s="61">
        <v>0</v>
      </c>
      <c r="O215" s="61">
        <v>0</v>
      </c>
      <c r="P215" s="230">
        <v>0</v>
      </c>
      <c r="Q215" s="61">
        <v>0</v>
      </c>
      <c r="R215" s="61">
        <v>0</v>
      </c>
      <c r="S215" s="230">
        <v>0</v>
      </c>
      <c r="T215" s="61">
        <v>0</v>
      </c>
      <c r="U215" s="61">
        <v>0</v>
      </c>
      <c r="V215" s="62">
        <v>0</v>
      </c>
      <c r="W215" s="76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</row>
    <row r="216" spans="1:76" x14ac:dyDescent="0.35">
      <c r="A216" t="s">
        <v>168</v>
      </c>
      <c r="B216" s="4" t="s">
        <v>92</v>
      </c>
      <c r="C216" s="4" t="s">
        <v>148</v>
      </c>
      <c r="D216" s="4" t="s">
        <v>169</v>
      </c>
      <c r="E216" s="61">
        <v>0</v>
      </c>
      <c r="F216" s="61">
        <v>0</v>
      </c>
      <c r="G216" s="230">
        <v>0</v>
      </c>
      <c r="H216" s="61">
        <v>0</v>
      </c>
      <c r="I216" s="61">
        <v>0</v>
      </c>
      <c r="J216" s="230">
        <v>0</v>
      </c>
      <c r="K216" s="61">
        <v>0</v>
      </c>
      <c r="L216" s="61">
        <v>0</v>
      </c>
      <c r="M216" s="230">
        <v>0</v>
      </c>
      <c r="N216" s="61">
        <v>0</v>
      </c>
      <c r="O216" s="61">
        <v>0</v>
      </c>
      <c r="P216" s="230">
        <v>0</v>
      </c>
      <c r="Q216" s="61">
        <v>0</v>
      </c>
      <c r="R216" s="61">
        <v>0</v>
      </c>
      <c r="S216" s="230">
        <v>0</v>
      </c>
      <c r="T216" s="61">
        <v>0</v>
      </c>
      <c r="U216" s="61">
        <v>0</v>
      </c>
      <c r="V216" s="62">
        <v>0</v>
      </c>
      <c r="W216" s="76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</row>
    <row r="217" spans="1:76" ht="15" thickBot="1" x14ac:dyDescent="0.4">
      <c r="A217" t="s">
        <v>170</v>
      </c>
      <c r="B217" s="4" t="s">
        <v>92</v>
      </c>
      <c r="C217" s="4" t="s">
        <v>148</v>
      </c>
      <c r="D217" s="4" t="s">
        <v>171</v>
      </c>
      <c r="E217" s="231">
        <v>0</v>
      </c>
      <c r="F217" s="231">
        <v>0</v>
      </c>
      <c r="G217" s="232">
        <v>0</v>
      </c>
      <c r="H217" s="231">
        <v>0</v>
      </c>
      <c r="I217" s="231">
        <v>0</v>
      </c>
      <c r="J217" s="232">
        <v>0</v>
      </c>
      <c r="K217" s="231">
        <v>0</v>
      </c>
      <c r="L217" s="231">
        <v>0</v>
      </c>
      <c r="M217" s="232">
        <v>0</v>
      </c>
      <c r="N217" s="231">
        <v>0</v>
      </c>
      <c r="O217" s="231">
        <v>0</v>
      </c>
      <c r="P217" s="232">
        <v>0</v>
      </c>
      <c r="Q217" s="231">
        <v>0</v>
      </c>
      <c r="R217" s="231">
        <v>0</v>
      </c>
      <c r="S217" s="232">
        <v>0</v>
      </c>
      <c r="T217" s="231">
        <v>0</v>
      </c>
      <c r="U217" s="231">
        <v>0</v>
      </c>
      <c r="V217" s="341">
        <v>0</v>
      </c>
      <c r="W217" s="76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</row>
    <row r="218" spans="1:76" x14ac:dyDescent="0.35">
      <c r="A218" t="s">
        <v>368</v>
      </c>
      <c r="B218" s="4" t="s">
        <v>93</v>
      </c>
      <c r="C218" s="4" t="s">
        <v>145</v>
      </c>
      <c r="D218" s="4" t="s">
        <v>369</v>
      </c>
      <c r="E218" s="61">
        <v>0</v>
      </c>
      <c r="F218" s="61">
        <v>0</v>
      </c>
      <c r="G218" s="230">
        <v>0</v>
      </c>
      <c r="H218" s="61">
        <v>0</v>
      </c>
      <c r="I218" s="61">
        <v>0</v>
      </c>
      <c r="J218" s="230">
        <v>0</v>
      </c>
      <c r="K218" s="61">
        <v>0</v>
      </c>
      <c r="L218" s="61">
        <v>0</v>
      </c>
      <c r="M218" s="230">
        <v>0</v>
      </c>
      <c r="N218" s="61">
        <v>0</v>
      </c>
      <c r="O218" s="61">
        <v>0</v>
      </c>
      <c r="P218" s="230">
        <v>0</v>
      </c>
      <c r="Q218" s="61">
        <v>0</v>
      </c>
      <c r="R218" s="61">
        <v>0</v>
      </c>
      <c r="S218" s="230">
        <v>0</v>
      </c>
      <c r="T218" s="61">
        <v>0</v>
      </c>
      <c r="U218" s="61">
        <v>0</v>
      </c>
      <c r="V218" s="62">
        <v>0</v>
      </c>
      <c r="W218" s="76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</row>
    <row r="219" spans="1:76" x14ac:dyDescent="0.35">
      <c r="A219" t="s">
        <v>166</v>
      </c>
      <c r="B219" s="4" t="s">
        <v>93</v>
      </c>
      <c r="C219" s="4" t="s">
        <v>145</v>
      </c>
      <c r="D219" s="4" t="s">
        <v>167</v>
      </c>
      <c r="E219" s="61">
        <v>0</v>
      </c>
      <c r="F219" s="61">
        <v>0</v>
      </c>
      <c r="G219" s="230">
        <v>0</v>
      </c>
      <c r="H219" s="61">
        <v>0</v>
      </c>
      <c r="I219" s="61">
        <v>0</v>
      </c>
      <c r="J219" s="230">
        <v>0</v>
      </c>
      <c r="K219" s="61">
        <v>0</v>
      </c>
      <c r="L219" s="61">
        <v>0</v>
      </c>
      <c r="M219" s="230">
        <v>0</v>
      </c>
      <c r="N219" s="61">
        <v>0</v>
      </c>
      <c r="O219" s="61">
        <v>0</v>
      </c>
      <c r="P219" s="230">
        <v>0</v>
      </c>
      <c r="Q219" s="61">
        <v>0</v>
      </c>
      <c r="R219" s="61">
        <v>0</v>
      </c>
      <c r="S219" s="230">
        <v>0</v>
      </c>
      <c r="T219" s="61">
        <v>0</v>
      </c>
      <c r="U219" s="61">
        <v>0</v>
      </c>
      <c r="V219" s="62">
        <v>0</v>
      </c>
      <c r="W219" s="76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</row>
    <row r="220" spans="1:76" x14ac:dyDescent="0.35">
      <c r="A220" t="s">
        <v>156</v>
      </c>
      <c r="B220" s="4" t="s">
        <v>93</v>
      </c>
      <c r="C220" s="4" t="s">
        <v>145</v>
      </c>
      <c r="D220" s="4" t="s">
        <v>157</v>
      </c>
      <c r="E220" s="61">
        <v>0</v>
      </c>
      <c r="F220" s="61">
        <v>0</v>
      </c>
      <c r="G220" s="230">
        <v>0</v>
      </c>
      <c r="H220" s="61">
        <v>0</v>
      </c>
      <c r="I220" s="61">
        <v>0</v>
      </c>
      <c r="J220" s="230">
        <v>0</v>
      </c>
      <c r="K220" s="61">
        <v>0</v>
      </c>
      <c r="L220" s="61">
        <v>0</v>
      </c>
      <c r="M220" s="230">
        <v>0</v>
      </c>
      <c r="N220" s="61">
        <v>0</v>
      </c>
      <c r="O220" s="61">
        <v>0</v>
      </c>
      <c r="P220" s="230">
        <v>0</v>
      </c>
      <c r="Q220" s="61">
        <v>0</v>
      </c>
      <c r="R220" s="61">
        <v>0</v>
      </c>
      <c r="S220" s="230">
        <v>0</v>
      </c>
      <c r="T220" s="61">
        <v>0</v>
      </c>
      <c r="U220" s="61">
        <v>0</v>
      </c>
      <c r="V220" s="62">
        <v>0</v>
      </c>
      <c r="W220" s="76"/>
      <c r="X220" s="38"/>
      <c r="Y220" s="76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</row>
    <row r="221" spans="1:76" x14ac:dyDescent="0.35">
      <c r="A221" t="s">
        <v>158</v>
      </c>
      <c r="B221" s="4" t="s">
        <v>93</v>
      </c>
      <c r="C221" s="4" t="s">
        <v>145</v>
      </c>
      <c r="D221" s="4" t="s">
        <v>159</v>
      </c>
      <c r="E221" s="61">
        <v>0</v>
      </c>
      <c r="F221" s="61">
        <v>0</v>
      </c>
      <c r="G221" s="230">
        <v>0</v>
      </c>
      <c r="H221" s="61">
        <v>0</v>
      </c>
      <c r="I221" s="61">
        <v>0</v>
      </c>
      <c r="J221" s="230">
        <v>0</v>
      </c>
      <c r="K221" s="61">
        <v>0</v>
      </c>
      <c r="L221" s="61">
        <v>0</v>
      </c>
      <c r="M221" s="230">
        <v>0</v>
      </c>
      <c r="N221" s="61">
        <v>0</v>
      </c>
      <c r="O221" s="61">
        <v>0</v>
      </c>
      <c r="P221" s="230">
        <v>0</v>
      </c>
      <c r="Q221" s="61">
        <v>0</v>
      </c>
      <c r="R221" s="61">
        <v>0</v>
      </c>
      <c r="S221" s="230">
        <v>0</v>
      </c>
      <c r="T221" s="61">
        <v>0</v>
      </c>
      <c r="U221" s="61">
        <v>0</v>
      </c>
      <c r="V221" s="62">
        <v>0</v>
      </c>
      <c r="W221" s="76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</row>
    <row r="222" spans="1:76" x14ac:dyDescent="0.35">
      <c r="A222" t="s">
        <v>160</v>
      </c>
      <c r="B222" s="4" t="s">
        <v>93</v>
      </c>
      <c r="C222" s="4" t="s">
        <v>145</v>
      </c>
      <c r="D222" s="4" t="s">
        <v>161</v>
      </c>
      <c r="E222" s="61">
        <v>0</v>
      </c>
      <c r="F222" s="61">
        <v>0</v>
      </c>
      <c r="G222" s="230">
        <v>0</v>
      </c>
      <c r="H222" s="61">
        <v>0</v>
      </c>
      <c r="I222" s="61">
        <v>0</v>
      </c>
      <c r="J222" s="230">
        <v>0</v>
      </c>
      <c r="K222" s="61">
        <v>0</v>
      </c>
      <c r="L222" s="61">
        <v>0</v>
      </c>
      <c r="M222" s="230">
        <v>0</v>
      </c>
      <c r="N222" s="61">
        <v>0</v>
      </c>
      <c r="O222" s="61">
        <v>0</v>
      </c>
      <c r="P222" s="230">
        <v>0</v>
      </c>
      <c r="Q222" s="61">
        <v>0</v>
      </c>
      <c r="R222" s="61">
        <v>0</v>
      </c>
      <c r="S222" s="230">
        <v>0</v>
      </c>
      <c r="T222" s="61">
        <v>0</v>
      </c>
      <c r="U222" s="61">
        <v>0</v>
      </c>
      <c r="V222" s="62">
        <v>0</v>
      </c>
      <c r="W222" s="76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</row>
    <row r="223" spans="1:76" x14ac:dyDescent="0.35">
      <c r="A223" t="s">
        <v>162</v>
      </c>
      <c r="B223" s="4" t="s">
        <v>93</v>
      </c>
      <c r="C223" s="4" t="s">
        <v>145</v>
      </c>
      <c r="D223" s="4" t="s">
        <v>163</v>
      </c>
      <c r="E223" s="61">
        <v>0</v>
      </c>
      <c r="F223" s="61">
        <v>0</v>
      </c>
      <c r="G223" s="230">
        <v>0</v>
      </c>
      <c r="H223" s="61">
        <v>0</v>
      </c>
      <c r="I223" s="61">
        <v>0</v>
      </c>
      <c r="J223" s="230">
        <v>0</v>
      </c>
      <c r="K223" s="61">
        <v>0</v>
      </c>
      <c r="L223" s="61">
        <v>0</v>
      </c>
      <c r="M223" s="230">
        <v>0</v>
      </c>
      <c r="N223" s="61">
        <v>0</v>
      </c>
      <c r="O223" s="61">
        <v>0</v>
      </c>
      <c r="P223" s="230">
        <v>0</v>
      </c>
      <c r="Q223" s="61">
        <v>0</v>
      </c>
      <c r="R223" s="61">
        <v>0</v>
      </c>
      <c r="S223" s="230">
        <v>0</v>
      </c>
      <c r="T223" s="61">
        <v>0</v>
      </c>
      <c r="U223" s="61">
        <v>0</v>
      </c>
      <c r="V223" s="62">
        <v>0</v>
      </c>
      <c r="W223" s="76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</row>
    <row r="224" spans="1:76" x14ac:dyDescent="0.35">
      <c r="A224" t="s">
        <v>164</v>
      </c>
      <c r="B224" s="4" t="s">
        <v>93</v>
      </c>
      <c r="C224" s="4" t="s">
        <v>145</v>
      </c>
      <c r="D224" s="4" t="s">
        <v>165</v>
      </c>
      <c r="E224" s="61">
        <v>0</v>
      </c>
      <c r="F224" s="61">
        <v>0</v>
      </c>
      <c r="G224" s="230">
        <v>0</v>
      </c>
      <c r="H224" s="61">
        <v>0</v>
      </c>
      <c r="I224" s="61">
        <v>0</v>
      </c>
      <c r="J224" s="230">
        <v>0</v>
      </c>
      <c r="K224" s="61">
        <v>0</v>
      </c>
      <c r="L224" s="61">
        <v>0</v>
      </c>
      <c r="M224" s="230">
        <v>0</v>
      </c>
      <c r="N224" s="61">
        <v>0</v>
      </c>
      <c r="O224" s="61">
        <v>0</v>
      </c>
      <c r="P224" s="230">
        <v>0</v>
      </c>
      <c r="Q224" s="61">
        <v>0</v>
      </c>
      <c r="R224" s="61">
        <v>0</v>
      </c>
      <c r="S224" s="230">
        <v>0</v>
      </c>
      <c r="T224" s="61">
        <v>0</v>
      </c>
      <c r="U224" s="61">
        <v>0</v>
      </c>
      <c r="V224" s="62">
        <v>0</v>
      </c>
      <c r="W224" s="76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</row>
    <row r="225" spans="1:86" x14ac:dyDescent="0.35">
      <c r="A225" t="s">
        <v>168</v>
      </c>
      <c r="B225" s="4" t="s">
        <v>93</v>
      </c>
      <c r="C225" s="4" t="s">
        <v>148</v>
      </c>
      <c r="D225" s="4" t="s">
        <v>169</v>
      </c>
      <c r="E225" s="61">
        <v>0</v>
      </c>
      <c r="F225" s="61">
        <v>0</v>
      </c>
      <c r="G225" s="230">
        <v>0</v>
      </c>
      <c r="H225" s="61">
        <v>0</v>
      </c>
      <c r="I225" s="61">
        <v>0</v>
      </c>
      <c r="J225" s="230">
        <v>0</v>
      </c>
      <c r="K225" s="61">
        <v>0</v>
      </c>
      <c r="L225" s="61">
        <v>0</v>
      </c>
      <c r="M225" s="230">
        <v>0</v>
      </c>
      <c r="N225" s="61">
        <v>0</v>
      </c>
      <c r="O225" s="61">
        <v>0</v>
      </c>
      <c r="P225" s="230">
        <v>0</v>
      </c>
      <c r="Q225" s="61">
        <v>0</v>
      </c>
      <c r="R225" s="61">
        <v>0</v>
      </c>
      <c r="S225" s="230">
        <v>0</v>
      </c>
      <c r="T225" s="61">
        <v>0</v>
      </c>
      <c r="U225" s="61">
        <v>0</v>
      </c>
      <c r="V225" s="62">
        <v>0</v>
      </c>
      <c r="W225" s="76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</row>
    <row r="226" spans="1:86" s="7" customFormat="1" x14ac:dyDescent="0.35">
      <c r="A226" s="7" t="s">
        <v>170</v>
      </c>
      <c r="B226" s="6" t="s">
        <v>93</v>
      </c>
      <c r="C226" s="6" t="s">
        <v>148</v>
      </c>
      <c r="D226" s="6" t="s">
        <v>171</v>
      </c>
      <c r="E226" s="63">
        <v>0</v>
      </c>
      <c r="F226" s="63">
        <v>0</v>
      </c>
      <c r="G226" s="342">
        <v>0</v>
      </c>
      <c r="H226" s="63">
        <v>0</v>
      </c>
      <c r="I226" s="63">
        <v>0</v>
      </c>
      <c r="J226" s="342">
        <v>0</v>
      </c>
      <c r="K226" s="63">
        <v>0</v>
      </c>
      <c r="L226" s="63">
        <v>0</v>
      </c>
      <c r="M226" s="342">
        <v>0</v>
      </c>
      <c r="N226" s="63">
        <v>0</v>
      </c>
      <c r="O226" s="63">
        <v>0</v>
      </c>
      <c r="P226" s="342">
        <v>0</v>
      </c>
      <c r="Q226" s="63">
        <v>0</v>
      </c>
      <c r="R226" s="63">
        <v>0</v>
      </c>
      <c r="S226" s="342">
        <v>0</v>
      </c>
      <c r="T226" s="63">
        <v>0</v>
      </c>
      <c r="U226" s="63">
        <v>0</v>
      </c>
      <c r="V226" s="64">
        <v>0</v>
      </c>
      <c r="W226" s="227"/>
      <c r="X226" s="194"/>
      <c r="Y226" s="194"/>
      <c r="Z226" s="194"/>
      <c r="AA226" s="194"/>
      <c r="AB226" s="194"/>
      <c r="AC226" s="194"/>
      <c r="AD226" s="194"/>
      <c r="AE226" s="194"/>
      <c r="AF226" s="194"/>
      <c r="AG226" s="194"/>
      <c r="AH226" s="194"/>
      <c r="AI226" s="194"/>
      <c r="AJ226" s="194"/>
      <c r="AK226" s="194"/>
      <c r="AL226" s="194"/>
      <c r="AM226" s="194"/>
      <c r="AN226" s="194"/>
      <c r="AO226" s="194"/>
      <c r="AP226" s="194"/>
      <c r="AQ226" s="194"/>
      <c r="AR226" s="194"/>
      <c r="AS226" s="194"/>
      <c r="AT226" s="194"/>
      <c r="AU226" s="194"/>
      <c r="AV226" s="194"/>
      <c r="AW226" s="194"/>
      <c r="AX226" s="194"/>
      <c r="AY226" s="194"/>
      <c r="AZ226" s="194"/>
      <c r="BA226" s="194"/>
      <c r="BB226" s="194"/>
      <c r="BC226" s="194"/>
      <c r="BD226" s="194"/>
      <c r="BE226" s="194"/>
      <c r="BF226" s="194"/>
      <c r="BG226" s="194"/>
      <c r="BH226" s="194"/>
      <c r="BI226" s="194"/>
      <c r="BJ226" s="194"/>
      <c r="BK226" s="194"/>
      <c r="BL226" s="194"/>
      <c r="BM226" s="194"/>
      <c r="BN226" s="194"/>
      <c r="BO226" s="194"/>
      <c r="BP226" s="194"/>
      <c r="BQ226" s="194"/>
      <c r="BR226" s="194"/>
      <c r="BS226" s="194"/>
      <c r="BT226" s="194"/>
      <c r="BU226" s="194"/>
      <c r="BV226" s="194"/>
      <c r="BW226" s="194"/>
      <c r="BX226" s="194"/>
      <c r="BY226" s="6"/>
      <c r="BZ226" s="6"/>
      <c r="CA226" s="6"/>
      <c r="CB226" s="6"/>
      <c r="CC226" s="6"/>
      <c r="CD226" s="6"/>
      <c r="CH226" s="6"/>
    </row>
    <row r="227" spans="1:86" x14ac:dyDescent="0.35">
      <c r="A227" t="s">
        <v>176</v>
      </c>
      <c r="B227" s="4" t="s">
        <v>73</v>
      </c>
      <c r="C227" s="4" t="s">
        <v>145</v>
      </c>
      <c r="D227" s="4" t="s">
        <v>177</v>
      </c>
      <c r="W227" s="66" cm="1">
        <f t="array" ref="W227:AE298">MMULT(W76:AE147,MINVERSE(_xlfn.MUNIT(9)*CF22:CF30))</f>
        <v>0</v>
      </c>
      <c r="X227" s="66">
        <v>0</v>
      </c>
      <c r="Y227" s="65">
        <v>1.9500181678711294E-2</v>
      </c>
      <c r="Z227" s="65">
        <v>1.9500181678711294E-2</v>
      </c>
      <c r="AA227" s="66">
        <v>0</v>
      </c>
      <c r="AB227" s="66">
        <v>0</v>
      </c>
      <c r="AC227" s="66">
        <v>0</v>
      </c>
      <c r="AD227" s="66">
        <v>0</v>
      </c>
      <c r="AE227" s="68">
        <v>0</v>
      </c>
      <c r="AF227" s="66">
        <v>0</v>
      </c>
      <c r="AG227" s="66">
        <v>0</v>
      </c>
      <c r="AH227" s="66">
        <v>0</v>
      </c>
      <c r="AI227" s="66">
        <v>0</v>
      </c>
      <c r="AJ227" s="66">
        <v>0</v>
      </c>
      <c r="AK227" s="66">
        <v>0</v>
      </c>
      <c r="AL227" s="66">
        <v>0</v>
      </c>
      <c r="AM227" s="66">
        <v>0</v>
      </c>
      <c r="AN227" s="68">
        <v>0</v>
      </c>
      <c r="AO227" s="66">
        <v>0</v>
      </c>
      <c r="AP227" s="66">
        <v>0</v>
      </c>
      <c r="AQ227" s="66">
        <v>0</v>
      </c>
      <c r="AR227" s="66">
        <v>0</v>
      </c>
      <c r="AS227" s="66">
        <v>0</v>
      </c>
      <c r="AT227" s="66">
        <v>0</v>
      </c>
      <c r="AU227" s="66">
        <v>0</v>
      </c>
      <c r="AV227" s="66">
        <v>0</v>
      </c>
      <c r="AW227" s="68">
        <v>0</v>
      </c>
      <c r="AX227" s="66">
        <v>0</v>
      </c>
      <c r="AY227" s="66">
        <v>0</v>
      </c>
      <c r="AZ227" s="66">
        <v>0</v>
      </c>
      <c r="BA227" s="66">
        <v>0</v>
      </c>
      <c r="BB227" s="66">
        <v>0</v>
      </c>
      <c r="BC227" s="66">
        <v>0</v>
      </c>
      <c r="BD227" s="66">
        <v>0</v>
      </c>
      <c r="BE227" s="66">
        <v>0</v>
      </c>
      <c r="BF227" s="68">
        <v>0</v>
      </c>
      <c r="BG227" s="66">
        <v>0</v>
      </c>
      <c r="BH227" s="66">
        <v>0</v>
      </c>
      <c r="BI227" s="66">
        <v>0</v>
      </c>
      <c r="BJ227" s="66">
        <v>0</v>
      </c>
      <c r="BK227" s="66">
        <v>0</v>
      </c>
      <c r="BL227" s="66">
        <v>0</v>
      </c>
      <c r="BM227" s="66">
        <v>0</v>
      </c>
      <c r="BN227" s="66">
        <v>0</v>
      </c>
      <c r="BO227" s="68">
        <v>0</v>
      </c>
      <c r="BP227" s="66">
        <v>0</v>
      </c>
      <c r="BQ227" s="66">
        <v>0</v>
      </c>
      <c r="BR227" s="66">
        <v>0</v>
      </c>
      <c r="BS227" s="66">
        <v>0</v>
      </c>
      <c r="BT227" s="66">
        <v>0</v>
      </c>
      <c r="BU227" s="66">
        <v>0</v>
      </c>
      <c r="BV227" s="66">
        <v>0</v>
      </c>
      <c r="BW227" s="66">
        <v>0</v>
      </c>
      <c r="BX227" s="66">
        <v>0</v>
      </c>
    </row>
    <row r="228" spans="1:86" x14ac:dyDescent="0.35">
      <c r="A228" s="77" t="s">
        <v>183</v>
      </c>
      <c r="B228" s="4" t="s">
        <v>73</v>
      </c>
      <c r="C228" s="4" t="s">
        <v>145</v>
      </c>
      <c r="D228" s="4" t="s">
        <v>184</v>
      </c>
      <c r="W228" s="66">
        <v>0</v>
      </c>
      <c r="X228" s="66">
        <v>0</v>
      </c>
      <c r="Y228" s="66">
        <v>0</v>
      </c>
      <c r="Z228" s="66">
        <v>0</v>
      </c>
      <c r="AA228" s="66">
        <v>0</v>
      </c>
      <c r="AB228" s="66">
        <v>0</v>
      </c>
      <c r="AC228" s="66">
        <v>0</v>
      </c>
      <c r="AD228" s="66">
        <v>0</v>
      </c>
      <c r="AE228" s="68">
        <v>0</v>
      </c>
      <c r="AF228" s="66">
        <v>0</v>
      </c>
      <c r="AG228" s="66">
        <v>0</v>
      </c>
      <c r="AH228" s="66">
        <v>0</v>
      </c>
      <c r="AI228" s="66">
        <v>0</v>
      </c>
      <c r="AJ228" s="66">
        <v>0</v>
      </c>
      <c r="AK228" s="66">
        <v>0</v>
      </c>
      <c r="AL228" s="66">
        <v>0</v>
      </c>
      <c r="AM228" s="66">
        <v>0</v>
      </c>
      <c r="AN228" s="68">
        <v>0</v>
      </c>
      <c r="AO228" s="66">
        <v>0</v>
      </c>
      <c r="AP228" s="66">
        <v>0</v>
      </c>
      <c r="AQ228" s="66">
        <v>0</v>
      </c>
      <c r="AR228" s="66">
        <v>0</v>
      </c>
      <c r="AS228" s="66">
        <v>0</v>
      </c>
      <c r="AT228" s="66">
        <v>0</v>
      </c>
      <c r="AU228" s="66">
        <v>0</v>
      </c>
      <c r="AV228" s="66">
        <v>0</v>
      </c>
      <c r="AW228" s="68">
        <v>0</v>
      </c>
      <c r="AX228" s="66">
        <v>0</v>
      </c>
      <c r="AY228" s="66">
        <v>0</v>
      </c>
      <c r="AZ228" s="66">
        <v>0</v>
      </c>
      <c r="BA228" s="66">
        <v>0</v>
      </c>
      <c r="BB228" s="66">
        <v>0</v>
      </c>
      <c r="BC228" s="66">
        <v>0</v>
      </c>
      <c r="BD228" s="66">
        <v>0</v>
      </c>
      <c r="BE228" s="66">
        <v>0</v>
      </c>
      <c r="BF228" s="68">
        <v>0</v>
      </c>
      <c r="BG228" s="66">
        <v>0</v>
      </c>
      <c r="BH228" s="66">
        <v>0</v>
      </c>
      <c r="BI228" s="66">
        <v>0</v>
      </c>
      <c r="BJ228" s="66">
        <v>0</v>
      </c>
      <c r="BK228" s="66">
        <v>0</v>
      </c>
      <c r="BL228" s="66">
        <v>0</v>
      </c>
      <c r="BM228" s="66">
        <v>0</v>
      </c>
      <c r="BN228" s="66">
        <v>0</v>
      </c>
      <c r="BO228" s="68">
        <v>0</v>
      </c>
      <c r="BP228" s="66">
        <v>0</v>
      </c>
      <c r="BQ228" s="66">
        <v>0</v>
      </c>
      <c r="BR228" s="66">
        <v>0</v>
      </c>
      <c r="BS228" s="66">
        <v>0</v>
      </c>
      <c r="BT228" s="66">
        <v>0</v>
      </c>
      <c r="BU228" s="66">
        <v>0</v>
      </c>
      <c r="BV228" s="66">
        <v>0</v>
      </c>
      <c r="BW228" s="66">
        <v>0</v>
      </c>
      <c r="BX228" s="66">
        <v>0</v>
      </c>
    </row>
    <row r="229" spans="1:86" x14ac:dyDescent="0.35">
      <c r="A229" t="s">
        <v>185</v>
      </c>
      <c r="B229" s="4" t="s">
        <v>73</v>
      </c>
      <c r="C229" s="4" t="s">
        <v>145</v>
      </c>
      <c r="D229" s="4" t="s">
        <v>186</v>
      </c>
      <c r="W229" s="66">
        <v>0</v>
      </c>
      <c r="X229" s="66">
        <v>0</v>
      </c>
      <c r="Y229" s="65">
        <v>1.9404661061278542E-3</v>
      </c>
      <c r="Z229" s="65">
        <v>1.9404661061278542E-3</v>
      </c>
      <c r="AA229" s="66">
        <v>0</v>
      </c>
      <c r="AB229" s="66">
        <v>0</v>
      </c>
      <c r="AC229" s="66">
        <v>0</v>
      </c>
      <c r="AD229" s="66">
        <v>0</v>
      </c>
      <c r="AE229" s="68">
        <v>0</v>
      </c>
      <c r="AF229" s="66">
        <v>0</v>
      </c>
      <c r="AG229" s="66">
        <v>0</v>
      </c>
      <c r="AH229" s="66">
        <v>0</v>
      </c>
      <c r="AI229" s="66">
        <v>0</v>
      </c>
      <c r="AJ229" s="66">
        <v>0</v>
      </c>
      <c r="AK229" s="66">
        <v>0</v>
      </c>
      <c r="AL229" s="66">
        <v>0</v>
      </c>
      <c r="AM229" s="66">
        <v>0</v>
      </c>
      <c r="AN229" s="68">
        <v>0</v>
      </c>
      <c r="AO229" s="66">
        <v>0</v>
      </c>
      <c r="AP229" s="66">
        <v>0</v>
      </c>
      <c r="AQ229" s="66">
        <v>0</v>
      </c>
      <c r="AR229" s="66">
        <v>0</v>
      </c>
      <c r="AS229" s="66">
        <v>0</v>
      </c>
      <c r="AT229" s="66">
        <v>0</v>
      </c>
      <c r="AU229" s="66">
        <v>0</v>
      </c>
      <c r="AV229" s="66">
        <v>0</v>
      </c>
      <c r="AW229" s="68">
        <v>0</v>
      </c>
      <c r="AX229" s="66">
        <v>0</v>
      </c>
      <c r="AY229" s="66">
        <v>0</v>
      </c>
      <c r="AZ229" s="66">
        <v>0</v>
      </c>
      <c r="BA229" s="66">
        <v>0</v>
      </c>
      <c r="BB229" s="66">
        <v>0</v>
      </c>
      <c r="BC229" s="66">
        <v>0</v>
      </c>
      <c r="BD229" s="66">
        <v>0</v>
      </c>
      <c r="BE229" s="66">
        <v>0</v>
      </c>
      <c r="BF229" s="68">
        <v>0</v>
      </c>
      <c r="BG229" s="66">
        <v>0</v>
      </c>
      <c r="BH229" s="66">
        <v>0</v>
      </c>
      <c r="BI229" s="66">
        <v>0</v>
      </c>
      <c r="BJ229" s="66">
        <v>0</v>
      </c>
      <c r="BK229" s="66">
        <v>0</v>
      </c>
      <c r="BL229" s="66">
        <v>0</v>
      </c>
      <c r="BM229" s="66">
        <v>0</v>
      </c>
      <c r="BN229" s="66">
        <v>0</v>
      </c>
      <c r="BO229" s="68">
        <v>0</v>
      </c>
      <c r="BP229" s="66">
        <v>0</v>
      </c>
      <c r="BQ229" s="66">
        <v>0</v>
      </c>
      <c r="BR229" s="66">
        <v>0</v>
      </c>
      <c r="BS229" s="66">
        <v>0</v>
      </c>
      <c r="BT229" s="66">
        <v>0</v>
      </c>
      <c r="BU229" s="66">
        <v>0</v>
      </c>
      <c r="BV229" s="66">
        <v>0</v>
      </c>
      <c r="BW229" s="66">
        <v>0</v>
      </c>
      <c r="BX229" s="66">
        <v>0</v>
      </c>
    </row>
    <row r="230" spans="1:86" x14ac:dyDescent="0.35">
      <c r="A230" t="s">
        <v>187</v>
      </c>
      <c r="B230" s="4" t="s">
        <v>73</v>
      </c>
      <c r="C230" s="4" t="s">
        <v>145</v>
      </c>
      <c r="D230" s="4" t="s">
        <v>188</v>
      </c>
      <c r="W230" s="66">
        <v>0</v>
      </c>
      <c r="X230" s="66">
        <v>0</v>
      </c>
      <c r="Y230" s="65">
        <v>5.8423628191201782E-3</v>
      </c>
      <c r="Z230" s="65">
        <v>5.8423628191201782E-3</v>
      </c>
      <c r="AA230" s="66">
        <v>0</v>
      </c>
      <c r="AB230" s="66">
        <v>0</v>
      </c>
      <c r="AC230" s="66">
        <v>0</v>
      </c>
      <c r="AD230" s="66">
        <v>0</v>
      </c>
      <c r="AE230" s="68">
        <v>0</v>
      </c>
      <c r="AF230" s="66">
        <v>0</v>
      </c>
      <c r="AG230" s="66">
        <v>0</v>
      </c>
      <c r="AH230" s="66">
        <v>0</v>
      </c>
      <c r="AI230" s="66">
        <v>0</v>
      </c>
      <c r="AJ230" s="66">
        <v>0</v>
      </c>
      <c r="AK230" s="66">
        <v>0</v>
      </c>
      <c r="AL230" s="66">
        <v>0</v>
      </c>
      <c r="AM230" s="66">
        <v>0</v>
      </c>
      <c r="AN230" s="68">
        <v>0</v>
      </c>
      <c r="AO230" s="66">
        <v>0</v>
      </c>
      <c r="AP230" s="66">
        <v>0</v>
      </c>
      <c r="AQ230" s="66">
        <v>0</v>
      </c>
      <c r="AR230" s="66">
        <v>0</v>
      </c>
      <c r="AS230" s="66">
        <v>0</v>
      </c>
      <c r="AT230" s="66">
        <v>0</v>
      </c>
      <c r="AU230" s="66">
        <v>0</v>
      </c>
      <c r="AV230" s="66">
        <v>0</v>
      </c>
      <c r="AW230" s="68">
        <v>0</v>
      </c>
      <c r="AX230" s="66">
        <v>0</v>
      </c>
      <c r="AY230" s="66">
        <v>0</v>
      </c>
      <c r="AZ230" s="66">
        <v>0</v>
      </c>
      <c r="BA230" s="66">
        <v>0</v>
      </c>
      <c r="BB230" s="66">
        <v>0</v>
      </c>
      <c r="BC230" s="66">
        <v>0</v>
      </c>
      <c r="BD230" s="66">
        <v>0</v>
      </c>
      <c r="BE230" s="66">
        <v>0</v>
      </c>
      <c r="BF230" s="68">
        <v>0</v>
      </c>
      <c r="BG230" s="66">
        <v>0</v>
      </c>
      <c r="BH230" s="66">
        <v>0</v>
      </c>
      <c r="BI230" s="66">
        <v>0</v>
      </c>
      <c r="BJ230" s="66">
        <v>0</v>
      </c>
      <c r="BK230" s="66">
        <v>0</v>
      </c>
      <c r="BL230" s="66">
        <v>0</v>
      </c>
      <c r="BM230" s="66">
        <v>0</v>
      </c>
      <c r="BN230" s="66">
        <v>0</v>
      </c>
      <c r="BO230" s="68">
        <v>0</v>
      </c>
      <c r="BP230" s="66">
        <v>0</v>
      </c>
      <c r="BQ230" s="66">
        <v>0</v>
      </c>
      <c r="BR230" s="66">
        <v>0</v>
      </c>
      <c r="BS230" s="66">
        <v>0</v>
      </c>
      <c r="BT230" s="66">
        <v>0</v>
      </c>
      <c r="BU230" s="66">
        <v>0</v>
      </c>
      <c r="BV230" s="66">
        <v>0</v>
      </c>
      <c r="BW230" s="66">
        <v>0</v>
      </c>
      <c r="BX230" s="66">
        <v>0</v>
      </c>
    </row>
    <row r="231" spans="1:86" x14ac:dyDescent="0.35">
      <c r="A231" t="s">
        <v>189</v>
      </c>
      <c r="B231" s="4" t="s">
        <v>73</v>
      </c>
      <c r="C231" s="4" t="s">
        <v>145</v>
      </c>
      <c r="D231" s="4" t="s">
        <v>190</v>
      </c>
      <c r="W231" s="66">
        <v>0</v>
      </c>
      <c r="X231" s="65">
        <v>7.0611384178638645E-2</v>
      </c>
      <c r="Y231" s="65">
        <v>4.8981233243967828E-4</v>
      </c>
      <c r="Z231" s="65">
        <v>4.8981233243967828E-4</v>
      </c>
      <c r="AA231" s="65">
        <v>1.4658301341380521E-2</v>
      </c>
      <c r="AB231" s="65">
        <v>1.4658301341380521E-2</v>
      </c>
      <c r="AC231" s="66">
        <v>0</v>
      </c>
      <c r="AD231" s="66">
        <v>0</v>
      </c>
      <c r="AE231" s="68">
        <v>0</v>
      </c>
      <c r="AF231" s="66">
        <v>0</v>
      </c>
      <c r="AG231" s="66">
        <v>0</v>
      </c>
      <c r="AH231" s="66">
        <v>0</v>
      </c>
      <c r="AI231" s="66">
        <v>0</v>
      </c>
      <c r="AJ231" s="66">
        <v>0</v>
      </c>
      <c r="AK231" s="66">
        <v>0</v>
      </c>
      <c r="AL231" s="66">
        <v>0</v>
      </c>
      <c r="AM231" s="66">
        <v>0</v>
      </c>
      <c r="AN231" s="68">
        <v>0</v>
      </c>
      <c r="AO231" s="66">
        <v>0</v>
      </c>
      <c r="AP231" s="66">
        <v>0</v>
      </c>
      <c r="AQ231" s="66">
        <v>0</v>
      </c>
      <c r="AR231" s="66">
        <v>0</v>
      </c>
      <c r="AS231" s="66">
        <v>0</v>
      </c>
      <c r="AT231" s="66">
        <v>0</v>
      </c>
      <c r="AU231" s="66">
        <v>0</v>
      </c>
      <c r="AV231" s="66">
        <v>0</v>
      </c>
      <c r="AW231" s="68">
        <v>0</v>
      </c>
      <c r="AX231" s="66">
        <v>0</v>
      </c>
      <c r="AY231" s="66">
        <v>0</v>
      </c>
      <c r="AZ231" s="66">
        <v>0</v>
      </c>
      <c r="BA231" s="66">
        <v>0</v>
      </c>
      <c r="BB231" s="66">
        <v>0</v>
      </c>
      <c r="BC231" s="66">
        <v>0</v>
      </c>
      <c r="BD231" s="66">
        <v>0</v>
      </c>
      <c r="BE231" s="66">
        <v>0</v>
      </c>
      <c r="BF231" s="68">
        <v>0</v>
      </c>
      <c r="BG231" s="66">
        <v>0</v>
      </c>
      <c r="BH231" s="66">
        <v>0</v>
      </c>
      <c r="BI231" s="66">
        <v>0</v>
      </c>
      <c r="BJ231" s="66">
        <v>0</v>
      </c>
      <c r="BK231" s="66">
        <v>0</v>
      </c>
      <c r="BL231" s="66">
        <v>0</v>
      </c>
      <c r="BM231" s="66">
        <v>0</v>
      </c>
      <c r="BN231" s="66">
        <v>0</v>
      </c>
      <c r="BO231" s="68">
        <v>0</v>
      </c>
      <c r="BP231" s="66">
        <v>0</v>
      </c>
      <c r="BQ231" s="66">
        <v>0</v>
      </c>
      <c r="BR231" s="66">
        <v>0</v>
      </c>
      <c r="BS231" s="66">
        <v>0</v>
      </c>
      <c r="BT231" s="66">
        <v>0</v>
      </c>
      <c r="BU231" s="66">
        <v>0</v>
      </c>
      <c r="BV231" s="66">
        <v>0</v>
      </c>
      <c r="BW231" s="66">
        <v>0</v>
      </c>
      <c r="BX231" s="66">
        <v>0</v>
      </c>
    </row>
    <row r="232" spans="1:86" x14ac:dyDescent="0.35">
      <c r="A232" t="s">
        <v>87</v>
      </c>
      <c r="B232" s="4" t="s">
        <v>73</v>
      </c>
      <c r="C232" s="4" t="s">
        <v>145</v>
      </c>
      <c r="D232" s="4" t="s">
        <v>196</v>
      </c>
      <c r="W232" s="66">
        <v>0</v>
      </c>
      <c r="X232" s="66">
        <v>0</v>
      </c>
      <c r="Y232" s="66">
        <v>0</v>
      </c>
      <c r="Z232" s="66">
        <v>0</v>
      </c>
      <c r="AA232" s="65">
        <v>3.0740776778828832E-3</v>
      </c>
      <c r="AB232" s="65">
        <v>3.0740776778828832E-3</v>
      </c>
      <c r="AC232" s="66">
        <v>0</v>
      </c>
      <c r="AD232" s="66">
        <v>0</v>
      </c>
      <c r="AE232" s="68">
        <v>0</v>
      </c>
      <c r="AF232" s="66">
        <v>0</v>
      </c>
      <c r="AG232" s="66">
        <v>0</v>
      </c>
      <c r="AH232" s="66">
        <v>0</v>
      </c>
      <c r="AI232" s="66">
        <v>0</v>
      </c>
      <c r="AJ232" s="66">
        <v>0</v>
      </c>
      <c r="AK232" s="66">
        <v>0</v>
      </c>
      <c r="AL232" s="66">
        <v>0</v>
      </c>
      <c r="AM232" s="66">
        <v>0</v>
      </c>
      <c r="AN232" s="68">
        <v>0</v>
      </c>
      <c r="AO232" s="66">
        <v>0</v>
      </c>
      <c r="AP232" s="66">
        <v>0</v>
      </c>
      <c r="AQ232" s="66">
        <v>0</v>
      </c>
      <c r="AR232" s="66">
        <v>0</v>
      </c>
      <c r="AS232" s="66">
        <v>0</v>
      </c>
      <c r="AT232" s="66">
        <v>0</v>
      </c>
      <c r="AU232" s="66">
        <v>0</v>
      </c>
      <c r="AV232" s="66">
        <v>0</v>
      </c>
      <c r="AW232" s="68">
        <v>0</v>
      </c>
      <c r="AX232" s="66">
        <v>0</v>
      </c>
      <c r="AY232" s="66">
        <v>0</v>
      </c>
      <c r="AZ232" s="66">
        <v>0</v>
      </c>
      <c r="BA232" s="66">
        <v>0</v>
      </c>
      <c r="BB232" s="66">
        <v>0</v>
      </c>
      <c r="BC232" s="66">
        <v>0</v>
      </c>
      <c r="BD232" s="66">
        <v>0</v>
      </c>
      <c r="BE232" s="66">
        <v>0</v>
      </c>
      <c r="BF232" s="68">
        <v>0</v>
      </c>
      <c r="BG232" s="66">
        <v>0</v>
      </c>
      <c r="BH232" s="66">
        <v>0</v>
      </c>
      <c r="BI232" s="66">
        <v>0</v>
      </c>
      <c r="BJ232" s="66">
        <v>0</v>
      </c>
      <c r="BK232" s="66">
        <v>0</v>
      </c>
      <c r="BL232" s="66">
        <v>0</v>
      </c>
      <c r="BM232" s="66">
        <v>0</v>
      </c>
      <c r="BN232" s="66">
        <v>0</v>
      </c>
      <c r="BO232" s="68">
        <v>0</v>
      </c>
      <c r="BP232" s="66">
        <v>0</v>
      </c>
      <c r="BQ232" s="66">
        <v>0</v>
      </c>
      <c r="BR232" s="66">
        <v>0</v>
      </c>
      <c r="BS232" s="66">
        <v>0</v>
      </c>
      <c r="BT232" s="66">
        <v>0</v>
      </c>
      <c r="BU232" s="66">
        <v>0</v>
      </c>
      <c r="BV232" s="66">
        <v>0</v>
      </c>
      <c r="BW232" s="66">
        <v>0</v>
      </c>
      <c r="BX232" s="66">
        <v>0</v>
      </c>
    </row>
    <row r="233" spans="1:86" x14ac:dyDescent="0.35">
      <c r="A233" t="s">
        <v>191</v>
      </c>
      <c r="B233" s="4" t="s">
        <v>73</v>
      </c>
      <c r="C233" s="4" t="s">
        <v>145</v>
      </c>
      <c r="D233" s="4" t="s">
        <v>192</v>
      </c>
      <c r="W233" s="66">
        <v>0</v>
      </c>
      <c r="X233" s="66">
        <v>0</v>
      </c>
      <c r="Y233" s="65">
        <v>2.4658201215687387E-3</v>
      </c>
      <c r="Z233" s="65">
        <v>2.4658201215687387E-3</v>
      </c>
      <c r="AA233" s="66">
        <v>0</v>
      </c>
      <c r="AB233" s="66">
        <v>0</v>
      </c>
      <c r="AC233" s="66">
        <v>0</v>
      </c>
      <c r="AD233" s="66">
        <v>0</v>
      </c>
      <c r="AE233" s="68">
        <v>0</v>
      </c>
      <c r="AF233" s="66">
        <v>0</v>
      </c>
      <c r="AG233" s="66">
        <v>0</v>
      </c>
      <c r="AH233" s="66">
        <v>0</v>
      </c>
      <c r="AI233" s="66">
        <v>0</v>
      </c>
      <c r="AJ233" s="66">
        <v>0</v>
      </c>
      <c r="AK233" s="66">
        <v>0</v>
      </c>
      <c r="AL233" s="66">
        <v>0</v>
      </c>
      <c r="AM233" s="66">
        <v>0</v>
      </c>
      <c r="AN233" s="68">
        <v>0</v>
      </c>
      <c r="AO233" s="66">
        <v>0</v>
      </c>
      <c r="AP233" s="66">
        <v>0</v>
      </c>
      <c r="AQ233" s="66">
        <v>0</v>
      </c>
      <c r="AR233" s="66">
        <v>0</v>
      </c>
      <c r="AS233" s="66">
        <v>0</v>
      </c>
      <c r="AT233" s="66">
        <v>0</v>
      </c>
      <c r="AU233" s="66">
        <v>0</v>
      </c>
      <c r="AV233" s="66">
        <v>0</v>
      </c>
      <c r="AW233" s="68">
        <v>0</v>
      </c>
      <c r="AX233" s="66">
        <v>0</v>
      </c>
      <c r="AY233" s="66">
        <v>0</v>
      </c>
      <c r="AZ233" s="66">
        <v>0</v>
      </c>
      <c r="BA233" s="66">
        <v>0</v>
      </c>
      <c r="BB233" s="66">
        <v>0</v>
      </c>
      <c r="BC233" s="66">
        <v>0</v>
      </c>
      <c r="BD233" s="66">
        <v>0</v>
      </c>
      <c r="BE233" s="66">
        <v>0</v>
      </c>
      <c r="BF233" s="68">
        <v>0</v>
      </c>
      <c r="BG233" s="66">
        <v>0</v>
      </c>
      <c r="BH233" s="66">
        <v>0</v>
      </c>
      <c r="BI233" s="66">
        <v>0</v>
      </c>
      <c r="BJ233" s="66">
        <v>0</v>
      </c>
      <c r="BK233" s="66">
        <v>0</v>
      </c>
      <c r="BL233" s="66">
        <v>0</v>
      </c>
      <c r="BM233" s="66">
        <v>0</v>
      </c>
      <c r="BN233" s="66">
        <v>0</v>
      </c>
      <c r="BO233" s="68">
        <v>0</v>
      </c>
      <c r="BP233" s="66">
        <v>0</v>
      </c>
      <c r="BQ233" s="66">
        <v>0</v>
      </c>
      <c r="BR233" s="66">
        <v>0</v>
      </c>
      <c r="BS233" s="66">
        <v>0</v>
      </c>
      <c r="BT233" s="66">
        <v>0</v>
      </c>
      <c r="BU233" s="66">
        <v>0</v>
      </c>
      <c r="BV233" s="66">
        <v>0</v>
      </c>
      <c r="BW233" s="66">
        <v>0</v>
      </c>
      <c r="BX233" s="66">
        <v>0</v>
      </c>
    </row>
    <row r="234" spans="1:86" x14ac:dyDescent="0.35">
      <c r="A234" t="s">
        <v>193</v>
      </c>
      <c r="B234" s="4" t="s">
        <v>73</v>
      </c>
      <c r="C234" s="4" t="s">
        <v>145</v>
      </c>
      <c r="D234" s="4" t="s">
        <v>194</v>
      </c>
      <c r="W234" s="66">
        <v>0</v>
      </c>
      <c r="X234" s="66">
        <v>0</v>
      </c>
      <c r="Y234" s="65">
        <v>4.922711058263972E-4</v>
      </c>
      <c r="Z234" s="65">
        <v>4.922711058263972E-4</v>
      </c>
      <c r="AA234" s="66">
        <v>0</v>
      </c>
      <c r="AB234" s="66">
        <v>0</v>
      </c>
      <c r="AC234" s="66">
        <v>0</v>
      </c>
      <c r="AD234" s="66">
        <v>0</v>
      </c>
      <c r="AE234" s="68">
        <v>0</v>
      </c>
      <c r="AF234" s="66">
        <v>0</v>
      </c>
      <c r="AG234" s="66">
        <v>0</v>
      </c>
      <c r="AH234" s="66">
        <v>0</v>
      </c>
      <c r="AI234" s="66">
        <v>0</v>
      </c>
      <c r="AJ234" s="66">
        <v>0</v>
      </c>
      <c r="AK234" s="66">
        <v>0</v>
      </c>
      <c r="AL234" s="66">
        <v>0</v>
      </c>
      <c r="AM234" s="66">
        <v>0</v>
      </c>
      <c r="AN234" s="68">
        <v>0</v>
      </c>
      <c r="AO234" s="66">
        <v>0</v>
      </c>
      <c r="AP234" s="66">
        <v>0</v>
      </c>
      <c r="AQ234" s="66">
        <v>0</v>
      </c>
      <c r="AR234" s="66">
        <v>0</v>
      </c>
      <c r="AS234" s="66">
        <v>0</v>
      </c>
      <c r="AT234" s="66">
        <v>0</v>
      </c>
      <c r="AU234" s="66">
        <v>0</v>
      </c>
      <c r="AV234" s="66">
        <v>0</v>
      </c>
      <c r="AW234" s="68">
        <v>0</v>
      </c>
      <c r="AX234" s="66">
        <v>0</v>
      </c>
      <c r="AY234" s="66">
        <v>0</v>
      </c>
      <c r="AZ234" s="66">
        <v>0</v>
      </c>
      <c r="BA234" s="66">
        <v>0</v>
      </c>
      <c r="BB234" s="66">
        <v>0</v>
      </c>
      <c r="BC234" s="66">
        <v>0</v>
      </c>
      <c r="BD234" s="66">
        <v>0</v>
      </c>
      <c r="BE234" s="66">
        <v>0</v>
      </c>
      <c r="BF234" s="68">
        <v>0</v>
      </c>
      <c r="BG234" s="66">
        <v>0</v>
      </c>
      <c r="BH234" s="66">
        <v>0</v>
      </c>
      <c r="BI234" s="66">
        <v>0</v>
      </c>
      <c r="BJ234" s="66">
        <v>0</v>
      </c>
      <c r="BK234" s="66">
        <v>0</v>
      </c>
      <c r="BL234" s="66">
        <v>0</v>
      </c>
      <c r="BM234" s="66">
        <v>0</v>
      </c>
      <c r="BN234" s="66">
        <v>0</v>
      </c>
      <c r="BO234" s="68">
        <v>0</v>
      </c>
      <c r="BP234" s="66">
        <v>0</v>
      </c>
      <c r="BQ234" s="66">
        <v>0</v>
      </c>
      <c r="BR234" s="66">
        <v>0</v>
      </c>
      <c r="BS234" s="66">
        <v>0</v>
      </c>
      <c r="BT234" s="66">
        <v>0</v>
      </c>
      <c r="BU234" s="66">
        <v>0</v>
      </c>
      <c r="BV234" s="66">
        <v>0</v>
      </c>
      <c r="BW234" s="66">
        <v>0</v>
      </c>
      <c r="BX234" s="66">
        <v>0</v>
      </c>
    </row>
    <row r="235" spans="1:86" x14ac:dyDescent="0.35">
      <c r="A235" t="s">
        <v>195</v>
      </c>
      <c r="B235" s="4" t="s">
        <v>73</v>
      </c>
      <c r="C235" s="4" t="s">
        <v>145</v>
      </c>
      <c r="D235" s="4" t="s">
        <v>196</v>
      </c>
      <c r="W235" s="66">
        <v>0</v>
      </c>
      <c r="X235" s="66">
        <v>0</v>
      </c>
      <c r="Y235" s="66">
        <v>0</v>
      </c>
      <c r="Z235" s="66">
        <v>0</v>
      </c>
      <c r="AA235" s="66">
        <v>0</v>
      </c>
      <c r="AB235" s="66">
        <v>0</v>
      </c>
      <c r="AC235" s="66">
        <v>0</v>
      </c>
      <c r="AD235" s="66">
        <v>0</v>
      </c>
      <c r="AE235" s="68">
        <v>0</v>
      </c>
      <c r="AF235" s="66">
        <v>0</v>
      </c>
      <c r="AG235" s="66">
        <v>0</v>
      </c>
      <c r="AH235" s="66">
        <v>0</v>
      </c>
      <c r="AI235" s="66">
        <v>0</v>
      </c>
      <c r="AJ235" s="66">
        <v>0</v>
      </c>
      <c r="AK235" s="66">
        <v>0</v>
      </c>
      <c r="AL235" s="66">
        <v>0</v>
      </c>
      <c r="AM235" s="66">
        <v>0</v>
      </c>
      <c r="AN235" s="68">
        <v>0</v>
      </c>
      <c r="AO235" s="66">
        <v>0</v>
      </c>
      <c r="AP235" s="66">
        <v>0</v>
      </c>
      <c r="AQ235" s="66">
        <v>0</v>
      </c>
      <c r="AR235" s="66">
        <v>0</v>
      </c>
      <c r="AS235" s="66">
        <v>0</v>
      </c>
      <c r="AT235" s="66">
        <v>0</v>
      </c>
      <c r="AU235" s="66">
        <v>0</v>
      </c>
      <c r="AV235" s="66">
        <v>0</v>
      </c>
      <c r="AW235" s="68">
        <v>0</v>
      </c>
      <c r="AX235" s="66">
        <v>0</v>
      </c>
      <c r="AY235" s="66">
        <v>0</v>
      </c>
      <c r="AZ235" s="66">
        <v>0</v>
      </c>
      <c r="BA235" s="66">
        <v>0</v>
      </c>
      <c r="BB235" s="66">
        <v>0</v>
      </c>
      <c r="BC235" s="66">
        <v>0</v>
      </c>
      <c r="BD235" s="66">
        <v>0</v>
      </c>
      <c r="BE235" s="66">
        <v>0</v>
      </c>
      <c r="BF235" s="68">
        <v>0</v>
      </c>
      <c r="BG235" s="66">
        <v>0</v>
      </c>
      <c r="BH235" s="66">
        <v>0</v>
      </c>
      <c r="BI235" s="66">
        <v>0</v>
      </c>
      <c r="BJ235" s="66">
        <v>0</v>
      </c>
      <c r="BK235" s="66">
        <v>0</v>
      </c>
      <c r="BL235" s="66">
        <v>0</v>
      </c>
      <c r="BM235" s="66">
        <v>0</v>
      </c>
      <c r="BN235" s="66">
        <v>0</v>
      </c>
      <c r="BO235" s="68">
        <v>0</v>
      </c>
      <c r="BP235" s="66">
        <v>0</v>
      </c>
      <c r="BQ235" s="66">
        <v>0</v>
      </c>
      <c r="BR235" s="66">
        <v>0</v>
      </c>
      <c r="BS235" s="66">
        <v>0</v>
      </c>
      <c r="BT235" s="66">
        <v>0</v>
      </c>
      <c r="BU235" s="66">
        <v>0</v>
      </c>
      <c r="BV235" s="66">
        <v>0</v>
      </c>
      <c r="BW235" s="66">
        <v>0</v>
      </c>
      <c r="BX235" s="66">
        <v>0</v>
      </c>
    </row>
    <row r="236" spans="1:86" x14ac:dyDescent="0.35">
      <c r="A236" t="s">
        <v>197</v>
      </c>
      <c r="B236" s="4" t="s">
        <v>73</v>
      </c>
      <c r="C236" s="4" t="s">
        <v>181</v>
      </c>
      <c r="D236" s="4" t="s">
        <v>198</v>
      </c>
      <c r="W236" s="66">
        <v>0</v>
      </c>
      <c r="X236" s="66">
        <v>0</v>
      </c>
      <c r="Y236" s="65">
        <v>3.7860913795851507E-4</v>
      </c>
      <c r="Z236" s="65">
        <v>3.6586167200000007E-4</v>
      </c>
      <c r="AA236" s="66">
        <v>0</v>
      </c>
      <c r="AB236" s="66">
        <v>0</v>
      </c>
      <c r="AC236" s="66">
        <v>0</v>
      </c>
      <c r="AD236" s="66">
        <v>0</v>
      </c>
      <c r="AE236" s="68">
        <v>0</v>
      </c>
      <c r="AF236" s="66">
        <v>0</v>
      </c>
      <c r="AG236" s="66">
        <v>0</v>
      </c>
      <c r="AH236" s="66">
        <v>0</v>
      </c>
      <c r="AI236" s="66">
        <v>0</v>
      </c>
      <c r="AJ236" s="66">
        <v>0</v>
      </c>
      <c r="AK236" s="66">
        <v>0</v>
      </c>
      <c r="AL236" s="66">
        <v>0</v>
      </c>
      <c r="AM236" s="66">
        <v>0</v>
      </c>
      <c r="AN236" s="68">
        <v>0</v>
      </c>
      <c r="AO236" s="66">
        <v>0</v>
      </c>
      <c r="AP236" s="66">
        <v>0</v>
      </c>
      <c r="AQ236" s="66">
        <v>0</v>
      </c>
      <c r="AR236" s="66">
        <v>0</v>
      </c>
      <c r="AS236" s="66">
        <v>0</v>
      </c>
      <c r="AT236" s="66">
        <v>0</v>
      </c>
      <c r="AU236" s="66">
        <v>0</v>
      </c>
      <c r="AV236" s="66">
        <v>0</v>
      </c>
      <c r="AW236" s="68">
        <v>0</v>
      </c>
      <c r="AX236" s="66">
        <v>0</v>
      </c>
      <c r="AY236" s="66">
        <v>0</v>
      </c>
      <c r="AZ236" s="66">
        <v>0</v>
      </c>
      <c r="BA236" s="66">
        <v>0</v>
      </c>
      <c r="BB236" s="66">
        <v>0</v>
      </c>
      <c r="BC236" s="66">
        <v>0</v>
      </c>
      <c r="BD236" s="66">
        <v>0</v>
      </c>
      <c r="BE236" s="66">
        <v>0</v>
      </c>
      <c r="BF236" s="68">
        <v>0</v>
      </c>
      <c r="BG236" s="66">
        <v>0</v>
      </c>
      <c r="BH236" s="66">
        <v>0</v>
      </c>
      <c r="BI236" s="66">
        <v>0</v>
      </c>
      <c r="BJ236" s="66">
        <v>0</v>
      </c>
      <c r="BK236" s="66">
        <v>0</v>
      </c>
      <c r="BL236" s="66">
        <v>0</v>
      </c>
      <c r="BM236" s="66">
        <v>0</v>
      </c>
      <c r="BN236" s="66">
        <v>0</v>
      </c>
      <c r="BO236" s="68">
        <v>0</v>
      </c>
      <c r="BP236" s="66">
        <v>0</v>
      </c>
      <c r="BQ236" s="66">
        <v>0</v>
      </c>
      <c r="BR236" s="66">
        <v>0</v>
      </c>
      <c r="BS236" s="66">
        <v>0</v>
      </c>
      <c r="BT236" s="66">
        <v>0</v>
      </c>
      <c r="BU236" s="66">
        <v>0</v>
      </c>
      <c r="BV236" s="66">
        <v>0</v>
      </c>
      <c r="BW236" s="66">
        <v>0</v>
      </c>
      <c r="BX236" s="66">
        <v>0</v>
      </c>
    </row>
    <row r="237" spans="1:86" x14ac:dyDescent="0.35">
      <c r="A237" t="s">
        <v>199</v>
      </c>
      <c r="B237" s="4" t="s">
        <v>73</v>
      </c>
      <c r="C237" s="4" t="s">
        <v>181</v>
      </c>
      <c r="D237" s="4" t="s">
        <v>200</v>
      </c>
      <c r="W237" s="66">
        <v>0</v>
      </c>
      <c r="X237" s="66">
        <v>0</v>
      </c>
      <c r="Y237" s="65">
        <v>7.1686251377883477E-4</v>
      </c>
      <c r="Z237" s="65">
        <v>6.9272632800000005E-4</v>
      </c>
      <c r="AA237" s="66">
        <v>0</v>
      </c>
      <c r="AB237" s="66">
        <v>0</v>
      </c>
      <c r="AC237" s="66">
        <v>0</v>
      </c>
      <c r="AD237" s="66">
        <v>0</v>
      </c>
      <c r="AE237" s="68">
        <v>0</v>
      </c>
      <c r="AF237" s="66">
        <v>0</v>
      </c>
      <c r="AG237" s="66">
        <v>0</v>
      </c>
      <c r="AH237" s="66">
        <v>0</v>
      </c>
      <c r="AI237" s="66">
        <v>0</v>
      </c>
      <c r="AJ237" s="66">
        <v>0</v>
      </c>
      <c r="AK237" s="66">
        <v>0</v>
      </c>
      <c r="AL237" s="66">
        <v>0</v>
      </c>
      <c r="AM237" s="66">
        <v>0</v>
      </c>
      <c r="AN237" s="68">
        <v>0</v>
      </c>
      <c r="AO237" s="66">
        <v>0</v>
      </c>
      <c r="AP237" s="66">
        <v>0</v>
      </c>
      <c r="AQ237" s="66">
        <v>0</v>
      </c>
      <c r="AR237" s="66">
        <v>0</v>
      </c>
      <c r="AS237" s="66">
        <v>0</v>
      </c>
      <c r="AT237" s="66">
        <v>0</v>
      </c>
      <c r="AU237" s="66">
        <v>0</v>
      </c>
      <c r="AV237" s="66">
        <v>0</v>
      </c>
      <c r="AW237" s="68">
        <v>0</v>
      </c>
      <c r="AX237" s="66">
        <v>0</v>
      </c>
      <c r="AY237" s="66">
        <v>0</v>
      </c>
      <c r="AZ237" s="66">
        <v>0</v>
      </c>
      <c r="BA237" s="66">
        <v>0</v>
      </c>
      <c r="BB237" s="66">
        <v>0</v>
      </c>
      <c r="BC237" s="66">
        <v>0</v>
      </c>
      <c r="BD237" s="66">
        <v>0</v>
      </c>
      <c r="BE237" s="66">
        <v>0</v>
      </c>
      <c r="BF237" s="68">
        <v>0</v>
      </c>
      <c r="BG237" s="66">
        <v>0</v>
      </c>
      <c r="BH237" s="66">
        <v>0</v>
      </c>
      <c r="BI237" s="66">
        <v>0</v>
      </c>
      <c r="BJ237" s="66">
        <v>0</v>
      </c>
      <c r="BK237" s="66">
        <v>0</v>
      </c>
      <c r="BL237" s="66">
        <v>0</v>
      </c>
      <c r="BM237" s="66">
        <v>0</v>
      </c>
      <c r="BN237" s="66">
        <v>0</v>
      </c>
      <c r="BO237" s="68">
        <v>0</v>
      </c>
      <c r="BP237" s="66">
        <v>0</v>
      </c>
      <c r="BQ237" s="66">
        <v>0</v>
      </c>
      <c r="BR237" s="66">
        <v>0</v>
      </c>
      <c r="BS237" s="66">
        <v>0</v>
      </c>
      <c r="BT237" s="66">
        <v>0</v>
      </c>
      <c r="BU237" s="66">
        <v>0</v>
      </c>
      <c r="BV237" s="66">
        <v>0</v>
      </c>
      <c r="BW237" s="66">
        <v>0</v>
      </c>
      <c r="BX237" s="66">
        <v>0</v>
      </c>
    </row>
    <row r="238" spans="1:86" ht="15" thickBot="1" x14ac:dyDescent="0.4">
      <c r="A238" t="s">
        <v>201</v>
      </c>
      <c r="B238" s="4" t="s">
        <v>73</v>
      </c>
      <c r="C238" s="4" t="s">
        <v>181</v>
      </c>
      <c r="D238" s="4" t="s">
        <v>202</v>
      </c>
      <c r="W238" s="69">
        <v>0</v>
      </c>
      <c r="X238" s="69">
        <v>0</v>
      </c>
      <c r="Y238" s="70">
        <v>2.438307869996036E-3</v>
      </c>
      <c r="Z238" s="70">
        <v>2.3562119999999999E-3</v>
      </c>
      <c r="AA238" s="69">
        <v>0</v>
      </c>
      <c r="AB238" s="69">
        <v>0</v>
      </c>
      <c r="AC238" s="69">
        <v>0</v>
      </c>
      <c r="AD238" s="69">
        <v>0</v>
      </c>
      <c r="AE238" s="71">
        <v>0</v>
      </c>
      <c r="AF238" s="69">
        <v>0</v>
      </c>
      <c r="AG238" s="69">
        <v>0</v>
      </c>
      <c r="AH238" s="69">
        <v>0</v>
      </c>
      <c r="AI238" s="69">
        <v>0</v>
      </c>
      <c r="AJ238" s="69">
        <v>0</v>
      </c>
      <c r="AK238" s="69">
        <v>0</v>
      </c>
      <c r="AL238" s="69">
        <v>0</v>
      </c>
      <c r="AM238" s="69">
        <v>0</v>
      </c>
      <c r="AN238" s="71">
        <v>0</v>
      </c>
      <c r="AO238" s="69">
        <v>0</v>
      </c>
      <c r="AP238" s="69">
        <v>0</v>
      </c>
      <c r="AQ238" s="69">
        <v>0</v>
      </c>
      <c r="AR238" s="69">
        <v>0</v>
      </c>
      <c r="AS238" s="69">
        <v>0</v>
      </c>
      <c r="AT238" s="69">
        <v>0</v>
      </c>
      <c r="AU238" s="69">
        <v>0</v>
      </c>
      <c r="AV238" s="69">
        <v>0</v>
      </c>
      <c r="AW238" s="71">
        <v>0</v>
      </c>
      <c r="AX238" s="69">
        <v>0</v>
      </c>
      <c r="AY238" s="69">
        <v>0</v>
      </c>
      <c r="AZ238" s="69">
        <v>0</v>
      </c>
      <c r="BA238" s="69">
        <v>0</v>
      </c>
      <c r="BB238" s="69">
        <v>0</v>
      </c>
      <c r="BC238" s="69">
        <v>0</v>
      </c>
      <c r="BD238" s="69">
        <v>0</v>
      </c>
      <c r="BE238" s="69">
        <v>0</v>
      </c>
      <c r="BF238" s="71">
        <v>0</v>
      </c>
      <c r="BG238" s="69">
        <v>0</v>
      </c>
      <c r="BH238" s="69">
        <v>0</v>
      </c>
      <c r="BI238" s="69">
        <v>0</v>
      </c>
      <c r="BJ238" s="69">
        <v>0</v>
      </c>
      <c r="BK238" s="69">
        <v>0</v>
      </c>
      <c r="BL238" s="69">
        <v>0</v>
      </c>
      <c r="BM238" s="69">
        <v>0</v>
      </c>
      <c r="BN238" s="69">
        <v>0</v>
      </c>
      <c r="BO238" s="71">
        <v>0</v>
      </c>
      <c r="BP238" s="69">
        <v>0</v>
      </c>
      <c r="BQ238" s="69">
        <v>0</v>
      </c>
      <c r="BR238" s="69">
        <v>0</v>
      </c>
      <c r="BS238" s="69">
        <v>0</v>
      </c>
      <c r="BT238" s="69">
        <v>0</v>
      </c>
      <c r="BU238" s="69">
        <v>0</v>
      </c>
      <c r="BV238" s="69">
        <v>0</v>
      </c>
      <c r="BW238" s="69">
        <v>0</v>
      </c>
      <c r="BX238" s="69">
        <v>0</v>
      </c>
    </row>
    <row r="239" spans="1:86" x14ac:dyDescent="0.35">
      <c r="A239" t="s">
        <v>176</v>
      </c>
      <c r="B239" s="4" t="s">
        <v>88</v>
      </c>
      <c r="C239" s="4" t="s">
        <v>145</v>
      </c>
      <c r="D239" s="4" t="s">
        <v>177</v>
      </c>
      <c r="W239" s="66">
        <v>0</v>
      </c>
      <c r="X239" s="66">
        <v>0</v>
      </c>
      <c r="Y239" s="65">
        <v>0.16108845734587587</v>
      </c>
      <c r="Z239" s="65">
        <v>0.16108845734587587</v>
      </c>
      <c r="AA239" s="66">
        <v>0</v>
      </c>
      <c r="AB239" s="66">
        <v>0</v>
      </c>
      <c r="AC239" s="66">
        <v>0</v>
      </c>
      <c r="AD239" s="66">
        <v>0</v>
      </c>
      <c r="AE239" s="68">
        <v>0</v>
      </c>
      <c r="AF239" s="66">
        <v>0</v>
      </c>
      <c r="AG239" s="66">
        <v>0</v>
      </c>
      <c r="AH239" s="66">
        <v>0</v>
      </c>
      <c r="AI239" s="66">
        <v>0</v>
      </c>
      <c r="AJ239" s="66">
        <v>0</v>
      </c>
      <c r="AK239" s="66">
        <v>0</v>
      </c>
      <c r="AL239" s="66">
        <v>0</v>
      </c>
      <c r="AM239" s="66">
        <v>0</v>
      </c>
      <c r="AN239" s="68">
        <v>0</v>
      </c>
      <c r="AO239" s="66">
        <v>0</v>
      </c>
      <c r="AP239" s="66">
        <v>0</v>
      </c>
      <c r="AQ239" s="66">
        <v>0</v>
      </c>
      <c r="AR239" s="66">
        <v>0</v>
      </c>
      <c r="AS239" s="66">
        <v>0</v>
      </c>
      <c r="AT239" s="66">
        <v>0</v>
      </c>
      <c r="AU239" s="66">
        <v>0</v>
      </c>
      <c r="AV239" s="66">
        <v>0</v>
      </c>
      <c r="AW239" s="68">
        <v>0</v>
      </c>
      <c r="AX239" s="66">
        <v>0</v>
      </c>
      <c r="AY239" s="66">
        <v>0</v>
      </c>
      <c r="AZ239" s="66">
        <v>0</v>
      </c>
      <c r="BA239" s="66">
        <v>0</v>
      </c>
      <c r="BB239" s="66">
        <v>0</v>
      </c>
      <c r="BC239" s="66">
        <v>0</v>
      </c>
      <c r="BD239" s="66">
        <v>0</v>
      </c>
      <c r="BE239" s="66">
        <v>0</v>
      </c>
      <c r="BF239" s="68">
        <v>0</v>
      </c>
      <c r="BG239" s="66">
        <v>0</v>
      </c>
      <c r="BH239" s="66">
        <v>0</v>
      </c>
      <c r="BI239" s="66">
        <v>0</v>
      </c>
      <c r="BJ239" s="66">
        <v>0</v>
      </c>
      <c r="BK239" s="66">
        <v>0</v>
      </c>
      <c r="BL239" s="66">
        <v>0</v>
      </c>
      <c r="BM239" s="66">
        <v>0</v>
      </c>
      <c r="BN239" s="66">
        <v>0</v>
      </c>
      <c r="BO239" s="68">
        <v>0</v>
      </c>
      <c r="BP239" s="66">
        <v>0</v>
      </c>
      <c r="BQ239" s="66">
        <v>0</v>
      </c>
      <c r="BR239" s="66">
        <v>0</v>
      </c>
      <c r="BS239" s="66">
        <v>0</v>
      </c>
      <c r="BT239" s="66">
        <v>0</v>
      </c>
      <c r="BU239" s="66">
        <v>0</v>
      </c>
      <c r="BV239" s="66">
        <v>0</v>
      </c>
      <c r="BW239" s="66">
        <v>0</v>
      </c>
      <c r="BX239" s="66">
        <v>0</v>
      </c>
    </row>
    <row r="240" spans="1:86" x14ac:dyDescent="0.35">
      <c r="A240" s="77" t="s">
        <v>183</v>
      </c>
      <c r="B240" s="4" t="s">
        <v>88</v>
      </c>
      <c r="C240" s="4" t="s">
        <v>145</v>
      </c>
      <c r="D240" s="4" t="s">
        <v>184</v>
      </c>
      <c r="W240" s="66">
        <v>0</v>
      </c>
      <c r="X240" s="66">
        <v>0</v>
      </c>
      <c r="Y240" s="66">
        <v>0</v>
      </c>
      <c r="Z240" s="66">
        <v>0</v>
      </c>
      <c r="AA240" s="66">
        <v>0</v>
      </c>
      <c r="AB240" s="66">
        <v>0</v>
      </c>
      <c r="AC240" s="66">
        <v>0</v>
      </c>
      <c r="AD240" s="66">
        <v>0</v>
      </c>
      <c r="AE240" s="68">
        <v>0</v>
      </c>
      <c r="AF240" s="66">
        <v>0</v>
      </c>
      <c r="AG240" s="66">
        <v>0</v>
      </c>
      <c r="AH240" s="66">
        <v>0</v>
      </c>
      <c r="AI240" s="66">
        <v>0</v>
      </c>
      <c r="AJ240" s="66">
        <v>0</v>
      </c>
      <c r="AK240" s="66">
        <v>0</v>
      </c>
      <c r="AL240" s="66">
        <v>0</v>
      </c>
      <c r="AM240" s="66">
        <v>0</v>
      </c>
      <c r="AN240" s="68">
        <v>0</v>
      </c>
      <c r="AO240" s="66">
        <v>0</v>
      </c>
      <c r="AP240" s="66">
        <v>0</v>
      </c>
      <c r="AQ240" s="66">
        <v>0</v>
      </c>
      <c r="AR240" s="66">
        <v>0</v>
      </c>
      <c r="AS240" s="66">
        <v>0</v>
      </c>
      <c r="AT240" s="66">
        <v>0</v>
      </c>
      <c r="AU240" s="66">
        <v>0</v>
      </c>
      <c r="AV240" s="66">
        <v>0</v>
      </c>
      <c r="AW240" s="68">
        <v>0</v>
      </c>
      <c r="AX240" s="66">
        <v>0</v>
      </c>
      <c r="AY240" s="66">
        <v>0</v>
      </c>
      <c r="AZ240" s="66">
        <v>0</v>
      </c>
      <c r="BA240" s="66">
        <v>0</v>
      </c>
      <c r="BB240" s="66">
        <v>0</v>
      </c>
      <c r="BC240" s="66">
        <v>0</v>
      </c>
      <c r="BD240" s="66">
        <v>0</v>
      </c>
      <c r="BE240" s="66">
        <v>0</v>
      </c>
      <c r="BF240" s="68">
        <v>0</v>
      </c>
      <c r="BG240" s="66">
        <v>0</v>
      </c>
      <c r="BH240" s="66">
        <v>0</v>
      </c>
      <c r="BI240" s="66">
        <v>0</v>
      </c>
      <c r="BJ240" s="66">
        <v>0</v>
      </c>
      <c r="BK240" s="66">
        <v>0</v>
      </c>
      <c r="BL240" s="66">
        <v>0</v>
      </c>
      <c r="BM240" s="66">
        <v>0</v>
      </c>
      <c r="BN240" s="66">
        <v>0</v>
      </c>
      <c r="BO240" s="68">
        <v>0</v>
      </c>
      <c r="BP240" s="66">
        <v>0</v>
      </c>
      <c r="BQ240" s="66">
        <v>0</v>
      </c>
      <c r="BR240" s="66">
        <v>0</v>
      </c>
      <c r="BS240" s="66">
        <v>0</v>
      </c>
      <c r="BT240" s="66">
        <v>0</v>
      </c>
      <c r="BU240" s="66">
        <v>0</v>
      </c>
      <c r="BV240" s="66">
        <v>0</v>
      </c>
      <c r="BW240" s="66">
        <v>0</v>
      </c>
      <c r="BX240" s="66">
        <v>0</v>
      </c>
    </row>
    <row r="241" spans="1:76" x14ac:dyDescent="0.35">
      <c r="A241" t="s">
        <v>185</v>
      </c>
      <c r="B241" s="4" t="s">
        <v>88</v>
      </c>
      <c r="C241" s="4" t="s">
        <v>145</v>
      </c>
      <c r="D241" s="4" t="s">
        <v>186</v>
      </c>
      <c r="W241" s="66">
        <v>0</v>
      </c>
      <c r="X241" s="66">
        <v>0</v>
      </c>
      <c r="Y241" s="65">
        <v>5.0558836222750793E-4</v>
      </c>
      <c r="Z241" s="65">
        <v>5.0558836222750793E-4</v>
      </c>
      <c r="AA241" s="66">
        <v>0</v>
      </c>
      <c r="AB241" s="66">
        <v>0</v>
      </c>
      <c r="AC241" s="66">
        <v>0</v>
      </c>
      <c r="AD241" s="66">
        <v>0</v>
      </c>
      <c r="AE241" s="68">
        <v>0</v>
      </c>
      <c r="AF241" s="66">
        <v>0</v>
      </c>
      <c r="AG241" s="66">
        <v>0</v>
      </c>
      <c r="AH241" s="66">
        <v>0</v>
      </c>
      <c r="AI241" s="66">
        <v>0</v>
      </c>
      <c r="AJ241" s="66">
        <v>0</v>
      </c>
      <c r="AK241" s="66">
        <v>0</v>
      </c>
      <c r="AL241" s="66">
        <v>0</v>
      </c>
      <c r="AM241" s="66">
        <v>0</v>
      </c>
      <c r="AN241" s="68">
        <v>0</v>
      </c>
      <c r="AO241" s="66">
        <v>0</v>
      </c>
      <c r="AP241" s="66">
        <v>0</v>
      </c>
      <c r="AQ241" s="66">
        <v>0</v>
      </c>
      <c r="AR241" s="66">
        <v>0</v>
      </c>
      <c r="AS241" s="66">
        <v>0</v>
      </c>
      <c r="AT241" s="66">
        <v>0</v>
      </c>
      <c r="AU241" s="66">
        <v>0</v>
      </c>
      <c r="AV241" s="66">
        <v>0</v>
      </c>
      <c r="AW241" s="68">
        <v>0</v>
      </c>
      <c r="AX241" s="66">
        <v>0</v>
      </c>
      <c r="AY241" s="66">
        <v>0</v>
      </c>
      <c r="AZ241" s="66">
        <v>0</v>
      </c>
      <c r="BA241" s="66">
        <v>0</v>
      </c>
      <c r="BB241" s="66">
        <v>0</v>
      </c>
      <c r="BC241" s="66">
        <v>0</v>
      </c>
      <c r="BD241" s="66">
        <v>0</v>
      </c>
      <c r="BE241" s="66">
        <v>0</v>
      </c>
      <c r="BF241" s="68">
        <v>0</v>
      </c>
      <c r="BG241" s="66">
        <v>0</v>
      </c>
      <c r="BH241" s="66">
        <v>0</v>
      </c>
      <c r="BI241" s="66">
        <v>0</v>
      </c>
      <c r="BJ241" s="66">
        <v>0</v>
      </c>
      <c r="BK241" s="66">
        <v>0</v>
      </c>
      <c r="BL241" s="66">
        <v>0</v>
      </c>
      <c r="BM241" s="66">
        <v>0</v>
      </c>
      <c r="BN241" s="66">
        <v>0</v>
      </c>
      <c r="BO241" s="68">
        <v>0</v>
      </c>
      <c r="BP241" s="66">
        <v>0</v>
      </c>
      <c r="BQ241" s="66">
        <v>0</v>
      </c>
      <c r="BR241" s="66">
        <v>0</v>
      </c>
      <c r="BS241" s="66">
        <v>0</v>
      </c>
      <c r="BT241" s="66">
        <v>0</v>
      </c>
      <c r="BU241" s="66">
        <v>0</v>
      </c>
      <c r="BV241" s="66">
        <v>0</v>
      </c>
      <c r="BW241" s="66">
        <v>0</v>
      </c>
      <c r="BX241" s="66">
        <v>0</v>
      </c>
    </row>
    <row r="242" spans="1:76" x14ac:dyDescent="0.35">
      <c r="A242" t="s">
        <v>187</v>
      </c>
      <c r="B242" s="4" t="s">
        <v>88</v>
      </c>
      <c r="C242" s="4" t="s">
        <v>145</v>
      </c>
      <c r="D242" s="4" t="s">
        <v>188</v>
      </c>
      <c r="W242" s="66">
        <v>0</v>
      </c>
      <c r="X242" s="66">
        <v>0</v>
      </c>
      <c r="Y242" s="65">
        <v>4.8514464106651379E-3</v>
      </c>
      <c r="Z242" s="65">
        <v>4.8514464106651379E-3</v>
      </c>
      <c r="AA242" s="66">
        <v>0</v>
      </c>
      <c r="AB242" s="66">
        <v>0</v>
      </c>
      <c r="AC242" s="66">
        <v>0</v>
      </c>
      <c r="AD242" s="66">
        <v>0</v>
      </c>
      <c r="AE242" s="68">
        <v>0</v>
      </c>
      <c r="AF242" s="66">
        <v>0</v>
      </c>
      <c r="AG242" s="66">
        <v>0</v>
      </c>
      <c r="AH242" s="66">
        <v>0</v>
      </c>
      <c r="AI242" s="66">
        <v>0</v>
      </c>
      <c r="AJ242" s="66">
        <v>0</v>
      </c>
      <c r="AK242" s="66">
        <v>0</v>
      </c>
      <c r="AL242" s="66">
        <v>0</v>
      </c>
      <c r="AM242" s="66">
        <v>0</v>
      </c>
      <c r="AN242" s="68">
        <v>0</v>
      </c>
      <c r="AO242" s="66">
        <v>0</v>
      </c>
      <c r="AP242" s="66">
        <v>0</v>
      </c>
      <c r="AQ242" s="66">
        <v>0</v>
      </c>
      <c r="AR242" s="66">
        <v>0</v>
      </c>
      <c r="AS242" s="66">
        <v>0</v>
      </c>
      <c r="AT242" s="66">
        <v>0</v>
      </c>
      <c r="AU242" s="66">
        <v>0</v>
      </c>
      <c r="AV242" s="66">
        <v>0</v>
      </c>
      <c r="AW242" s="68">
        <v>0</v>
      </c>
      <c r="AX242" s="66">
        <v>0</v>
      </c>
      <c r="AY242" s="66">
        <v>0</v>
      </c>
      <c r="AZ242" s="66">
        <v>0</v>
      </c>
      <c r="BA242" s="66">
        <v>0</v>
      </c>
      <c r="BB242" s="66">
        <v>0</v>
      </c>
      <c r="BC242" s="66">
        <v>0</v>
      </c>
      <c r="BD242" s="66">
        <v>0</v>
      </c>
      <c r="BE242" s="66">
        <v>0</v>
      </c>
      <c r="BF242" s="68">
        <v>0</v>
      </c>
      <c r="BG242" s="66">
        <v>0</v>
      </c>
      <c r="BH242" s="66">
        <v>0</v>
      </c>
      <c r="BI242" s="66">
        <v>0</v>
      </c>
      <c r="BJ242" s="66">
        <v>0</v>
      </c>
      <c r="BK242" s="66">
        <v>0</v>
      </c>
      <c r="BL242" s="66">
        <v>0</v>
      </c>
      <c r="BM242" s="66">
        <v>0</v>
      </c>
      <c r="BN242" s="66">
        <v>0</v>
      </c>
      <c r="BO242" s="68">
        <v>0</v>
      </c>
      <c r="BP242" s="66">
        <v>0</v>
      </c>
      <c r="BQ242" s="66">
        <v>0</v>
      </c>
      <c r="BR242" s="66">
        <v>0</v>
      </c>
      <c r="BS242" s="66">
        <v>0</v>
      </c>
      <c r="BT242" s="66">
        <v>0</v>
      </c>
      <c r="BU242" s="66">
        <v>0</v>
      </c>
      <c r="BV242" s="66">
        <v>0</v>
      </c>
      <c r="BW242" s="66">
        <v>0</v>
      </c>
      <c r="BX242" s="66">
        <v>0</v>
      </c>
    </row>
    <row r="243" spans="1:76" x14ac:dyDescent="0.35">
      <c r="A243" t="s">
        <v>189</v>
      </c>
      <c r="B243" s="4" t="s">
        <v>88</v>
      </c>
      <c r="C243" s="4" t="s">
        <v>145</v>
      </c>
      <c r="D243" s="4" t="s">
        <v>190</v>
      </c>
      <c r="W243" s="66">
        <v>0</v>
      </c>
      <c r="X243" s="65">
        <v>4.4451090694311274E-2</v>
      </c>
      <c r="Y243" s="65">
        <v>1.109418436791091E-2</v>
      </c>
      <c r="Z243" s="65">
        <v>1.109418436791091E-2</v>
      </c>
      <c r="AA243" s="65">
        <v>9.2276548594747033E-3</v>
      </c>
      <c r="AB243" s="65">
        <v>9.2276548594747033E-3</v>
      </c>
      <c r="AC243" s="66">
        <v>0</v>
      </c>
      <c r="AD243" s="66">
        <v>0</v>
      </c>
      <c r="AE243" s="68">
        <v>0</v>
      </c>
      <c r="AF243" s="66">
        <v>0</v>
      </c>
      <c r="AG243" s="66">
        <v>0</v>
      </c>
      <c r="AH243" s="66">
        <v>0</v>
      </c>
      <c r="AI243" s="66">
        <v>0</v>
      </c>
      <c r="AJ243" s="66">
        <v>0</v>
      </c>
      <c r="AK243" s="66">
        <v>0</v>
      </c>
      <c r="AL243" s="66">
        <v>0</v>
      </c>
      <c r="AM243" s="66">
        <v>0</v>
      </c>
      <c r="AN243" s="68">
        <v>0</v>
      </c>
      <c r="AO243" s="66">
        <v>0</v>
      </c>
      <c r="AP243" s="66">
        <v>0</v>
      </c>
      <c r="AQ243" s="66">
        <v>0</v>
      </c>
      <c r="AR243" s="66">
        <v>0</v>
      </c>
      <c r="AS243" s="66">
        <v>0</v>
      </c>
      <c r="AT243" s="66">
        <v>0</v>
      </c>
      <c r="AU243" s="66">
        <v>0</v>
      </c>
      <c r="AV243" s="66">
        <v>0</v>
      </c>
      <c r="AW243" s="68">
        <v>0</v>
      </c>
      <c r="AX243" s="66">
        <v>0</v>
      </c>
      <c r="AY243" s="66">
        <v>0</v>
      </c>
      <c r="AZ243" s="66">
        <v>0</v>
      </c>
      <c r="BA243" s="66">
        <v>0</v>
      </c>
      <c r="BB243" s="66">
        <v>0</v>
      </c>
      <c r="BC243" s="66">
        <v>0</v>
      </c>
      <c r="BD243" s="66">
        <v>0</v>
      </c>
      <c r="BE243" s="66">
        <v>0</v>
      </c>
      <c r="BF243" s="68">
        <v>0</v>
      </c>
      <c r="BG243" s="66">
        <v>0</v>
      </c>
      <c r="BH243" s="66">
        <v>0</v>
      </c>
      <c r="BI243" s="66">
        <v>0</v>
      </c>
      <c r="BJ243" s="66">
        <v>0</v>
      </c>
      <c r="BK243" s="66">
        <v>0</v>
      </c>
      <c r="BL243" s="66">
        <v>0</v>
      </c>
      <c r="BM243" s="66">
        <v>0</v>
      </c>
      <c r="BN243" s="66">
        <v>0</v>
      </c>
      <c r="BO243" s="68">
        <v>0</v>
      </c>
      <c r="BP243" s="66">
        <v>0</v>
      </c>
      <c r="BQ243" s="66">
        <v>0</v>
      </c>
      <c r="BR243" s="66">
        <v>0</v>
      </c>
      <c r="BS243" s="66">
        <v>0</v>
      </c>
      <c r="BT243" s="66">
        <v>0</v>
      </c>
      <c r="BU243" s="66">
        <v>0</v>
      </c>
      <c r="BV243" s="66">
        <v>0</v>
      </c>
      <c r="BW243" s="66">
        <v>0</v>
      </c>
      <c r="BX243" s="66">
        <v>0</v>
      </c>
    </row>
    <row r="244" spans="1:76" x14ac:dyDescent="0.35">
      <c r="A244" t="s">
        <v>87</v>
      </c>
      <c r="B244" s="4" t="s">
        <v>88</v>
      </c>
      <c r="C244" s="4" t="s">
        <v>145</v>
      </c>
      <c r="D244" s="4" t="s">
        <v>196</v>
      </c>
      <c r="W244" s="66">
        <v>0</v>
      </c>
      <c r="X244" s="66">
        <v>0</v>
      </c>
      <c r="Y244" s="66">
        <v>0</v>
      </c>
      <c r="Z244" s="66">
        <v>0</v>
      </c>
      <c r="AA244" s="65">
        <v>6.9627451701437512E-2</v>
      </c>
      <c r="AB244" s="65">
        <v>6.9627451701437512E-2</v>
      </c>
      <c r="AC244" s="66">
        <v>0</v>
      </c>
      <c r="AD244" s="66">
        <v>0</v>
      </c>
      <c r="AE244" s="68">
        <v>0</v>
      </c>
      <c r="AF244" s="66">
        <v>0</v>
      </c>
      <c r="AG244" s="66">
        <v>0</v>
      </c>
      <c r="AH244" s="66">
        <v>0</v>
      </c>
      <c r="AI244" s="66">
        <v>0</v>
      </c>
      <c r="AJ244" s="66">
        <v>0</v>
      </c>
      <c r="AK244" s="66">
        <v>0</v>
      </c>
      <c r="AL244" s="66">
        <v>0</v>
      </c>
      <c r="AM244" s="66">
        <v>0</v>
      </c>
      <c r="AN244" s="68">
        <v>0</v>
      </c>
      <c r="AO244" s="66">
        <v>0</v>
      </c>
      <c r="AP244" s="66">
        <v>0</v>
      </c>
      <c r="AQ244" s="66">
        <v>0</v>
      </c>
      <c r="AR244" s="66">
        <v>0</v>
      </c>
      <c r="AS244" s="66">
        <v>0</v>
      </c>
      <c r="AT244" s="66">
        <v>0</v>
      </c>
      <c r="AU244" s="66">
        <v>0</v>
      </c>
      <c r="AV244" s="66">
        <v>0</v>
      </c>
      <c r="AW244" s="68">
        <v>0</v>
      </c>
      <c r="AX244" s="66">
        <v>0</v>
      </c>
      <c r="AY244" s="66">
        <v>0</v>
      </c>
      <c r="AZ244" s="66">
        <v>0</v>
      </c>
      <c r="BA244" s="66">
        <v>0</v>
      </c>
      <c r="BB244" s="66">
        <v>0</v>
      </c>
      <c r="BC244" s="66">
        <v>0</v>
      </c>
      <c r="BD244" s="66">
        <v>0</v>
      </c>
      <c r="BE244" s="66">
        <v>0</v>
      </c>
      <c r="BF244" s="68">
        <v>0</v>
      </c>
      <c r="BG244" s="66">
        <v>0</v>
      </c>
      <c r="BH244" s="66">
        <v>0</v>
      </c>
      <c r="BI244" s="66">
        <v>0</v>
      </c>
      <c r="BJ244" s="66">
        <v>0</v>
      </c>
      <c r="BK244" s="66">
        <v>0</v>
      </c>
      <c r="BL244" s="66">
        <v>0</v>
      </c>
      <c r="BM244" s="66">
        <v>0</v>
      </c>
      <c r="BN244" s="66">
        <v>0</v>
      </c>
      <c r="BO244" s="68">
        <v>0</v>
      </c>
      <c r="BP244" s="66">
        <v>0</v>
      </c>
      <c r="BQ244" s="66">
        <v>0</v>
      </c>
      <c r="BR244" s="66">
        <v>0</v>
      </c>
      <c r="BS244" s="66">
        <v>0</v>
      </c>
      <c r="BT244" s="66">
        <v>0</v>
      </c>
      <c r="BU244" s="66">
        <v>0</v>
      </c>
      <c r="BV244" s="66">
        <v>0</v>
      </c>
      <c r="BW244" s="66">
        <v>0</v>
      </c>
      <c r="BX244" s="66">
        <v>0</v>
      </c>
    </row>
    <row r="245" spans="1:76" x14ac:dyDescent="0.35">
      <c r="A245" t="s">
        <v>191</v>
      </c>
      <c r="B245" s="4" t="s">
        <v>88</v>
      </c>
      <c r="C245" s="4" t="s">
        <v>145</v>
      </c>
      <c r="D245" s="4" t="s">
        <v>192</v>
      </c>
      <c r="W245" s="66">
        <v>0</v>
      </c>
      <c r="X245" s="66">
        <v>0</v>
      </c>
      <c r="Y245" s="65">
        <v>2.890870278990243E-5</v>
      </c>
      <c r="Z245" s="65">
        <v>2.890870278990243E-5</v>
      </c>
      <c r="AA245" s="66">
        <v>0</v>
      </c>
      <c r="AB245" s="66">
        <v>0</v>
      </c>
      <c r="AC245" s="66">
        <v>0</v>
      </c>
      <c r="AD245" s="66">
        <v>0</v>
      </c>
      <c r="AE245" s="68">
        <v>0</v>
      </c>
      <c r="AF245" s="66">
        <v>0</v>
      </c>
      <c r="AG245" s="66">
        <v>0</v>
      </c>
      <c r="AH245" s="66">
        <v>0</v>
      </c>
      <c r="AI245" s="66">
        <v>0</v>
      </c>
      <c r="AJ245" s="66">
        <v>0</v>
      </c>
      <c r="AK245" s="66">
        <v>0</v>
      </c>
      <c r="AL245" s="66">
        <v>0</v>
      </c>
      <c r="AM245" s="66">
        <v>0</v>
      </c>
      <c r="AN245" s="68">
        <v>0</v>
      </c>
      <c r="AO245" s="66">
        <v>0</v>
      </c>
      <c r="AP245" s="66">
        <v>0</v>
      </c>
      <c r="AQ245" s="66">
        <v>0</v>
      </c>
      <c r="AR245" s="66">
        <v>0</v>
      </c>
      <c r="AS245" s="66">
        <v>0</v>
      </c>
      <c r="AT245" s="66">
        <v>0</v>
      </c>
      <c r="AU245" s="66">
        <v>0</v>
      </c>
      <c r="AV245" s="66">
        <v>0</v>
      </c>
      <c r="AW245" s="68">
        <v>0</v>
      </c>
      <c r="AX245" s="66">
        <v>0</v>
      </c>
      <c r="AY245" s="66">
        <v>0</v>
      </c>
      <c r="AZ245" s="66">
        <v>0</v>
      </c>
      <c r="BA245" s="66">
        <v>0</v>
      </c>
      <c r="BB245" s="66">
        <v>0</v>
      </c>
      <c r="BC245" s="66">
        <v>0</v>
      </c>
      <c r="BD245" s="66">
        <v>0</v>
      </c>
      <c r="BE245" s="66">
        <v>0</v>
      </c>
      <c r="BF245" s="68">
        <v>0</v>
      </c>
      <c r="BG245" s="66">
        <v>0</v>
      </c>
      <c r="BH245" s="66">
        <v>0</v>
      </c>
      <c r="BI245" s="66">
        <v>0</v>
      </c>
      <c r="BJ245" s="66">
        <v>0</v>
      </c>
      <c r="BK245" s="66">
        <v>0</v>
      </c>
      <c r="BL245" s="66">
        <v>0</v>
      </c>
      <c r="BM245" s="66">
        <v>0</v>
      </c>
      <c r="BN245" s="66">
        <v>0</v>
      </c>
      <c r="BO245" s="68">
        <v>0</v>
      </c>
      <c r="BP245" s="66">
        <v>0</v>
      </c>
      <c r="BQ245" s="66">
        <v>0</v>
      </c>
      <c r="BR245" s="66">
        <v>0</v>
      </c>
      <c r="BS245" s="66">
        <v>0</v>
      </c>
      <c r="BT245" s="66">
        <v>0</v>
      </c>
      <c r="BU245" s="66">
        <v>0</v>
      </c>
      <c r="BV245" s="66">
        <v>0</v>
      </c>
      <c r="BW245" s="66">
        <v>0</v>
      </c>
      <c r="BX245" s="66">
        <v>0</v>
      </c>
    </row>
    <row r="246" spans="1:76" x14ac:dyDescent="0.35">
      <c r="A246" t="s">
        <v>193</v>
      </c>
      <c r="B246" s="4" t="s">
        <v>88</v>
      </c>
      <c r="C246" s="4" t="s">
        <v>145</v>
      </c>
      <c r="D246" s="4" t="s">
        <v>194</v>
      </c>
      <c r="W246" s="66">
        <v>0</v>
      </c>
      <c r="X246" s="66">
        <v>0</v>
      </c>
      <c r="Y246" s="65">
        <v>0</v>
      </c>
      <c r="Z246" s="65">
        <v>0</v>
      </c>
      <c r="AA246" s="66">
        <v>0</v>
      </c>
      <c r="AB246" s="66">
        <v>0</v>
      </c>
      <c r="AC246" s="66">
        <v>0</v>
      </c>
      <c r="AD246" s="66">
        <v>0</v>
      </c>
      <c r="AE246" s="68">
        <v>0</v>
      </c>
      <c r="AF246" s="66">
        <v>0</v>
      </c>
      <c r="AG246" s="66">
        <v>0</v>
      </c>
      <c r="AH246" s="66">
        <v>0</v>
      </c>
      <c r="AI246" s="66">
        <v>0</v>
      </c>
      <c r="AJ246" s="66">
        <v>0</v>
      </c>
      <c r="AK246" s="66">
        <v>0</v>
      </c>
      <c r="AL246" s="66">
        <v>0</v>
      </c>
      <c r="AM246" s="66">
        <v>0</v>
      </c>
      <c r="AN246" s="68">
        <v>0</v>
      </c>
      <c r="AO246" s="66">
        <v>0</v>
      </c>
      <c r="AP246" s="66">
        <v>0</v>
      </c>
      <c r="AQ246" s="66">
        <v>0</v>
      </c>
      <c r="AR246" s="66">
        <v>0</v>
      </c>
      <c r="AS246" s="66">
        <v>0</v>
      </c>
      <c r="AT246" s="66">
        <v>0</v>
      </c>
      <c r="AU246" s="66">
        <v>0</v>
      </c>
      <c r="AV246" s="66">
        <v>0</v>
      </c>
      <c r="AW246" s="68">
        <v>0</v>
      </c>
      <c r="AX246" s="66">
        <v>0</v>
      </c>
      <c r="AY246" s="66">
        <v>0</v>
      </c>
      <c r="AZ246" s="66">
        <v>0</v>
      </c>
      <c r="BA246" s="66">
        <v>0</v>
      </c>
      <c r="BB246" s="66">
        <v>0</v>
      </c>
      <c r="BC246" s="66">
        <v>0</v>
      </c>
      <c r="BD246" s="66">
        <v>0</v>
      </c>
      <c r="BE246" s="66">
        <v>0</v>
      </c>
      <c r="BF246" s="68">
        <v>0</v>
      </c>
      <c r="BG246" s="66">
        <v>0</v>
      </c>
      <c r="BH246" s="66">
        <v>0</v>
      </c>
      <c r="BI246" s="66">
        <v>0</v>
      </c>
      <c r="BJ246" s="66">
        <v>0</v>
      </c>
      <c r="BK246" s="66">
        <v>0</v>
      </c>
      <c r="BL246" s="66">
        <v>0</v>
      </c>
      <c r="BM246" s="66">
        <v>0</v>
      </c>
      <c r="BN246" s="66">
        <v>0</v>
      </c>
      <c r="BO246" s="68">
        <v>0</v>
      </c>
      <c r="BP246" s="66">
        <v>0</v>
      </c>
      <c r="BQ246" s="66">
        <v>0</v>
      </c>
      <c r="BR246" s="66">
        <v>0</v>
      </c>
      <c r="BS246" s="66">
        <v>0</v>
      </c>
      <c r="BT246" s="66">
        <v>0</v>
      </c>
      <c r="BU246" s="66">
        <v>0</v>
      </c>
      <c r="BV246" s="66">
        <v>0</v>
      </c>
      <c r="BW246" s="66">
        <v>0</v>
      </c>
      <c r="BX246" s="66">
        <v>0</v>
      </c>
    </row>
    <row r="247" spans="1:76" x14ac:dyDescent="0.35">
      <c r="A247" t="s">
        <v>195</v>
      </c>
      <c r="B247" s="4" t="s">
        <v>88</v>
      </c>
      <c r="C247" s="4" t="s">
        <v>145</v>
      </c>
      <c r="D247" s="4" t="s">
        <v>196</v>
      </c>
      <c r="W247" s="66">
        <v>0</v>
      </c>
      <c r="X247" s="66">
        <v>0</v>
      </c>
      <c r="Y247" s="65">
        <v>2.8514320987501449E-3</v>
      </c>
      <c r="Z247" s="65">
        <v>2.8514320987501449E-3</v>
      </c>
      <c r="AA247" s="66">
        <v>0</v>
      </c>
      <c r="AB247" s="66">
        <v>0</v>
      </c>
      <c r="AC247" s="66">
        <v>0</v>
      </c>
      <c r="AD247" s="66">
        <v>0</v>
      </c>
      <c r="AE247" s="68">
        <v>0</v>
      </c>
      <c r="AF247" s="66">
        <v>0</v>
      </c>
      <c r="AG247" s="66">
        <v>0</v>
      </c>
      <c r="AH247" s="66">
        <v>0</v>
      </c>
      <c r="AI247" s="66">
        <v>0</v>
      </c>
      <c r="AJ247" s="66">
        <v>0</v>
      </c>
      <c r="AK247" s="66">
        <v>0</v>
      </c>
      <c r="AL247" s="66">
        <v>0</v>
      </c>
      <c r="AM247" s="66">
        <v>0</v>
      </c>
      <c r="AN247" s="68">
        <v>0</v>
      </c>
      <c r="AO247" s="66">
        <v>0</v>
      </c>
      <c r="AP247" s="66">
        <v>0</v>
      </c>
      <c r="AQ247" s="66">
        <v>0</v>
      </c>
      <c r="AR247" s="66">
        <v>0</v>
      </c>
      <c r="AS247" s="66">
        <v>0</v>
      </c>
      <c r="AT247" s="66">
        <v>0</v>
      </c>
      <c r="AU247" s="66">
        <v>0</v>
      </c>
      <c r="AV247" s="66">
        <v>0</v>
      </c>
      <c r="AW247" s="68">
        <v>0</v>
      </c>
      <c r="AX247" s="66">
        <v>0</v>
      </c>
      <c r="AY247" s="66">
        <v>0</v>
      </c>
      <c r="AZ247" s="66">
        <v>0</v>
      </c>
      <c r="BA247" s="66">
        <v>0</v>
      </c>
      <c r="BB247" s="66">
        <v>0</v>
      </c>
      <c r="BC247" s="66">
        <v>0</v>
      </c>
      <c r="BD247" s="66">
        <v>0</v>
      </c>
      <c r="BE247" s="66">
        <v>0</v>
      </c>
      <c r="BF247" s="68">
        <v>0</v>
      </c>
      <c r="BG247" s="66">
        <v>0</v>
      </c>
      <c r="BH247" s="66">
        <v>0</v>
      </c>
      <c r="BI247" s="66">
        <v>0</v>
      </c>
      <c r="BJ247" s="66">
        <v>0</v>
      </c>
      <c r="BK247" s="66">
        <v>0</v>
      </c>
      <c r="BL247" s="66">
        <v>0</v>
      </c>
      <c r="BM247" s="66">
        <v>0</v>
      </c>
      <c r="BN247" s="66">
        <v>0</v>
      </c>
      <c r="BO247" s="68">
        <v>0</v>
      </c>
      <c r="BP247" s="66">
        <v>0</v>
      </c>
      <c r="BQ247" s="66">
        <v>0</v>
      </c>
      <c r="BR247" s="66">
        <v>0</v>
      </c>
      <c r="BS247" s="66">
        <v>0</v>
      </c>
      <c r="BT247" s="66">
        <v>0</v>
      </c>
      <c r="BU247" s="66">
        <v>0</v>
      </c>
      <c r="BV247" s="66">
        <v>0</v>
      </c>
      <c r="BW247" s="66">
        <v>0</v>
      </c>
      <c r="BX247" s="66">
        <v>0</v>
      </c>
    </row>
    <row r="248" spans="1:76" x14ac:dyDescent="0.35">
      <c r="A248" t="s">
        <v>197</v>
      </c>
      <c r="B248" s="4" t="s">
        <v>88</v>
      </c>
      <c r="C248" s="4" t="s">
        <v>181</v>
      </c>
      <c r="D248" s="4" t="s">
        <v>198</v>
      </c>
      <c r="W248" s="66">
        <v>0</v>
      </c>
      <c r="X248" s="66">
        <v>0</v>
      </c>
      <c r="Y248" s="66">
        <v>0</v>
      </c>
      <c r="Z248" s="66">
        <v>0</v>
      </c>
      <c r="AA248" s="66">
        <v>0</v>
      </c>
      <c r="AB248" s="66">
        <v>0</v>
      </c>
      <c r="AC248" s="66">
        <v>0</v>
      </c>
      <c r="AD248" s="66">
        <v>0</v>
      </c>
      <c r="AE248" s="68">
        <v>0</v>
      </c>
      <c r="AF248" s="66">
        <v>0</v>
      </c>
      <c r="AG248" s="66">
        <v>0</v>
      </c>
      <c r="AH248" s="66">
        <v>0</v>
      </c>
      <c r="AI248" s="66">
        <v>0</v>
      </c>
      <c r="AJ248" s="66">
        <v>0</v>
      </c>
      <c r="AK248" s="66">
        <v>0</v>
      </c>
      <c r="AL248" s="66">
        <v>0</v>
      </c>
      <c r="AM248" s="66">
        <v>0</v>
      </c>
      <c r="AN248" s="68">
        <v>0</v>
      </c>
      <c r="AO248" s="66">
        <v>0</v>
      </c>
      <c r="AP248" s="66">
        <v>0</v>
      </c>
      <c r="AQ248" s="66">
        <v>0</v>
      </c>
      <c r="AR248" s="66">
        <v>0</v>
      </c>
      <c r="AS248" s="66">
        <v>0</v>
      </c>
      <c r="AT248" s="66">
        <v>0</v>
      </c>
      <c r="AU248" s="66">
        <v>0</v>
      </c>
      <c r="AV248" s="66">
        <v>0</v>
      </c>
      <c r="AW248" s="68">
        <v>0</v>
      </c>
      <c r="AX248" s="66">
        <v>0</v>
      </c>
      <c r="AY248" s="66">
        <v>0</v>
      </c>
      <c r="AZ248" s="66">
        <v>0</v>
      </c>
      <c r="BA248" s="66">
        <v>0</v>
      </c>
      <c r="BB248" s="66">
        <v>0</v>
      </c>
      <c r="BC248" s="66">
        <v>0</v>
      </c>
      <c r="BD248" s="66">
        <v>0</v>
      </c>
      <c r="BE248" s="66">
        <v>0</v>
      </c>
      <c r="BF248" s="68">
        <v>0</v>
      </c>
      <c r="BG248" s="66">
        <v>0</v>
      </c>
      <c r="BH248" s="66">
        <v>0</v>
      </c>
      <c r="BI248" s="66">
        <v>0</v>
      </c>
      <c r="BJ248" s="66">
        <v>0</v>
      </c>
      <c r="BK248" s="66">
        <v>0</v>
      </c>
      <c r="BL248" s="66">
        <v>0</v>
      </c>
      <c r="BM248" s="66">
        <v>0</v>
      </c>
      <c r="BN248" s="66">
        <v>0</v>
      </c>
      <c r="BO248" s="68">
        <v>0</v>
      </c>
      <c r="BP248" s="66">
        <v>0</v>
      </c>
      <c r="BQ248" s="66">
        <v>0</v>
      </c>
      <c r="BR248" s="66">
        <v>0</v>
      </c>
      <c r="BS248" s="66">
        <v>0</v>
      </c>
      <c r="BT248" s="66">
        <v>0</v>
      </c>
      <c r="BU248" s="66">
        <v>0</v>
      </c>
      <c r="BV248" s="66">
        <v>0</v>
      </c>
      <c r="BW248" s="66">
        <v>0</v>
      </c>
      <c r="BX248" s="66">
        <v>0</v>
      </c>
    </row>
    <row r="249" spans="1:76" x14ac:dyDescent="0.35">
      <c r="A249" t="s">
        <v>199</v>
      </c>
      <c r="B249" s="4" t="s">
        <v>88</v>
      </c>
      <c r="C249" s="4" t="s">
        <v>181</v>
      </c>
      <c r="D249" s="4" t="s">
        <v>200</v>
      </c>
      <c r="W249" s="66">
        <v>0</v>
      </c>
      <c r="X249" s="66">
        <v>0</v>
      </c>
      <c r="Y249" s="66">
        <v>0</v>
      </c>
      <c r="Z249" s="66">
        <v>0</v>
      </c>
      <c r="AA249" s="66">
        <v>0</v>
      </c>
      <c r="AB249" s="66">
        <v>0</v>
      </c>
      <c r="AC249" s="66">
        <v>0</v>
      </c>
      <c r="AD249" s="66">
        <v>0</v>
      </c>
      <c r="AE249" s="68">
        <v>0</v>
      </c>
      <c r="AF249" s="66">
        <v>0</v>
      </c>
      <c r="AG249" s="66">
        <v>0</v>
      </c>
      <c r="AH249" s="66">
        <v>0</v>
      </c>
      <c r="AI249" s="66">
        <v>0</v>
      </c>
      <c r="AJ249" s="66">
        <v>0</v>
      </c>
      <c r="AK249" s="66">
        <v>0</v>
      </c>
      <c r="AL249" s="66">
        <v>0</v>
      </c>
      <c r="AM249" s="66">
        <v>0</v>
      </c>
      <c r="AN249" s="68">
        <v>0</v>
      </c>
      <c r="AO249" s="66">
        <v>0</v>
      </c>
      <c r="AP249" s="66">
        <v>0</v>
      </c>
      <c r="AQ249" s="66">
        <v>0</v>
      </c>
      <c r="AR249" s="66">
        <v>0</v>
      </c>
      <c r="AS249" s="66">
        <v>0</v>
      </c>
      <c r="AT249" s="66">
        <v>0</v>
      </c>
      <c r="AU249" s="66">
        <v>0</v>
      </c>
      <c r="AV249" s="66">
        <v>0</v>
      </c>
      <c r="AW249" s="68">
        <v>0</v>
      </c>
      <c r="AX249" s="66">
        <v>0</v>
      </c>
      <c r="AY249" s="66">
        <v>0</v>
      </c>
      <c r="AZ249" s="66">
        <v>0</v>
      </c>
      <c r="BA249" s="66">
        <v>0</v>
      </c>
      <c r="BB249" s="66">
        <v>0</v>
      </c>
      <c r="BC249" s="66">
        <v>0</v>
      </c>
      <c r="BD249" s="66">
        <v>0</v>
      </c>
      <c r="BE249" s="66">
        <v>0</v>
      </c>
      <c r="BF249" s="68">
        <v>0</v>
      </c>
      <c r="BG249" s="66">
        <v>0</v>
      </c>
      <c r="BH249" s="66">
        <v>0</v>
      </c>
      <c r="BI249" s="66">
        <v>0</v>
      </c>
      <c r="BJ249" s="66">
        <v>0</v>
      </c>
      <c r="BK249" s="66">
        <v>0</v>
      </c>
      <c r="BL249" s="66">
        <v>0</v>
      </c>
      <c r="BM249" s="66">
        <v>0</v>
      </c>
      <c r="BN249" s="66">
        <v>0</v>
      </c>
      <c r="BO249" s="68">
        <v>0</v>
      </c>
      <c r="BP249" s="66">
        <v>0</v>
      </c>
      <c r="BQ249" s="66">
        <v>0</v>
      </c>
      <c r="BR249" s="66">
        <v>0</v>
      </c>
      <c r="BS249" s="66">
        <v>0</v>
      </c>
      <c r="BT249" s="66">
        <v>0</v>
      </c>
      <c r="BU249" s="66">
        <v>0</v>
      </c>
      <c r="BV249" s="66">
        <v>0</v>
      </c>
      <c r="BW249" s="66">
        <v>0</v>
      </c>
      <c r="BX249" s="66">
        <v>0</v>
      </c>
    </row>
    <row r="250" spans="1:76" ht="15" thickBot="1" x14ac:dyDescent="0.4">
      <c r="A250" t="s">
        <v>201</v>
      </c>
      <c r="B250" s="4" t="s">
        <v>88</v>
      </c>
      <c r="C250" s="4" t="s">
        <v>181</v>
      </c>
      <c r="D250" s="4" t="s">
        <v>202</v>
      </c>
      <c r="W250" s="69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71">
        <v>0</v>
      </c>
      <c r="AF250" s="69">
        <v>0</v>
      </c>
      <c r="AG250" s="69">
        <v>0</v>
      </c>
      <c r="AH250" s="69">
        <v>0</v>
      </c>
      <c r="AI250" s="69">
        <v>0</v>
      </c>
      <c r="AJ250" s="69">
        <v>0</v>
      </c>
      <c r="AK250" s="69">
        <v>0</v>
      </c>
      <c r="AL250" s="69">
        <v>0</v>
      </c>
      <c r="AM250" s="69">
        <v>0</v>
      </c>
      <c r="AN250" s="71">
        <v>0</v>
      </c>
      <c r="AO250" s="69">
        <v>0</v>
      </c>
      <c r="AP250" s="69">
        <v>0</v>
      </c>
      <c r="AQ250" s="69">
        <v>0</v>
      </c>
      <c r="AR250" s="69">
        <v>0</v>
      </c>
      <c r="AS250" s="69">
        <v>0</v>
      </c>
      <c r="AT250" s="69">
        <v>0</v>
      </c>
      <c r="AU250" s="69">
        <v>0</v>
      </c>
      <c r="AV250" s="69">
        <v>0</v>
      </c>
      <c r="AW250" s="71">
        <v>0</v>
      </c>
      <c r="AX250" s="69">
        <v>0</v>
      </c>
      <c r="AY250" s="69">
        <v>0</v>
      </c>
      <c r="AZ250" s="69">
        <v>0</v>
      </c>
      <c r="BA250" s="69">
        <v>0</v>
      </c>
      <c r="BB250" s="69">
        <v>0</v>
      </c>
      <c r="BC250" s="69">
        <v>0</v>
      </c>
      <c r="BD250" s="69">
        <v>0</v>
      </c>
      <c r="BE250" s="69">
        <v>0</v>
      </c>
      <c r="BF250" s="71">
        <v>0</v>
      </c>
      <c r="BG250" s="69">
        <v>0</v>
      </c>
      <c r="BH250" s="69">
        <v>0</v>
      </c>
      <c r="BI250" s="69">
        <v>0</v>
      </c>
      <c r="BJ250" s="69">
        <v>0</v>
      </c>
      <c r="BK250" s="69">
        <v>0</v>
      </c>
      <c r="BL250" s="69">
        <v>0</v>
      </c>
      <c r="BM250" s="69">
        <v>0</v>
      </c>
      <c r="BN250" s="69">
        <v>0</v>
      </c>
      <c r="BO250" s="71">
        <v>0</v>
      </c>
      <c r="BP250" s="69">
        <v>0</v>
      </c>
      <c r="BQ250" s="69">
        <v>0</v>
      </c>
      <c r="BR250" s="69">
        <v>0</v>
      </c>
      <c r="BS250" s="69">
        <v>0</v>
      </c>
      <c r="BT250" s="69">
        <v>0</v>
      </c>
      <c r="BU250" s="69">
        <v>0</v>
      </c>
      <c r="BV250" s="69">
        <v>0</v>
      </c>
      <c r="BW250" s="69">
        <v>0</v>
      </c>
      <c r="BX250" s="69">
        <v>0</v>
      </c>
    </row>
    <row r="251" spans="1:76" x14ac:dyDescent="0.35">
      <c r="A251" t="s">
        <v>176</v>
      </c>
      <c r="B251" s="4" t="s">
        <v>90</v>
      </c>
      <c r="C251" s="4" t="s">
        <v>145</v>
      </c>
      <c r="D251" s="4" t="s">
        <v>177</v>
      </c>
      <c r="W251" s="66">
        <v>0</v>
      </c>
      <c r="X251" s="66">
        <v>0</v>
      </c>
      <c r="Y251" s="65">
        <v>2.949251079979006E-2</v>
      </c>
      <c r="Z251" s="65">
        <v>2.949251079979006E-2</v>
      </c>
      <c r="AA251" s="66">
        <v>0</v>
      </c>
      <c r="AB251" s="66">
        <v>0</v>
      </c>
      <c r="AC251" s="66">
        <v>0</v>
      </c>
      <c r="AD251" s="66">
        <v>0</v>
      </c>
      <c r="AE251" s="68">
        <v>0</v>
      </c>
      <c r="AF251" s="66">
        <v>0</v>
      </c>
      <c r="AG251" s="66">
        <v>0</v>
      </c>
      <c r="AH251" s="66">
        <v>0</v>
      </c>
      <c r="AI251" s="66">
        <v>0</v>
      </c>
      <c r="AJ251" s="66">
        <v>0</v>
      </c>
      <c r="AK251" s="66">
        <v>0</v>
      </c>
      <c r="AL251" s="66">
        <v>0</v>
      </c>
      <c r="AM251" s="66">
        <v>0</v>
      </c>
      <c r="AN251" s="68">
        <v>0</v>
      </c>
      <c r="AO251" s="66">
        <v>0</v>
      </c>
      <c r="AP251" s="66">
        <v>0</v>
      </c>
      <c r="AQ251" s="66">
        <v>0</v>
      </c>
      <c r="AR251" s="66">
        <v>0</v>
      </c>
      <c r="AS251" s="66">
        <v>0</v>
      </c>
      <c r="AT251" s="66">
        <v>0</v>
      </c>
      <c r="AU251" s="66">
        <v>0</v>
      </c>
      <c r="AV251" s="66">
        <v>0</v>
      </c>
      <c r="AW251" s="68">
        <v>0</v>
      </c>
      <c r="AX251" s="66">
        <v>0</v>
      </c>
      <c r="AY251" s="66">
        <v>0</v>
      </c>
      <c r="AZ251" s="66">
        <v>0</v>
      </c>
      <c r="BA251" s="66">
        <v>0</v>
      </c>
      <c r="BB251" s="66">
        <v>0</v>
      </c>
      <c r="BC251" s="66">
        <v>0</v>
      </c>
      <c r="BD251" s="66">
        <v>0</v>
      </c>
      <c r="BE251" s="66">
        <v>0</v>
      </c>
      <c r="BF251" s="68">
        <v>0</v>
      </c>
      <c r="BG251" s="66">
        <v>0</v>
      </c>
      <c r="BH251" s="66">
        <v>0</v>
      </c>
      <c r="BI251" s="66">
        <v>0</v>
      </c>
      <c r="BJ251" s="66">
        <v>0</v>
      </c>
      <c r="BK251" s="66">
        <v>0</v>
      </c>
      <c r="BL251" s="66">
        <v>0</v>
      </c>
      <c r="BM251" s="66">
        <v>0</v>
      </c>
      <c r="BN251" s="66">
        <v>0</v>
      </c>
      <c r="BO251" s="68">
        <v>0</v>
      </c>
      <c r="BP251" s="66">
        <v>0</v>
      </c>
      <c r="BQ251" s="66">
        <v>0</v>
      </c>
      <c r="BR251" s="66">
        <v>0</v>
      </c>
      <c r="BS251" s="66">
        <v>0</v>
      </c>
      <c r="BT251" s="66">
        <v>0</v>
      </c>
      <c r="BU251" s="66">
        <v>0</v>
      </c>
      <c r="BV251" s="66">
        <v>0</v>
      </c>
      <c r="BW251" s="66">
        <v>0</v>
      </c>
      <c r="BX251" s="66">
        <v>0</v>
      </c>
    </row>
    <row r="252" spans="1:76" x14ac:dyDescent="0.35">
      <c r="A252" s="77" t="s">
        <v>183</v>
      </c>
      <c r="B252" s="4" t="s">
        <v>90</v>
      </c>
      <c r="C252" s="4" t="s">
        <v>145</v>
      </c>
      <c r="D252" s="4" t="s">
        <v>184</v>
      </c>
      <c r="W252" s="66">
        <v>0</v>
      </c>
      <c r="X252" s="66">
        <v>0</v>
      </c>
      <c r="Y252" s="66">
        <v>0</v>
      </c>
      <c r="Z252" s="66">
        <v>0</v>
      </c>
      <c r="AA252" s="66">
        <v>0</v>
      </c>
      <c r="AB252" s="66">
        <v>0</v>
      </c>
      <c r="AC252" s="66">
        <v>0</v>
      </c>
      <c r="AD252" s="66">
        <v>0</v>
      </c>
      <c r="AE252" s="68">
        <v>0</v>
      </c>
      <c r="AF252" s="66">
        <v>0</v>
      </c>
      <c r="AG252" s="66">
        <v>0</v>
      </c>
      <c r="AH252" s="66">
        <v>0</v>
      </c>
      <c r="AI252" s="66">
        <v>0</v>
      </c>
      <c r="AJ252" s="66">
        <v>0</v>
      </c>
      <c r="AK252" s="66">
        <v>0</v>
      </c>
      <c r="AL252" s="66">
        <v>0</v>
      </c>
      <c r="AM252" s="66">
        <v>0</v>
      </c>
      <c r="AN252" s="68">
        <v>0</v>
      </c>
      <c r="AO252" s="66">
        <v>0</v>
      </c>
      <c r="AP252" s="66">
        <v>0</v>
      </c>
      <c r="AQ252" s="66">
        <v>0</v>
      </c>
      <c r="AR252" s="66">
        <v>0</v>
      </c>
      <c r="AS252" s="66">
        <v>0</v>
      </c>
      <c r="AT252" s="66">
        <v>0</v>
      </c>
      <c r="AU252" s="66">
        <v>0</v>
      </c>
      <c r="AV252" s="66">
        <v>0</v>
      </c>
      <c r="AW252" s="68">
        <v>0</v>
      </c>
      <c r="AX252" s="66">
        <v>0</v>
      </c>
      <c r="AY252" s="66">
        <v>0</v>
      </c>
      <c r="AZ252" s="66">
        <v>0</v>
      </c>
      <c r="BA252" s="66">
        <v>0</v>
      </c>
      <c r="BB252" s="66">
        <v>0</v>
      </c>
      <c r="BC252" s="66">
        <v>0</v>
      </c>
      <c r="BD252" s="66">
        <v>0</v>
      </c>
      <c r="BE252" s="66">
        <v>0</v>
      </c>
      <c r="BF252" s="68">
        <v>0</v>
      </c>
      <c r="BG252" s="66">
        <v>0</v>
      </c>
      <c r="BH252" s="66">
        <v>0</v>
      </c>
      <c r="BI252" s="66">
        <v>0</v>
      </c>
      <c r="BJ252" s="66">
        <v>0</v>
      </c>
      <c r="BK252" s="66">
        <v>0</v>
      </c>
      <c r="BL252" s="66">
        <v>0</v>
      </c>
      <c r="BM252" s="66">
        <v>0</v>
      </c>
      <c r="BN252" s="66">
        <v>0</v>
      </c>
      <c r="BO252" s="68">
        <v>0</v>
      </c>
      <c r="BP252" s="66">
        <v>0</v>
      </c>
      <c r="BQ252" s="66">
        <v>0</v>
      </c>
      <c r="BR252" s="66">
        <v>0</v>
      </c>
      <c r="BS252" s="66">
        <v>0</v>
      </c>
      <c r="BT252" s="66">
        <v>0</v>
      </c>
      <c r="BU252" s="66">
        <v>0</v>
      </c>
      <c r="BV252" s="66">
        <v>0</v>
      </c>
      <c r="BW252" s="66">
        <v>0</v>
      </c>
      <c r="BX252" s="66">
        <v>0</v>
      </c>
    </row>
    <row r="253" spans="1:76" x14ac:dyDescent="0.35">
      <c r="A253" t="s">
        <v>185</v>
      </c>
      <c r="B253" s="4" t="s">
        <v>90</v>
      </c>
      <c r="C253" s="4" t="s">
        <v>145</v>
      </c>
      <c r="D253" s="4" t="s">
        <v>186</v>
      </c>
      <c r="W253" s="66">
        <v>0</v>
      </c>
      <c r="X253" s="66">
        <v>0</v>
      </c>
      <c r="Y253" s="65">
        <v>2.1047443073980527E-5</v>
      </c>
      <c r="Z253" s="65">
        <v>2.1047443073980527E-5</v>
      </c>
      <c r="AA253" s="66">
        <v>0</v>
      </c>
      <c r="AB253" s="66">
        <v>0</v>
      </c>
      <c r="AC253" s="66">
        <v>0</v>
      </c>
      <c r="AD253" s="66">
        <v>0</v>
      </c>
      <c r="AE253" s="68">
        <v>0</v>
      </c>
      <c r="AF253" s="66">
        <v>0</v>
      </c>
      <c r="AG253" s="66">
        <v>0</v>
      </c>
      <c r="AH253" s="66">
        <v>0</v>
      </c>
      <c r="AI253" s="66">
        <v>0</v>
      </c>
      <c r="AJ253" s="66">
        <v>0</v>
      </c>
      <c r="AK253" s="66">
        <v>0</v>
      </c>
      <c r="AL253" s="66">
        <v>0</v>
      </c>
      <c r="AM253" s="66">
        <v>0</v>
      </c>
      <c r="AN253" s="68">
        <v>0</v>
      </c>
      <c r="AO253" s="66">
        <v>0</v>
      </c>
      <c r="AP253" s="66">
        <v>0</v>
      </c>
      <c r="AQ253" s="66">
        <v>0</v>
      </c>
      <c r="AR253" s="66">
        <v>0</v>
      </c>
      <c r="AS253" s="66">
        <v>0</v>
      </c>
      <c r="AT253" s="66">
        <v>0</v>
      </c>
      <c r="AU253" s="66">
        <v>0</v>
      </c>
      <c r="AV253" s="66">
        <v>0</v>
      </c>
      <c r="AW253" s="68">
        <v>0</v>
      </c>
      <c r="AX253" s="66">
        <v>0</v>
      </c>
      <c r="AY253" s="66">
        <v>0</v>
      </c>
      <c r="AZ253" s="66">
        <v>0</v>
      </c>
      <c r="BA253" s="66">
        <v>0</v>
      </c>
      <c r="BB253" s="66">
        <v>0</v>
      </c>
      <c r="BC253" s="66">
        <v>0</v>
      </c>
      <c r="BD253" s="66">
        <v>0</v>
      </c>
      <c r="BE253" s="66">
        <v>0</v>
      </c>
      <c r="BF253" s="68">
        <v>0</v>
      </c>
      <c r="BG253" s="66">
        <v>0</v>
      </c>
      <c r="BH253" s="66">
        <v>0</v>
      </c>
      <c r="BI253" s="66">
        <v>0</v>
      </c>
      <c r="BJ253" s="66">
        <v>0</v>
      </c>
      <c r="BK253" s="66">
        <v>0</v>
      </c>
      <c r="BL253" s="66">
        <v>0</v>
      </c>
      <c r="BM253" s="66">
        <v>0</v>
      </c>
      <c r="BN253" s="66">
        <v>0</v>
      </c>
      <c r="BO253" s="68">
        <v>0</v>
      </c>
      <c r="BP253" s="66">
        <v>0</v>
      </c>
      <c r="BQ253" s="66">
        <v>0</v>
      </c>
      <c r="BR253" s="66">
        <v>0</v>
      </c>
      <c r="BS253" s="66">
        <v>0</v>
      </c>
      <c r="BT253" s="66">
        <v>0</v>
      </c>
      <c r="BU253" s="66">
        <v>0</v>
      </c>
      <c r="BV253" s="66">
        <v>0</v>
      </c>
      <c r="BW253" s="66">
        <v>0</v>
      </c>
      <c r="BX253" s="66">
        <v>0</v>
      </c>
    </row>
    <row r="254" spans="1:76" x14ac:dyDescent="0.35">
      <c r="A254" t="s">
        <v>187</v>
      </c>
      <c r="B254" s="4" t="s">
        <v>90</v>
      </c>
      <c r="C254" s="4" t="s">
        <v>145</v>
      </c>
      <c r="D254" s="4" t="s">
        <v>188</v>
      </c>
      <c r="W254" s="66">
        <v>0</v>
      </c>
      <c r="X254" s="66">
        <v>0</v>
      </c>
      <c r="Y254" s="65">
        <v>5.8414015621608938E-3</v>
      </c>
      <c r="Z254" s="65">
        <v>5.8414015621608938E-3</v>
      </c>
      <c r="AA254" s="66">
        <v>0</v>
      </c>
      <c r="AB254" s="66">
        <v>0</v>
      </c>
      <c r="AC254" s="66">
        <v>0</v>
      </c>
      <c r="AD254" s="66">
        <v>0</v>
      </c>
      <c r="AE254" s="68">
        <v>0</v>
      </c>
      <c r="AF254" s="66">
        <v>0</v>
      </c>
      <c r="AG254" s="66">
        <v>0</v>
      </c>
      <c r="AH254" s="66">
        <v>0</v>
      </c>
      <c r="AI254" s="66">
        <v>0</v>
      </c>
      <c r="AJ254" s="66">
        <v>0</v>
      </c>
      <c r="AK254" s="66">
        <v>0</v>
      </c>
      <c r="AL254" s="66">
        <v>0</v>
      </c>
      <c r="AM254" s="66">
        <v>0</v>
      </c>
      <c r="AN254" s="68">
        <v>0</v>
      </c>
      <c r="AO254" s="66">
        <v>0</v>
      </c>
      <c r="AP254" s="66">
        <v>0</v>
      </c>
      <c r="AQ254" s="66">
        <v>0</v>
      </c>
      <c r="AR254" s="66">
        <v>0</v>
      </c>
      <c r="AS254" s="66">
        <v>0</v>
      </c>
      <c r="AT254" s="66">
        <v>0</v>
      </c>
      <c r="AU254" s="66">
        <v>0</v>
      </c>
      <c r="AV254" s="66">
        <v>0</v>
      </c>
      <c r="AW254" s="68">
        <v>0</v>
      </c>
      <c r="AX254" s="66">
        <v>0</v>
      </c>
      <c r="AY254" s="66">
        <v>0</v>
      </c>
      <c r="AZ254" s="66">
        <v>0</v>
      </c>
      <c r="BA254" s="66">
        <v>0</v>
      </c>
      <c r="BB254" s="66">
        <v>0</v>
      </c>
      <c r="BC254" s="66">
        <v>0</v>
      </c>
      <c r="BD254" s="66">
        <v>0</v>
      </c>
      <c r="BE254" s="66">
        <v>0</v>
      </c>
      <c r="BF254" s="68">
        <v>0</v>
      </c>
      <c r="BG254" s="66">
        <v>0</v>
      </c>
      <c r="BH254" s="66">
        <v>0</v>
      </c>
      <c r="BI254" s="66">
        <v>0</v>
      </c>
      <c r="BJ254" s="66">
        <v>0</v>
      </c>
      <c r="BK254" s="66">
        <v>0</v>
      </c>
      <c r="BL254" s="66">
        <v>0</v>
      </c>
      <c r="BM254" s="66">
        <v>0</v>
      </c>
      <c r="BN254" s="66">
        <v>0</v>
      </c>
      <c r="BO254" s="68">
        <v>0</v>
      </c>
      <c r="BP254" s="66">
        <v>0</v>
      </c>
      <c r="BQ254" s="66">
        <v>0</v>
      </c>
      <c r="BR254" s="66">
        <v>0</v>
      </c>
      <c r="BS254" s="66">
        <v>0</v>
      </c>
      <c r="BT254" s="66">
        <v>0</v>
      </c>
      <c r="BU254" s="66">
        <v>0</v>
      </c>
      <c r="BV254" s="66">
        <v>0</v>
      </c>
      <c r="BW254" s="66">
        <v>0</v>
      </c>
      <c r="BX254" s="66">
        <v>0</v>
      </c>
    </row>
    <row r="255" spans="1:76" x14ac:dyDescent="0.35">
      <c r="A255" t="s">
        <v>189</v>
      </c>
      <c r="B255" s="4" t="s">
        <v>90</v>
      </c>
      <c r="C255" s="4" t="s">
        <v>145</v>
      </c>
      <c r="D255" s="4" t="s">
        <v>190</v>
      </c>
      <c r="W255" s="66">
        <v>0</v>
      </c>
      <c r="X255" s="65">
        <v>1.0694147292515508E-5</v>
      </c>
      <c r="Y255" s="65">
        <v>1.4521138379047227E-3</v>
      </c>
      <c r="Z255" s="65">
        <v>1.4521138379047227E-3</v>
      </c>
      <c r="AA255" s="65">
        <v>2.2200107734217647E-6</v>
      </c>
      <c r="AB255" s="65">
        <v>2.2200107734217647E-6</v>
      </c>
      <c r="AC255" s="66">
        <v>0</v>
      </c>
      <c r="AD255" s="66">
        <v>0</v>
      </c>
      <c r="AE255" s="68">
        <v>0</v>
      </c>
      <c r="AF255" s="66">
        <v>0</v>
      </c>
      <c r="AG255" s="66">
        <v>0</v>
      </c>
      <c r="AH255" s="66">
        <v>0</v>
      </c>
      <c r="AI255" s="66">
        <v>0</v>
      </c>
      <c r="AJ255" s="66">
        <v>0</v>
      </c>
      <c r="AK255" s="66">
        <v>0</v>
      </c>
      <c r="AL255" s="66">
        <v>0</v>
      </c>
      <c r="AM255" s="66">
        <v>0</v>
      </c>
      <c r="AN255" s="68">
        <v>0</v>
      </c>
      <c r="AO255" s="66">
        <v>0</v>
      </c>
      <c r="AP255" s="66">
        <v>0</v>
      </c>
      <c r="AQ255" s="66">
        <v>0</v>
      </c>
      <c r="AR255" s="66">
        <v>0</v>
      </c>
      <c r="AS255" s="66">
        <v>0</v>
      </c>
      <c r="AT255" s="66">
        <v>0</v>
      </c>
      <c r="AU255" s="66">
        <v>0</v>
      </c>
      <c r="AV255" s="66">
        <v>0</v>
      </c>
      <c r="AW255" s="68">
        <v>0</v>
      </c>
      <c r="AX255" s="66">
        <v>0</v>
      </c>
      <c r="AY255" s="66">
        <v>0</v>
      </c>
      <c r="AZ255" s="66">
        <v>0</v>
      </c>
      <c r="BA255" s="66">
        <v>0</v>
      </c>
      <c r="BB255" s="66">
        <v>0</v>
      </c>
      <c r="BC255" s="66">
        <v>0</v>
      </c>
      <c r="BD255" s="66">
        <v>0</v>
      </c>
      <c r="BE255" s="66">
        <v>0</v>
      </c>
      <c r="BF255" s="68">
        <v>0</v>
      </c>
      <c r="BG255" s="66">
        <v>0</v>
      </c>
      <c r="BH255" s="66">
        <v>0</v>
      </c>
      <c r="BI255" s="66">
        <v>0</v>
      </c>
      <c r="BJ255" s="66">
        <v>0</v>
      </c>
      <c r="BK255" s="66">
        <v>0</v>
      </c>
      <c r="BL255" s="66">
        <v>0</v>
      </c>
      <c r="BM255" s="66">
        <v>0</v>
      </c>
      <c r="BN255" s="66">
        <v>0</v>
      </c>
      <c r="BO255" s="68">
        <v>0</v>
      </c>
      <c r="BP255" s="66">
        <v>0</v>
      </c>
      <c r="BQ255" s="66">
        <v>0</v>
      </c>
      <c r="BR255" s="66">
        <v>0</v>
      </c>
      <c r="BS255" s="66">
        <v>0</v>
      </c>
      <c r="BT255" s="66">
        <v>0</v>
      </c>
      <c r="BU255" s="66">
        <v>0</v>
      </c>
      <c r="BV255" s="66">
        <v>0</v>
      </c>
      <c r="BW255" s="66">
        <v>0</v>
      </c>
      <c r="BX255" s="66">
        <v>0</v>
      </c>
    </row>
    <row r="256" spans="1:76" x14ac:dyDescent="0.35">
      <c r="A256" t="s">
        <v>87</v>
      </c>
      <c r="B256" s="4" t="s">
        <v>90</v>
      </c>
      <c r="C256" s="4" t="s">
        <v>145</v>
      </c>
      <c r="D256" s="4" t="s">
        <v>196</v>
      </c>
      <c r="W256" s="66">
        <v>0</v>
      </c>
      <c r="X256" s="66">
        <v>0</v>
      </c>
      <c r="Y256" s="66">
        <v>0</v>
      </c>
      <c r="Z256" s="66">
        <v>0</v>
      </c>
      <c r="AA256" s="65">
        <v>9.1135123377023061E-3</v>
      </c>
      <c r="AB256" s="65">
        <v>9.1135123377023061E-3</v>
      </c>
      <c r="AC256" s="66">
        <v>0</v>
      </c>
      <c r="AD256" s="66">
        <v>0</v>
      </c>
      <c r="AE256" s="68">
        <v>0</v>
      </c>
      <c r="AF256" s="66">
        <v>0</v>
      </c>
      <c r="AG256" s="66">
        <v>0</v>
      </c>
      <c r="AH256" s="66">
        <v>0</v>
      </c>
      <c r="AI256" s="66">
        <v>0</v>
      </c>
      <c r="AJ256" s="66">
        <v>0</v>
      </c>
      <c r="AK256" s="66">
        <v>0</v>
      </c>
      <c r="AL256" s="66">
        <v>0</v>
      </c>
      <c r="AM256" s="66">
        <v>0</v>
      </c>
      <c r="AN256" s="68">
        <v>0</v>
      </c>
      <c r="AO256" s="66">
        <v>0</v>
      </c>
      <c r="AP256" s="66">
        <v>0</v>
      </c>
      <c r="AQ256" s="66">
        <v>0</v>
      </c>
      <c r="AR256" s="66">
        <v>0</v>
      </c>
      <c r="AS256" s="66">
        <v>0</v>
      </c>
      <c r="AT256" s="66">
        <v>0</v>
      </c>
      <c r="AU256" s="66">
        <v>0</v>
      </c>
      <c r="AV256" s="66">
        <v>0</v>
      </c>
      <c r="AW256" s="68">
        <v>0</v>
      </c>
      <c r="AX256" s="66">
        <v>0</v>
      </c>
      <c r="AY256" s="66">
        <v>0</v>
      </c>
      <c r="AZ256" s="66">
        <v>0</v>
      </c>
      <c r="BA256" s="66">
        <v>0</v>
      </c>
      <c r="BB256" s="66">
        <v>0</v>
      </c>
      <c r="BC256" s="66">
        <v>0</v>
      </c>
      <c r="BD256" s="66">
        <v>0</v>
      </c>
      <c r="BE256" s="66">
        <v>0</v>
      </c>
      <c r="BF256" s="68">
        <v>0</v>
      </c>
      <c r="BG256" s="66">
        <v>0</v>
      </c>
      <c r="BH256" s="66">
        <v>0</v>
      </c>
      <c r="BI256" s="66">
        <v>0</v>
      </c>
      <c r="BJ256" s="66">
        <v>0</v>
      </c>
      <c r="BK256" s="66">
        <v>0</v>
      </c>
      <c r="BL256" s="66">
        <v>0</v>
      </c>
      <c r="BM256" s="66">
        <v>0</v>
      </c>
      <c r="BN256" s="66">
        <v>0</v>
      </c>
      <c r="BO256" s="68">
        <v>0</v>
      </c>
      <c r="BP256" s="66">
        <v>0</v>
      </c>
      <c r="BQ256" s="66">
        <v>0</v>
      </c>
      <c r="BR256" s="66">
        <v>0</v>
      </c>
      <c r="BS256" s="66">
        <v>0</v>
      </c>
      <c r="BT256" s="66">
        <v>0</v>
      </c>
      <c r="BU256" s="66">
        <v>0</v>
      </c>
      <c r="BV256" s="66">
        <v>0</v>
      </c>
      <c r="BW256" s="66">
        <v>0</v>
      </c>
      <c r="BX256" s="66">
        <v>0</v>
      </c>
    </row>
    <row r="257" spans="1:76" x14ac:dyDescent="0.35">
      <c r="A257" t="s">
        <v>191</v>
      </c>
      <c r="B257" s="4" t="s">
        <v>90</v>
      </c>
      <c r="C257" s="4" t="s">
        <v>145</v>
      </c>
      <c r="D257" s="4" t="s">
        <v>192</v>
      </c>
      <c r="W257" s="66">
        <v>0</v>
      </c>
      <c r="X257" s="66">
        <v>0</v>
      </c>
      <c r="Y257" s="65">
        <v>6.5130870114372285E-5</v>
      </c>
      <c r="Z257" s="65">
        <v>6.5130870114372285E-5</v>
      </c>
      <c r="AA257" s="66">
        <v>0</v>
      </c>
      <c r="AB257" s="66">
        <v>0</v>
      </c>
      <c r="AC257" s="66">
        <v>0</v>
      </c>
      <c r="AD257" s="66">
        <v>0</v>
      </c>
      <c r="AE257" s="68">
        <v>0</v>
      </c>
      <c r="AF257" s="66">
        <v>0</v>
      </c>
      <c r="AG257" s="66">
        <v>0</v>
      </c>
      <c r="AH257" s="66">
        <v>0</v>
      </c>
      <c r="AI257" s="66">
        <v>0</v>
      </c>
      <c r="AJ257" s="66">
        <v>0</v>
      </c>
      <c r="AK257" s="66">
        <v>0</v>
      </c>
      <c r="AL257" s="66">
        <v>0</v>
      </c>
      <c r="AM257" s="66">
        <v>0</v>
      </c>
      <c r="AN257" s="68">
        <v>0</v>
      </c>
      <c r="AO257" s="66">
        <v>0</v>
      </c>
      <c r="AP257" s="66">
        <v>0</v>
      </c>
      <c r="AQ257" s="66">
        <v>0</v>
      </c>
      <c r="AR257" s="66">
        <v>0</v>
      </c>
      <c r="AS257" s="66">
        <v>0</v>
      </c>
      <c r="AT257" s="66">
        <v>0</v>
      </c>
      <c r="AU257" s="66">
        <v>0</v>
      </c>
      <c r="AV257" s="66">
        <v>0</v>
      </c>
      <c r="AW257" s="68">
        <v>0</v>
      </c>
      <c r="AX257" s="66">
        <v>0</v>
      </c>
      <c r="AY257" s="66">
        <v>0</v>
      </c>
      <c r="AZ257" s="66">
        <v>0</v>
      </c>
      <c r="BA257" s="66">
        <v>0</v>
      </c>
      <c r="BB257" s="66">
        <v>0</v>
      </c>
      <c r="BC257" s="66">
        <v>0</v>
      </c>
      <c r="BD257" s="66">
        <v>0</v>
      </c>
      <c r="BE257" s="66">
        <v>0</v>
      </c>
      <c r="BF257" s="68">
        <v>0</v>
      </c>
      <c r="BG257" s="66">
        <v>0</v>
      </c>
      <c r="BH257" s="66">
        <v>0</v>
      </c>
      <c r="BI257" s="66">
        <v>0</v>
      </c>
      <c r="BJ257" s="66">
        <v>0</v>
      </c>
      <c r="BK257" s="66">
        <v>0</v>
      </c>
      <c r="BL257" s="66">
        <v>0</v>
      </c>
      <c r="BM257" s="66">
        <v>0</v>
      </c>
      <c r="BN257" s="66">
        <v>0</v>
      </c>
      <c r="BO257" s="68">
        <v>0</v>
      </c>
      <c r="BP257" s="66">
        <v>0</v>
      </c>
      <c r="BQ257" s="66">
        <v>0</v>
      </c>
      <c r="BR257" s="66">
        <v>0</v>
      </c>
      <c r="BS257" s="66">
        <v>0</v>
      </c>
      <c r="BT257" s="66">
        <v>0</v>
      </c>
      <c r="BU257" s="66">
        <v>0</v>
      </c>
      <c r="BV257" s="66">
        <v>0</v>
      </c>
      <c r="BW257" s="66">
        <v>0</v>
      </c>
      <c r="BX257" s="66">
        <v>0</v>
      </c>
    </row>
    <row r="258" spans="1:76" x14ac:dyDescent="0.35">
      <c r="A258" t="s">
        <v>193</v>
      </c>
      <c r="B258" s="4" t="s">
        <v>90</v>
      </c>
      <c r="C258" s="4" t="s">
        <v>145</v>
      </c>
      <c r="D258" s="4" t="s">
        <v>194</v>
      </c>
      <c r="W258" s="66">
        <v>0</v>
      </c>
      <c r="X258" s="66">
        <v>0</v>
      </c>
      <c r="Y258" s="65">
        <v>7.9476813317479189E-4</v>
      </c>
      <c r="Z258" s="65">
        <v>7.9476813317479189E-4</v>
      </c>
      <c r="AA258" s="66">
        <v>0</v>
      </c>
      <c r="AB258" s="66">
        <v>0</v>
      </c>
      <c r="AC258" s="66">
        <v>0</v>
      </c>
      <c r="AD258" s="66">
        <v>0</v>
      </c>
      <c r="AE258" s="68">
        <v>0</v>
      </c>
      <c r="AF258" s="66">
        <v>0</v>
      </c>
      <c r="AG258" s="66">
        <v>0</v>
      </c>
      <c r="AH258" s="66">
        <v>0</v>
      </c>
      <c r="AI258" s="66">
        <v>0</v>
      </c>
      <c r="AJ258" s="66">
        <v>0</v>
      </c>
      <c r="AK258" s="66">
        <v>0</v>
      </c>
      <c r="AL258" s="66">
        <v>0</v>
      </c>
      <c r="AM258" s="66">
        <v>0</v>
      </c>
      <c r="AN258" s="68">
        <v>0</v>
      </c>
      <c r="AO258" s="66">
        <v>0</v>
      </c>
      <c r="AP258" s="66">
        <v>0</v>
      </c>
      <c r="AQ258" s="66">
        <v>0</v>
      </c>
      <c r="AR258" s="66">
        <v>0</v>
      </c>
      <c r="AS258" s="66">
        <v>0</v>
      </c>
      <c r="AT258" s="66">
        <v>0</v>
      </c>
      <c r="AU258" s="66">
        <v>0</v>
      </c>
      <c r="AV258" s="66">
        <v>0</v>
      </c>
      <c r="AW258" s="68">
        <v>0</v>
      </c>
      <c r="AX258" s="66">
        <v>0</v>
      </c>
      <c r="AY258" s="66">
        <v>0</v>
      </c>
      <c r="AZ258" s="66">
        <v>0</v>
      </c>
      <c r="BA258" s="66">
        <v>0</v>
      </c>
      <c r="BB258" s="66">
        <v>0</v>
      </c>
      <c r="BC258" s="66">
        <v>0</v>
      </c>
      <c r="BD258" s="66">
        <v>0</v>
      </c>
      <c r="BE258" s="66">
        <v>0</v>
      </c>
      <c r="BF258" s="68">
        <v>0</v>
      </c>
      <c r="BG258" s="66">
        <v>0</v>
      </c>
      <c r="BH258" s="66">
        <v>0</v>
      </c>
      <c r="BI258" s="66">
        <v>0</v>
      </c>
      <c r="BJ258" s="66">
        <v>0</v>
      </c>
      <c r="BK258" s="66">
        <v>0</v>
      </c>
      <c r="BL258" s="66">
        <v>0</v>
      </c>
      <c r="BM258" s="66">
        <v>0</v>
      </c>
      <c r="BN258" s="66">
        <v>0</v>
      </c>
      <c r="BO258" s="68">
        <v>0</v>
      </c>
      <c r="BP258" s="66">
        <v>0</v>
      </c>
      <c r="BQ258" s="66">
        <v>0</v>
      </c>
      <c r="BR258" s="66">
        <v>0</v>
      </c>
      <c r="BS258" s="66">
        <v>0</v>
      </c>
      <c r="BT258" s="66">
        <v>0</v>
      </c>
      <c r="BU258" s="66">
        <v>0</v>
      </c>
      <c r="BV258" s="66">
        <v>0</v>
      </c>
      <c r="BW258" s="66">
        <v>0</v>
      </c>
      <c r="BX258" s="66">
        <v>0</v>
      </c>
    </row>
    <row r="259" spans="1:76" x14ac:dyDescent="0.35">
      <c r="A259" t="s">
        <v>195</v>
      </c>
      <c r="B259" s="4" t="s">
        <v>90</v>
      </c>
      <c r="C259" s="4" t="s">
        <v>145</v>
      </c>
      <c r="D259" s="4" t="s">
        <v>196</v>
      </c>
      <c r="W259" s="66">
        <v>0</v>
      </c>
      <c r="X259" s="66">
        <v>0</v>
      </c>
      <c r="Y259" s="65">
        <v>8.4821183458843076E-3</v>
      </c>
      <c r="Z259" s="65">
        <v>8.4821183458843076E-3</v>
      </c>
      <c r="AA259" s="66">
        <v>0</v>
      </c>
      <c r="AB259" s="66">
        <v>0</v>
      </c>
      <c r="AC259" s="66">
        <v>0</v>
      </c>
      <c r="AD259" s="66">
        <v>0</v>
      </c>
      <c r="AE259" s="68">
        <v>0</v>
      </c>
      <c r="AF259" s="66">
        <v>0</v>
      </c>
      <c r="AG259" s="66">
        <v>0</v>
      </c>
      <c r="AH259" s="66">
        <v>0</v>
      </c>
      <c r="AI259" s="66">
        <v>0</v>
      </c>
      <c r="AJ259" s="66">
        <v>0</v>
      </c>
      <c r="AK259" s="66">
        <v>0</v>
      </c>
      <c r="AL259" s="66">
        <v>0</v>
      </c>
      <c r="AM259" s="66">
        <v>0</v>
      </c>
      <c r="AN259" s="68">
        <v>0</v>
      </c>
      <c r="AO259" s="66">
        <v>0</v>
      </c>
      <c r="AP259" s="66">
        <v>0</v>
      </c>
      <c r="AQ259" s="66">
        <v>0</v>
      </c>
      <c r="AR259" s="66">
        <v>0</v>
      </c>
      <c r="AS259" s="66">
        <v>0</v>
      </c>
      <c r="AT259" s="66">
        <v>0</v>
      </c>
      <c r="AU259" s="66">
        <v>0</v>
      </c>
      <c r="AV259" s="66">
        <v>0</v>
      </c>
      <c r="AW259" s="68">
        <v>0</v>
      </c>
      <c r="AX259" s="66">
        <v>0</v>
      </c>
      <c r="AY259" s="66">
        <v>0</v>
      </c>
      <c r="AZ259" s="66">
        <v>0</v>
      </c>
      <c r="BA259" s="66">
        <v>0</v>
      </c>
      <c r="BB259" s="66">
        <v>0</v>
      </c>
      <c r="BC259" s="66">
        <v>0</v>
      </c>
      <c r="BD259" s="66">
        <v>0</v>
      </c>
      <c r="BE259" s="66">
        <v>0</v>
      </c>
      <c r="BF259" s="68">
        <v>0</v>
      </c>
      <c r="BG259" s="66">
        <v>0</v>
      </c>
      <c r="BH259" s="66">
        <v>0</v>
      </c>
      <c r="BI259" s="66">
        <v>0</v>
      </c>
      <c r="BJ259" s="66">
        <v>0</v>
      </c>
      <c r="BK259" s="66">
        <v>0</v>
      </c>
      <c r="BL259" s="66">
        <v>0</v>
      </c>
      <c r="BM259" s="66">
        <v>0</v>
      </c>
      <c r="BN259" s="66">
        <v>0</v>
      </c>
      <c r="BO259" s="68">
        <v>0</v>
      </c>
      <c r="BP259" s="66">
        <v>0</v>
      </c>
      <c r="BQ259" s="66">
        <v>0</v>
      </c>
      <c r="BR259" s="66">
        <v>0</v>
      </c>
      <c r="BS259" s="66">
        <v>0</v>
      </c>
      <c r="BT259" s="66">
        <v>0</v>
      </c>
      <c r="BU259" s="66">
        <v>0</v>
      </c>
      <c r="BV259" s="66">
        <v>0</v>
      </c>
      <c r="BW259" s="66">
        <v>0</v>
      </c>
      <c r="BX259" s="66">
        <v>0</v>
      </c>
    </row>
    <row r="260" spans="1:76" x14ac:dyDescent="0.35">
      <c r="A260" t="s">
        <v>197</v>
      </c>
      <c r="B260" s="4" t="s">
        <v>90</v>
      </c>
      <c r="C260" s="4" t="s">
        <v>181</v>
      </c>
      <c r="D260" s="4" t="s">
        <v>198</v>
      </c>
      <c r="W260" s="66">
        <v>0</v>
      </c>
      <c r="X260" s="66">
        <v>0</v>
      </c>
      <c r="Y260" s="66">
        <v>0</v>
      </c>
      <c r="Z260" s="66">
        <v>0</v>
      </c>
      <c r="AA260" s="66">
        <v>0</v>
      </c>
      <c r="AB260" s="66">
        <v>0</v>
      </c>
      <c r="AC260" s="66">
        <v>0</v>
      </c>
      <c r="AD260" s="66">
        <v>0</v>
      </c>
      <c r="AE260" s="68">
        <v>0</v>
      </c>
      <c r="AF260" s="66">
        <v>0</v>
      </c>
      <c r="AG260" s="66">
        <v>0</v>
      </c>
      <c r="AH260" s="66">
        <v>0</v>
      </c>
      <c r="AI260" s="66">
        <v>0</v>
      </c>
      <c r="AJ260" s="66">
        <v>0</v>
      </c>
      <c r="AK260" s="66">
        <v>0</v>
      </c>
      <c r="AL260" s="66">
        <v>0</v>
      </c>
      <c r="AM260" s="66">
        <v>0</v>
      </c>
      <c r="AN260" s="68">
        <v>0</v>
      </c>
      <c r="AO260" s="66">
        <v>0</v>
      </c>
      <c r="AP260" s="66">
        <v>0</v>
      </c>
      <c r="AQ260" s="66">
        <v>0</v>
      </c>
      <c r="AR260" s="66">
        <v>0</v>
      </c>
      <c r="AS260" s="66">
        <v>0</v>
      </c>
      <c r="AT260" s="66">
        <v>0</v>
      </c>
      <c r="AU260" s="66">
        <v>0</v>
      </c>
      <c r="AV260" s="66">
        <v>0</v>
      </c>
      <c r="AW260" s="68">
        <v>0</v>
      </c>
      <c r="AX260" s="66">
        <v>0</v>
      </c>
      <c r="AY260" s="66">
        <v>0</v>
      </c>
      <c r="AZ260" s="66">
        <v>0</v>
      </c>
      <c r="BA260" s="66">
        <v>0</v>
      </c>
      <c r="BB260" s="66">
        <v>0</v>
      </c>
      <c r="BC260" s="66">
        <v>0</v>
      </c>
      <c r="BD260" s="66">
        <v>0</v>
      </c>
      <c r="BE260" s="66">
        <v>0</v>
      </c>
      <c r="BF260" s="68">
        <v>0</v>
      </c>
      <c r="BG260" s="66">
        <v>0</v>
      </c>
      <c r="BH260" s="66">
        <v>0</v>
      </c>
      <c r="BI260" s="66">
        <v>0</v>
      </c>
      <c r="BJ260" s="66">
        <v>0</v>
      </c>
      <c r="BK260" s="66">
        <v>0</v>
      </c>
      <c r="BL260" s="66">
        <v>0</v>
      </c>
      <c r="BM260" s="66">
        <v>0</v>
      </c>
      <c r="BN260" s="66">
        <v>0</v>
      </c>
      <c r="BO260" s="68">
        <v>0</v>
      </c>
      <c r="BP260" s="66">
        <v>0</v>
      </c>
      <c r="BQ260" s="66">
        <v>0</v>
      </c>
      <c r="BR260" s="66">
        <v>0</v>
      </c>
      <c r="BS260" s="66">
        <v>0</v>
      </c>
      <c r="BT260" s="66">
        <v>0</v>
      </c>
      <c r="BU260" s="66">
        <v>0</v>
      </c>
      <c r="BV260" s="66">
        <v>0</v>
      </c>
      <c r="BW260" s="66">
        <v>0</v>
      </c>
      <c r="BX260" s="66">
        <v>0</v>
      </c>
    </row>
    <row r="261" spans="1:76" x14ac:dyDescent="0.35">
      <c r="A261" t="s">
        <v>199</v>
      </c>
      <c r="B261" s="4" t="s">
        <v>90</v>
      </c>
      <c r="C261" s="4" t="s">
        <v>181</v>
      </c>
      <c r="D261" s="4" t="s">
        <v>200</v>
      </c>
      <c r="W261" s="66">
        <v>0</v>
      </c>
      <c r="X261" s="66">
        <v>0</v>
      </c>
      <c r="Y261" s="66">
        <v>0</v>
      </c>
      <c r="Z261" s="66">
        <v>0</v>
      </c>
      <c r="AA261" s="66">
        <v>0</v>
      </c>
      <c r="AB261" s="66">
        <v>0</v>
      </c>
      <c r="AC261" s="66">
        <v>0</v>
      </c>
      <c r="AD261" s="66">
        <v>0</v>
      </c>
      <c r="AE261" s="68">
        <v>0</v>
      </c>
      <c r="AF261" s="66">
        <v>0</v>
      </c>
      <c r="AG261" s="66">
        <v>0</v>
      </c>
      <c r="AH261" s="66">
        <v>0</v>
      </c>
      <c r="AI261" s="66">
        <v>0</v>
      </c>
      <c r="AJ261" s="66">
        <v>0</v>
      </c>
      <c r="AK261" s="66">
        <v>0</v>
      </c>
      <c r="AL261" s="66">
        <v>0</v>
      </c>
      <c r="AM261" s="66">
        <v>0</v>
      </c>
      <c r="AN261" s="68">
        <v>0</v>
      </c>
      <c r="AO261" s="66">
        <v>0</v>
      </c>
      <c r="AP261" s="66">
        <v>0</v>
      </c>
      <c r="AQ261" s="66">
        <v>0</v>
      </c>
      <c r="AR261" s="66">
        <v>0</v>
      </c>
      <c r="AS261" s="66">
        <v>0</v>
      </c>
      <c r="AT261" s="66">
        <v>0</v>
      </c>
      <c r="AU261" s="66">
        <v>0</v>
      </c>
      <c r="AV261" s="66">
        <v>0</v>
      </c>
      <c r="AW261" s="68">
        <v>0</v>
      </c>
      <c r="AX261" s="66">
        <v>0</v>
      </c>
      <c r="AY261" s="66">
        <v>0</v>
      </c>
      <c r="AZ261" s="66">
        <v>0</v>
      </c>
      <c r="BA261" s="66">
        <v>0</v>
      </c>
      <c r="BB261" s="66">
        <v>0</v>
      </c>
      <c r="BC261" s="66">
        <v>0</v>
      </c>
      <c r="BD261" s="66">
        <v>0</v>
      </c>
      <c r="BE261" s="66">
        <v>0</v>
      </c>
      <c r="BF261" s="68">
        <v>0</v>
      </c>
      <c r="BG261" s="66">
        <v>0</v>
      </c>
      <c r="BH261" s="66">
        <v>0</v>
      </c>
      <c r="BI261" s="66">
        <v>0</v>
      </c>
      <c r="BJ261" s="66">
        <v>0</v>
      </c>
      <c r="BK261" s="66">
        <v>0</v>
      </c>
      <c r="BL261" s="66">
        <v>0</v>
      </c>
      <c r="BM261" s="66">
        <v>0</v>
      </c>
      <c r="BN261" s="66">
        <v>0</v>
      </c>
      <c r="BO261" s="68">
        <v>0</v>
      </c>
      <c r="BP261" s="66">
        <v>0</v>
      </c>
      <c r="BQ261" s="66">
        <v>0</v>
      </c>
      <c r="BR261" s="66">
        <v>0</v>
      </c>
      <c r="BS261" s="66">
        <v>0</v>
      </c>
      <c r="BT261" s="66">
        <v>0</v>
      </c>
      <c r="BU261" s="66">
        <v>0</v>
      </c>
      <c r="BV261" s="66">
        <v>0</v>
      </c>
      <c r="BW261" s="66">
        <v>0</v>
      </c>
      <c r="BX261" s="66">
        <v>0</v>
      </c>
    </row>
    <row r="262" spans="1:76" ht="15" thickBot="1" x14ac:dyDescent="0.4">
      <c r="A262" t="s">
        <v>201</v>
      </c>
      <c r="B262" s="4" t="s">
        <v>90</v>
      </c>
      <c r="C262" s="4" t="s">
        <v>181</v>
      </c>
      <c r="D262" s="4" t="s">
        <v>202</v>
      </c>
      <c r="W262" s="69">
        <v>0</v>
      </c>
      <c r="X262" s="69">
        <v>0</v>
      </c>
      <c r="Y262" s="69">
        <v>0</v>
      </c>
      <c r="Z262" s="69">
        <v>0</v>
      </c>
      <c r="AA262" s="69">
        <v>0</v>
      </c>
      <c r="AB262" s="69">
        <v>0</v>
      </c>
      <c r="AC262" s="69">
        <v>0</v>
      </c>
      <c r="AD262" s="69">
        <v>0</v>
      </c>
      <c r="AE262" s="71">
        <v>0</v>
      </c>
      <c r="AF262" s="69">
        <v>0</v>
      </c>
      <c r="AG262" s="69">
        <v>0</v>
      </c>
      <c r="AH262" s="69">
        <v>0</v>
      </c>
      <c r="AI262" s="69">
        <v>0</v>
      </c>
      <c r="AJ262" s="69">
        <v>0</v>
      </c>
      <c r="AK262" s="69">
        <v>0</v>
      </c>
      <c r="AL262" s="69">
        <v>0</v>
      </c>
      <c r="AM262" s="69">
        <v>0</v>
      </c>
      <c r="AN262" s="71">
        <v>0</v>
      </c>
      <c r="AO262" s="69">
        <v>0</v>
      </c>
      <c r="AP262" s="69">
        <v>0</v>
      </c>
      <c r="AQ262" s="69">
        <v>0</v>
      </c>
      <c r="AR262" s="69">
        <v>0</v>
      </c>
      <c r="AS262" s="69">
        <v>0</v>
      </c>
      <c r="AT262" s="69">
        <v>0</v>
      </c>
      <c r="AU262" s="69">
        <v>0</v>
      </c>
      <c r="AV262" s="69">
        <v>0</v>
      </c>
      <c r="AW262" s="71">
        <v>0</v>
      </c>
      <c r="AX262" s="69">
        <v>0</v>
      </c>
      <c r="AY262" s="69">
        <v>0</v>
      </c>
      <c r="AZ262" s="69">
        <v>0</v>
      </c>
      <c r="BA262" s="69">
        <v>0</v>
      </c>
      <c r="BB262" s="69">
        <v>0</v>
      </c>
      <c r="BC262" s="69">
        <v>0</v>
      </c>
      <c r="BD262" s="69">
        <v>0</v>
      </c>
      <c r="BE262" s="69">
        <v>0</v>
      </c>
      <c r="BF262" s="71">
        <v>0</v>
      </c>
      <c r="BG262" s="69">
        <v>0</v>
      </c>
      <c r="BH262" s="69">
        <v>0</v>
      </c>
      <c r="BI262" s="69">
        <v>0</v>
      </c>
      <c r="BJ262" s="69">
        <v>0</v>
      </c>
      <c r="BK262" s="69">
        <v>0</v>
      </c>
      <c r="BL262" s="69">
        <v>0</v>
      </c>
      <c r="BM262" s="69">
        <v>0</v>
      </c>
      <c r="BN262" s="69">
        <v>0</v>
      </c>
      <c r="BO262" s="71">
        <v>0</v>
      </c>
      <c r="BP262" s="69">
        <v>0</v>
      </c>
      <c r="BQ262" s="69">
        <v>0</v>
      </c>
      <c r="BR262" s="69">
        <v>0</v>
      </c>
      <c r="BS262" s="69">
        <v>0</v>
      </c>
      <c r="BT262" s="69">
        <v>0</v>
      </c>
      <c r="BU262" s="69">
        <v>0</v>
      </c>
      <c r="BV262" s="69">
        <v>0</v>
      </c>
      <c r="BW262" s="69">
        <v>0</v>
      </c>
      <c r="BX262" s="69">
        <v>0</v>
      </c>
    </row>
    <row r="263" spans="1:76" x14ac:dyDescent="0.35">
      <c r="A263" t="s">
        <v>176</v>
      </c>
      <c r="B263" s="4" t="s">
        <v>91</v>
      </c>
      <c r="C263" s="4" t="s">
        <v>145</v>
      </c>
      <c r="D263" s="4" t="s">
        <v>177</v>
      </c>
      <c r="W263" s="66">
        <v>0</v>
      </c>
      <c r="X263" s="66">
        <v>0</v>
      </c>
      <c r="Y263" s="65">
        <v>0.15097500908393557</v>
      </c>
      <c r="Z263" s="65">
        <v>0.15097500908393557</v>
      </c>
      <c r="AA263" s="66">
        <v>0</v>
      </c>
      <c r="AB263" s="66">
        <v>0</v>
      </c>
      <c r="AC263" s="66">
        <v>0</v>
      </c>
      <c r="AD263" s="66">
        <v>0</v>
      </c>
      <c r="AE263" s="68">
        <v>0</v>
      </c>
      <c r="AF263" s="66">
        <v>0</v>
      </c>
      <c r="AG263" s="66">
        <v>0</v>
      </c>
      <c r="AH263" s="66">
        <v>0</v>
      </c>
      <c r="AI263" s="66">
        <v>0</v>
      </c>
      <c r="AJ263" s="66">
        <v>0</v>
      </c>
      <c r="AK263" s="66">
        <v>0</v>
      </c>
      <c r="AL263" s="66">
        <v>0</v>
      </c>
      <c r="AM263" s="66">
        <v>0</v>
      </c>
      <c r="AN263" s="68">
        <v>0</v>
      </c>
      <c r="AO263" s="66">
        <v>0</v>
      </c>
      <c r="AP263" s="66">
        <v>0</v>
      </c>
      <c r="AQ263" s="66">
        <v>0</v>
      </c>
      <c r="AR263" s="66">
        <v>0</v>
      </c>
      <c r="AS263" s="66">
        <v>0</v>
      </c>
      <c r="AT263" s="66">
        <v>0</v>
      </c>
      <c r="AU263" s="66">
        <v>0</v>
      </c>
      <c r="AV263" s="66">
        <v>0</v>
      </c>
      <c r="AW263" s="68">
        <v>0</v>
      </c>
      <c r="AX263" s="66">
        <v>0</v>
      </c>
      <c r="AY263" s="66">
        <v>0</v>
      </c>
      <c r="AZ263" s="66">
        <v>0</v>
      </c>
      <c r="BA263" s="66">
        <v>0</v>
      </c>
      <c r="BB263" s="66">
        <v>0</v>
      </c>
      <c r="BC263" s="66">
        <v>0</v>
      </c>
      <c r="BD263" s="66">
        <v>0</v>
      </c>
      <c r="BE263" s="66">
        <v>0</v>
      </c>
      <c r="BF263" s="68">
        <v>0</v>
      </c>
      <c r="BG263" s="66">
        <v>0</v>
      </c>
      <c r="BH263" s="66">
        <v>0</v>
      </c>
      <c r="BI263" s="66">
        <v>0</v>
      </c>
      <c r="BJ263" s="66">
        <v>0</v>
      </c>
      <c r="BK263" s="66">
        <v>0</v>
      </c>
      <c r="BL263" s="66">
        <v>0</v>
      </c>
      <c r="BM263" s="66">
        <v>0</v>
      </c>
      <c r="BN263" s="66">
        <v>0</v>
      </c>
      <c r="BO263" s="68">
        <v>0</v>
      </c>
      <c r="BP263" s="66">
        <v>0</v>
      </c>
      <c r="BQ263" s="66">
        <v>0</v>
      </c>
      <c r="BR263" s="66">
        <v>0</v>
      </c>
      <c r="BS263" s="66">
        <v>0</v>
      </c>
      <c r="BT263" s="66">
        <v>0</v>
      </c>
      <c r="BU263" s="66">
        <v>0</v>
      </c>
      <c r="BV263" s="66">
        <v>0</v>
      </c>
      <c r="BW263" s="66">
        <v>0</v>
      </c>
      <c r="BX263" s="66">
        <v>0</v>
      </c>
    </row>
    <row r="264" spans="1:76" x14ac:dyDescent="0.35">
      <c r="A264" s="77" t="s">
        <v>183</v>
      </c>
      <c r="B264" s="4" t="s">
        <v>91</v>
      </c>
      <c r="C264" s="4" t="s">
        <v>145</v>
      </c>
      <c r="D264" s="4" t="s">
        <v>184</v>
      </c>
      <c r="W264" s="66">
        <v>0</v>
      </c>
      <c r="X264" s="66">
        <v>0</v>
      </c>
      <c r="Y264" s="66">
        <v>0</v>
      </c>
      <c r="Z264" s="66">
        <v>0</v>
      </c>
      <c r="AA264" s="66">
        <v>0</v>
      </c>
      <c r="AB264" s="66">
        <v>0</v>
      </c>
      <c r="AC264" s="66">
        <v>0</v>
      </c>
      <c r="AD264" s="66">
        <v>0</v>
      </c>
      <c r="AE264" s="68">
        <v>0</v>
      </c>
      <c r="AF264" s="66">
        <v>0</v>
      </c>
      <c r="AG264" s="66">
        <v>0</v>
      </c>
      <c r="AH264" s="66">
        <v>0</v>
      </c>
      <c r="AI264" s="66">
        <v>0</v>
      </c>
      <c r="AJ264" s="66">
        <v>0</v>
      </c>
      <c r="AK264" s="66">
        <v>0</v>
      </c>
      <c r="AL264" s="66">
        <v>0</v>
      </c>
      <c r="AM264" s="66">
        <v>0</v>
      </c>
      <c r="AN264" s="68">
        <v>0</v>
      </c>
      <c r="AO264" s="66">
        <v>0</v>
      </c>
      <c r="AP264" s="66">
        <v>0</v>
      </c>
      <c r="AQ264" s="66">
        <v>0</v>
      </c>
      <c r="AR264" s="66">
        <v>0</v>
      </c>
      <c r="AS264" s="66">
        <v>0</v>
      </c>
      <c r="AT264" s="66">
        <v>0</v>
      </c>
      <c r="AU264" s="66">
        <v>0</v>
      </c>
      <c r="AV264" s="66">
        <v>0</v>
      </c>
      <c r="AW264" s="68">
        <v>0</v>
      </c>
      <c r="AX264" s="66">
        <v>0</v>
      </c>
      <c r="AY264" s="66">
        <v>0</v>
      </c>
      <c r="AZ264" s="66">
        <v>0</v>
      </c>
      <c r="BA264" s="66">
        <v>0</v>
      </c>
      <c r="BB264" s="66">
        <v>0</v>
      </c>
      <c r="BC264" s="66">
        <v>0</v>
      </c>
      <c r="BD264" s="66">
        <v>0</v>
      </c>
      <c r="BE264" s="66">
        <v>0</v>
      </c>
      <c r="BF264" s="68">
        <v>0</v>
      </c>
      <c r="BG264" s="66">
        <v>0</v>
      </c>
      <c r="BH264" s="66">
        <v>0</v>
      </c>
      <c r="BI264" s="66">
        <v>0</v>
      </c>
      <c r="BJ264" s="66">
        <v>0</v>
      </c>
      <c r="BK264" s="66">
        <v>0</v>
      </c>
      <c r="BL264" s="66">
        <v>0</v>
      </c>
      <c r="BM264" s="66">
        <v>0</v>
      </c>
      <c r="BN264" s="66">
        <v>0</v>
      </c>
      <c r="BO264" s="68">
        <v>0</v>
      </c>
      <c r="BP264" s="66">
        <v>0</v>
      </c>
      <c r="BQ264" s="66">
        <v>0</v>
      </c>
      <c r="BR264" s="66">
        <v>0</v>
      </c>
      <c r="BS264" s="66">
        <v>0</v>
      </c>
      <c r="BT264" s="66">
        <v>0</v>
      </c>
      <c r="BU264" s="66">
        <v>0</v>
      </c>
      <c r="BV264" s="66">
        <v>0</v>
      </c>
      <c r="BW264" s="66">
        <v>0</v>
      </c>
      <c r="BX264" s="66">
        <v>0</v>
      </c>
    </row>
    <row r="265" spans="1:76" x14ac:dyDescent="0.35">
      <c r="A265" t="s">
        <v>185</v>
      </c>
      <c r="B265" s="4" t="s">
        <v>91</v>
      </c>
      <c r="C265" s="4" t="s">
        <v>145</v>
      </c>
      <c r="D265" s="4" t="s">
        <v>186</v>
      </c>
      <c r="W265" s="66">
        <v>0</v>
      </c>
      <c r="X265" s="66">
        <v>0</v>
      </c>
      <c r="Y265" s="65">
        <v>6.7728942399646885E-5</v>
      </c>
      <c r="Z265" s="65">
        <v>6.7728942399646885E-5</v>
      </c>
      <c r="AA265" s="66">
        <v>0</v>
      </c>
      <c r="AB265" s="66">
        <v>0</v>
      </c>
      <c r="AC265" s="66">
        <v>0</v>
      </c>
      <c r="AD265" s="66">
        <v>0</v>
      </c>
      <c r="AE265" s="68">
        <v>0</v>
      </c>
      <c r="AF265" s="66">
        <v>0</v>
      </c>
      <c r="AG265" s="66">
        <v>0</v>
      </c>
      <c r="AH265" s="66">
        <v>0</v>
      </c>
      <c r="AI265" s="66">
        <v>0</v>
      </c>
      <c r="AJ265" s="66">
        <v>0</v>
      </c>
      <c r="AK265" s="66">
        <v>0</v>
      </c>
      <c r="AL265" s="66">
        <v>0</v>
      </c>
      <c r="AM265" s="66">
        <v>0</v>
      </c>
      <c r="AN265" s="68">
        <v>0</v>
      </c>
      <c r="AO265" s="66">
        <v>0</v>
      </c>
      <c r="AP265" s="66">
        <v>0</v>
      </c>
      <c r="AQ265" s="66">
        <v>0</v>
      </c>
      <c r="AR265" s="66">
        <v>0</v>
      </c>
      <c r="AS265" s="66">
        <v>0</v>
      </c>
      <c r="AT265" s="66">
        <v>0</v>
      </c>
      <c r="AU265" s="66">
        <v>0</v>
      </c>
      <c r="AV265" s="66">
        <v>0</v>
      </c>
      <c r="AW265" s="68">
        <v>0</v>
      </c>
      <c r="AX265" s="66">
        <v>0</v>
      </c>
      <c r="AY265" s="66">
        <v>0</v>
      </c>
      <c r="AZ265" s="66">
        <v>0</v>
      </c>
      <c r="BA265" s="66">
        <v>0</v>
      </c>
      <c r="BB265" s="66">
        <v>0</v>
      </c>
      <c r="BC265" s="66">
        <v>0</v>
      </c>
      <c r="BD265" s="66">
        <v>0</v>
      </c>
      <c r="BE265" s="66">
        <v>0</v>
      </c>
      <c r="BF265" s="68">
        <v>0</v>
      </c>
      <c r="BG265" s="66">
        <v>0</v>
      </c>
      <c r="BH265" s="66">
        <v>0</v>
      </c>
      <c r="BI265" s="66">
        <v>0</v>
      </c>
      <c r="BJ265" s="66">
        <v>0</v>
      </c>
      <c r="BK265" s="66">
        <v>0</v>
      </c>
      <c r="BL265" s="66">
        <v>0</v>
      </c>
      <c r="BM265" s="66">
        <v>0</v>
      </c>
      <c r="BN265" s="66">
        <v>0</v>
      </c>
      <c r="BO265" s="68">
        <v>0</v>
      </c>
      <c r="BP265" s="66">
        <v>0</v>
      </c>
      <c r="BQ265" s="66">
        <v>0</v>
      </c>
      <c r="BR265" s="66">
        <v>0</v>
      </c>
      <c r="BS265" s="66">
        <v>0</v>
      </c>
      <c r="BT265" s="66">
        <v>0</v>
      </c>
      <c r="BU265" s="66">
        <v>0</v>
      </c>
      <c r="BV265" s="66">
        <v>0</v>
      </c>
      <c r="BW265" s="66">
        <v>0</v>
      </c>
      <c r="BX265" s="66">
        <v>0</v>
      </c>
    </row>
    <row r="266" spans="1:76" x14ac:dyDescent="0.35">
      <c r="A266" t="s">
        <v>187</v>
      </c>
      <c r="B266" s="4" t="s">
        <v>91</v>
      </c>
      <c r="C266" s="4" t="s">
        <v>145</v>
      </c>
      <c r="D266" s="4" t="s">
        <v>188</v>
      </c>
      <c r="W266" s="66">
        <v>0</v>
      </c>
      <c r="X266" s="66">
        <v>0</v>
      </c>
      <c r="Y266" s="65">
        <v>5.6233849622410815E-3</v>
      </c>
      <c r="Z266" s="65">
        <v>5.6233849622410815E-3</v>
      </c>
      <c r="AA266" s="66">
        <v>0</v>
      </c>
      <c r="AB266" s="66">
        <v>0</v>
      </c>
      <c r="AC266" s="66">
        <v>0</v>
      </c>
      <c r="AD266" s="66">
        <v>0</v>
      </c>
      <c r="AE266" s="68">
        <v>0</v>
      </c>
      <c r="AF266" s="66">
        <v>0</v>
      </c>
      <c r="AG266" s="66">
        <v>0</v>
      </c>
      <c r="AH266" s="66">
        <v>0</v>
      </c>
      <c r="AI266" s="66">
        <v>0</v>
      </c>
      <c r="AJ266" s="66">
        <v>0</v>
      </c>
      <c r="AK266" s="66">
        <v>0</v>
      </c>
      <c r="AL266" s="66">
        <v>0</v>
      </c>
      <c r="AM266" s="66">
        <v>0</v>
      </c>
      <c r="AN266" s="68">
        <v>0</v>
      </c>
      <c r="AO266" s="66">
        <v>0</v>
      </c>
      <c r="AP266" s="66">
        <v>0</v>
      </c>
      <c r="AQ266" s="66">
        <v>0</v>
      </c>
      <c r="AR266" s="66">
        <v>0</v>
      </c>
      <c r="AS266" s="66">
        <v>0</v>
      </c>
      <c r="AT266" s="66">
        <v>0</v>
      </c>
      <c r="AU266" s="66">
        <v>0</v>
      </c>
      <c r="AV266" s="66">
        <v>0</v>
      </c>
      <c r="AW266" s="68">
        <v>0</v>
      </c>
      <c r="AX266" s="66">
        <v>0</v>
      </c>
      <c r="AY266" s="66">
        <v>0</v>
      </c>
      <c r="AZ266" s="66">
        <v>0</v>
      </c>
      <c r="BA266" s="66">
        <v>0</v>
      </c>
      <c r="BB266" s="66">
        <v>0</v>
      </c>
      <c r="BC266" s="66">
        <v>0</v>
      </c>
      <c r="BD266" s="66">
        <v>0</v>
      </c>
      <c r="BE266" s="66">
        <v>0</v>
      </c>
      <c r="BF266" s="68">
        <v>0</v>
      </c>
      <c r="BG266" s="66">
        <v>0</v>
      </c>
      <c r="BH266" s="66">
        <v>0</v>
      </c>
      <c r="BI266" s="66">
        <v>0</v>
      </c>
      <c r="BJ266" s="66">
        <v>0</v>
      </c>
      <c r="BK266" s="66">
        <v>0</v>
      </c>
      <c r="BL266" s="66">
        <v>0</v>
      </c>
      <c r="BM266" s="66">
        <v>0</v>
      </c>
      <c r="BN266" s="66">
        <v>0</v>
      </c>
      <c r="BO266" s="68">
        <v>0</v>
      </c>
      <c r="BP266" s="66">
        <v>0</v>
      </c>
      <c r="BQ266" s="66">
        <v>0</v>
      </c>
      <c r="BR266" s="66">
        <v>0</v>
      </c>
      <c r="BS266" s="66">
        <v>0</v>
      </c>
      <c r="BT266" s="66">
        <v>0</v>
      </c>
      <c r="BU266" s="66">
        <v>0</v>
      </c>
      <c r="BV266" s="66">
        <v>0</v>
      </c>
      <c r="BW266" s="66">
        <v>0</v>
      </c>
      <c r="BX266" s="66">
        <v>0</v>
      </c>
    </row>
    <row r="267" spans="1:76" x14ac:dyDescent="0.35">
      <c r="A267" t="s">
        <v>189</v>
      </c>
      <c r="B267" s="4" t="s">
        <v>91</v>
      </c>
      <c r="C267" s="4" t="s">
        <v>145</v>
      </c>
      <c r="D267" s="4" t="s">
        <v>190</v>
      </c>
      <c r="W267" s="66">
        <v>0</v>
      </c>
      <c r="X267" s="65">
        <v>2.0807907452574416E-3</v>
      </c>
      <c r="Y267" s="65">
        <v>1.8068055269127655E-3</v>
      </c>
      <c r="Z267" s="65">
        <v>1.8068055269127655E-3</v>
      </c>
      <c r="AA267" s="65">
        <v>4.3195382907628159E-4</v>
      </c>
      <c r="AB267" s="65">
        <v>4.3195382907628159E-4</v>
      </c>
      <c r="AC267" s="66">
        <v>0</v>
      </c>
      <c r="AD267" s="66">
        <v>0</v>
      </c>
      <c r="AE267" s="68">
        <v>0</v>
      </c>
      <c r="AF267" s="66">
        <v>0</v>
      </c>
      <c r="AG267" s="66">
        <v>0</v>
      </c>
      <c r="AH267" s="66">
        <v>0</v>
      </c>
      <c r="AI267" s="66">
        <v>0</v>
      </c>
      <c r="AJ267" s="66">
        <v>0</v>
      </c>
      <c r="AK267" s="66">
        <v>0</v>
      </c>
      <c r="AL267" s="66">
        <v>0</v>
      </c>
      <c r="AM267" s="66">
        <v>0</v>
      </c>
      <c r="AN267" s="68">
        <v>0</v>
      </c>
      <c r="AO267" s="66">
        <v>0</v>
      </c>
      <c r="AP267" s="66">
        <v>0</v>
      </c>
      <c r="AQ267" s="66">
        <v>0</v>
      </c>
      <c r="AR267" s="66">
        <v>0</v>
      </c>
      <c r="AS267" s="66">
        <v>0</v>
      </c>
      <c r="AT267" s="66">
        <v>0</v>
      </c>
      <c r="AU267" s="66">
        <v>0</v>
      </c>
      <c r="AV267" s="66">
        <v>0</v>
      </c>
      <c r="AW267" s="68">
        <v>0</v>
      </c>
      <c r="AX267" s="66">
        <v>0</v>
      </c>
      <c r="AY267" s="66">
        <v>0</v>
      </c>
      <c r="AZ267" s="66">
        <v>0</v>
      </c>
      <c r="BA267" s="66">
        <v>0</v>
      </c>
      <c r="BB267" s="66">
        <v>0</v>
      </c>
      <c r="BC267" s="66">
        <v>0</v>
      </c>
      <c r="BD267" s="66">
        <v>0</v>
      </c>
      <c r="BE267" s="66">
        <v>0</v>
      </c>
      <c r="BF267" s="68">
        <v>0</v>
      </c>
      <c r="BG267" s="66">
        <v>0</v>
      </c>
      <c r="BH267" s="66">
        <v>0</v>
      </c>
      <c r="BI267" s="66">
        <v>0</v>
      </c>
      <c r="BJ267" s="66">
        <v>0</v>
      </c>
      <c r="BK267" s="66">
        <v>0</v>
      </c>
      <c r="BL267" s="66">
        <v>0</v>
      </c>
      <c r="BM267" s="66">
        <v>0</v>
      </c>
      <c r="BN267" s="66">
        <v>0</v>
      </c>
      <c r="BO267" s="68">
        <v>0</v>
      </c>
      <c r="BP267" s="66">
        <v>0</v>
      </c>
      <c r="BQ267" s="66">
        <v>0</v>
      </c>
      <c r="BR267" s="66">
        <v>0</v>
      </c>
      <c r="BS267" s="66">
        <v>0</v>
      </c>
      <c r="BT267" s="66">
        <v>0</v>
      </c>
      <c r="BU267" s="66">
        <v>0</v>
      </c>
      <c r="BV267" s="66">
        <v>0</v>
      </c>
      <c r="BW267" s="66">
        <v>0</v>
      </c>
      <c r="BX267" s="66">
        <v>0</v>
      </c>
    </row>
    <row r="268" spans="1:76" x14ac:dyDescent="0.35">
      <c r="A268" t="s">
        <v>87</v>
      </c>
      <c r="B268" s="4" t="s">
        <v>91</v>
      </c>
      <c r="C268" s="4" t="s">
        <v>145</v>
      </c>
      <c r="D268" s="4" t="s">
        <v>196</v>
      </c>
      <c r="W268" s="66">
        <v>0</v>
      </c>
      <c r="X268" s="66">
        <v>0</v>
      </c>
      <c r="Y268" s="66">
        <v>0</v>
      </c>
      <c r="Z268" s="66">
        <v>0</v>
      </c>
      <c r="AA268" s="65">
        <v>1.1339568587203704E-2</v>
      </c>
      <c r="AB268" s="65">
        <v>1.1339568587203704E-2</v>
      </c>
      <c r="AC268" s="66">
        <v>0</v>
      </c>
      <c r="AD268" s="66">
        <v>0</v>
      </c>
      <c r="AE268" s="68">
        <v>0</v>
      </c>
      <c r="AF268" s="66">
        <v>0</v>
      </c>
      <c r="AG268" s="66">
        <v>0</v>
      </c>
      <c r="AH268" s="66">
        <v>0</v>
      </c>
      <c r="AI268" s="66">
        <v>0</v>
      </c>
      <c r="AJ268" s="66">
        <v>0</v>
      </c>
      <c r="AK268" s="66">
        <v>0</v>
      </c>
      <c r="AL268" s="66">
        <v>0</v>
      </c>
      <c r="AM268" s="66">
        <v>0</v>
      </c>
      <c r="AN268" s="68">
        <v>0</v>
      </c>
      <c r="AO268" s="66">
        <v>0</v>
      </c>
      <c r="AP268" s="66">
        <v>0</v>
      </c>
      <c r="AQ268" s="66">
        <v>0</v>
      </c>
      <c r="AR268" s="66">
        <v>0</v>
      </c>
      <c r="AS268" s="66">
        <v>0</v>
      </c>
      <c r="AT268" s="66">
        <v>0</v>
      </c>
      <c r="AU268" s="66">
        <v>0</v>
      </c>
      <c r="AV268" s="66">
        <v>0</v>
      </c>
      <c r="AW268" s="68">
        <v>0</v>
      </c>
      <c r="AX268" s="66">
        <v>0</v>
      </c>
      <c r="AY268" s="66">
        <v>0</v>
      </c>
      <c r="AZ268" s="66">
        <v>0</v>
      </c>
      <c r="BA268" s="66">
        <v>0</v>
      </c>
      <c r="BB268" s="66">
        <v>0</v>
      </c>
      <c r="BC268" s="66">
        <v>0</v>
      </c>
      <c r="BD268" s="66">
        <v>0</v>
      </c>
      <c r="BE268" s="66">
        <v>0</v>
      </c>
      <c r="BF268" s="68">
        <v>0</v>
      </c>
      <c r="BG268" s="66">
        <v>0</v>
      </c>
      <c r="BH268" s="66">
        <v>0</v>
      </c>
      <c r="BI268" s="66">
        <v>0</v>
      </c>
      <c r="BJ268" s="66">
        <v>0</v>
      </c>
      <c r="BK268" s="66">
        <v>0</v>
      </c>
      <c r="BL268" s="66">
        <v>0</v>
      </c>
      <c r="BM268" s="66">
        <v>0</v>
      </c>
      <c r="BN268" s="66">
        <v>0</v>
      </c>
      <c r="BO268" s="68">
        <v>0</v>
      </c>
      <c r="BP268" s="66">
        <v>0</v>
      </c>
      <c r="BQ268" s="66">
        <v>0</v>
      </c>
      <c r="BR268" s="66">
        <v>0</v>
      </c>
      <c r="BS268" s="66">
        <v>0</v>
      </c>
      <c r="BT268" s="66">
        <v>0</v>
      </c>
      <c r="BU268" s="66">
        <v>0</v>
      </c>
      <c r="BV268" s="66">
        <v>0</v>
      </c>
      <c r="BW268" s="66">
        <v>0</v>
      </c>
      <c r="BX268" s="66">
        <v>0</v>
      </c>
    </row>
    <row r="269" spans="1:76" x14ac:dyDescent="0.35">
      <c r="A269" t="s">
        <v>191</v>
      </c>
      <c r="B269" s="4" t="s">
        <v>91</v>
      </c>
      <c r="C269" s="4" t="s">
        <v>145</v>
      </c>
      <c r="D269" s="4" t="s">
        <v>192</v>
      </c>
      <c r="W269" s="66">
        <v>0</v>
      </c>
      <c r="X269" s="66">
        <v>0</v>
      </c>
      <c r="Y269" s="65">
        <v>5.6492118062760293E-6</v>
      </c>
      <c r="Z269" s="65">
        <v>5.6492118062760293E-6</v>
      </c>
      <c r="AA269" s="66">
        <v>0</v>
      </c>
      <c r="AB269" s="66">
        <v>0</v>
      </c>
      <c r="AC269" s="66">
        <v>0</v>
      </c>
      <c r="AD269" s="66">
        <v>0</v>
      </c>
      <c r="AE269" s="68">
        <v>0</v>
      </c>
      <c r="AF269" s="66">
        <v>0</v>
      </c>
      <c r="AG269" s="66">
        <v>0</v>
      </c>
      <c r="AH269" s="66">
        <v>0</v>
      </c>
      <c r="AI269" s="66">
        <v>0</v>
      </c>
      <c r="AJ269" s="66">
        <v>0</v>
      </c>
      <c r="AK269" s="66">
        <v>0</v>
      </c>
      <c r="AL269" s="66">
        <v>0</v>
      </c>
      <c r="AM269" s="66">
        <v>0</v>
      </c>
      <c r="AN269" s="68">
        <v>0</v>
      </c>
      <c r="AO269" s="66">
        <v>0</v>
      </c>
      <c r="AP269" s="66">
        <v>0</v>
      </c>
      <c r="AQ269" s="66">
        <v>0</v>
      </c>
      <c r="AR269" s="66">
        <v>0</v>
      </c>
      <c r="AS269" s="66">
        <v>0</v>
      </c>
      <c r="AT269" s="66">
        <v>0</v>
      </c>
      <c r="AU269" s="66">
        <v>0</v>
      </c>
      <c r="AV269" s="66">
        <v>0</v>
      </c>
      <c r="AW269" s="68">
        <v>0</v>
      </c>
      <c r="AX269" s="66">
        <v>0</v>
      </c>
      <c r="AY269" s="66">
        <v>0</v>
      </c>
      <c r="AZ269" s="66">
        <v>0</v>
      </c>
      <c r="BA269" s="66">
        <v>0</v>
      </c>
      <c r="BB269" s="66">
        <v>0</v>
      </c>
      <c r="BC269" s="66">
        <v>0</v>
      </c>
      <c r="BD269" s="66">
        <v>0</v>
      </c>
      <c r="BE269" s="66">
        <v>0</v>
      </c>
      <c r="BF269" s="68">
        <v>0</v>
      </c>
      <c r="BG269" s="66">
        <v>0</v>
      </c>
      <c r="BH269" s="66">
        <v>0</v>
      </c>
      <c r="BI269" s="66">
        <v>0</v>
      </c>
      <c r="BJ269" s="66">
        <v>0</v>
      </c>
      <c r="BK269" s="66">
        <v>0</v>
      </c>
      <c r="BL269" s="66">
        <v>0</v>
      </c>
      <c r="BM269" s="66">
        <v>0</v>
      </c>
      <c r="BN269" s="66">
        <v>0</v>
      </c>
      <c r="BO269" s="68">
        <v>0</v>
      </c>
      <c r="BP269" s="66">
        <v>0</v>
      </c>
      <c r="BQ269" s="66">
        <v>0</v>
      </c>
      <c r="BR269" s="66">
        <v>0</v>
      </c>
      <c r="BS269" s="66">
        <v>0</v>
      </c>
      <c r="BT269" s="66">
        <v>0</v>
      </c>
      <c r="BU269" s="66">
        <v>0</v>
      </c>
      <c r="BV269" s="66">
        <v>0</v>
      </c>
      <c r="BW269" s="66">
        <v>0</v>
      </c>
      <c r="BX269" s="66">
        <v>0</v>
      </c>
    </row>
    <row r="270" spans="1:76" x14ac:dyDescent="0.35">
      <c r="A270" t="s">
        <v>193</v>
      </c>
      <c r="B270" s="4" t="s">
        <v>91</v>
      </c>
      <c r="C270" s="4" t="s">
        <v>145</v>
      </c>
      <c r="D270" s="4" t="s">
        <v>194</v>
      </c>
      <c r="W270" s="66">
        <v>0</v>
      </c>
      <c r="X270" s="66">
        <v>0</v>
      </c>
      <c r="Y270" s="65">
        <v>0</v>
      </c>
      <c r="Z270" s="65">
        <v>0</v>
      </c>
      <c r="AA270" s="66">
        <v>0</v>
      </c>
      <c r="AB270" s="66">
        <v>0</v>
      </c>
      <c r="AC270" s="66">
        <v>0</v>
      </c>
      <c r="AD270" s="66">
        <v>0</v>
      </c>
      <c r="AE270" s="68">
        <v>0</v>
      </c>
      <c r="AF270" s="66">
        <v>0</v>
      </c>
      <c r="AG270" s="66">
        <v>0</v>
      </c>
      <c r="AH270" s="66">
        <v>0</v>
      </c>
      <c r="AI270" s="66">
        <v>0</v>
      </c>
      <c r="AJ270" s="66">
        <v>0</v>
      </c>
      <c r="AK270" s="66">
        <v>0</v>
      </c>
      <c r="AL270" s="66">
        <v>0</v>
      </c>
      <c r="AM270" s="66">
        <v>0</v>
      </c>
      <c r="AN270" s="68">
        <v>0</v>
      </c>
      <c r="AO270" s="66">
        <v>0</v>
      </c>
      <c r="AP270" s="66">
        <v>0</v>
      </c>
      <c r="AQ270" s="66">
        <v>0</v>
      </c>
      <c r="AR270" s="66">
        <v>0</v>
      </c>
      <c r="AS270" s="66">
        <v>0</v>
      </c>
      <c r="AT270" s="66">
        <v>0</v>
      </c>
      <c r="AU270" s="66">
        <v>0</v>
      </c>
      <c r="AV270" s="66">
        <v>0</v>
      </c>
      <c r="AW270" s="68">
        <v>0</v>
      </c>
      <c r="AX270" s="66">
        <v>0</v>
      </c>
      <c r="AY270" s="66">
        <v>0</v>
      </c>
      <c r="AZ270" s="66">
        <v>0</v>
      </c>
      <c r="BA270" s="66">
        <v>0</v>
      </c>
      <c r="BB270" s="66">
        <v>0</v>
      </c>
      <c r="BC270" s="66">
        <v>0</v>
      </c>
      <c r="BD270" s="66">
        <v>0</v>
      </c>
      <c r="BE270" s="66">
        <v>0</v>
      </c>
      <c r="BF270" s="68">
        <v>0</v>
      </c>
      <c r="BG270" s="66">
        <v>0</v>
      </c>
      <c r="BH270" s="66">
        <v>0</v>
      </c>
      <c r="BI270" s="66">
        <v>0</v>
      </c>
      <c r="BJ270" s="66">
        <v>0</v>
      </c>
      <c r="BK270" s="66">
        <v>0</v>
      </c>
      <c r="BL270" s="66">
        <v>0</v>
      </c>
      <c r="BM270" s="66">
        <v>0</v>
      </c>
      <c r="BN270" s="66">
        <v>0</v>
      </c>
      <c r="BO270" s="68">
        <v>0</v>
      </c>
      <c r="BP270" s="66">
        <v>0</v>
      </c>
      <c r="BQ270" s="66">
        <v>0</v>
      </c>
      <c r="BR270" s="66">
        <v>0</v>
      </c>
      <c r="BS270" s="66">
        <v>0</v>
      </c>
      <c r="BT270" s="66">
        <v>0</v>
      </c>
      <c r="BU270" s="66">
        <v>0</v>
      </c>
      <c r="BV270" s="66">
        <v>0</v>
      </c>
      <c r="BW270" s="66">
        <v>0</v>
      </c>
      <c r="BX270" s="66">
        <v>0</v>
      </c>
    </row>
    <row r="271" spans="1:76" x14ac:dyDescent="0.35">
      <c r="A271" t="s">
        <v>195</v>
      </c>
      <c r="B271" s="4" t="s">
        <v>91</v>
      </c>
      <c r="C271" s="4" t="s">
        <v>145</v>
      </c>
      <c r="D271" s="4" t="s">
        <v>196</v>
      </c>
      <c r="W271" s="66">
        <v>0</v>
      </c>
      <c r="X271" s="66">
        <v>0</v>
      </c>
      <c r="Y271" s="65">
        <v>8.1093795177776388E-4</v>
      </c>
      <c r="Z271" s="65">
        <v>8.1093795177776388E-4</v>
      </c>
      <c r="AA271" s="66">
        <v>0</v>
      </c>
      <c r="AB271" s="66">
        <v>0</v>
      </c>
      <c r="AC271" s="66">
        <v>0</v>
      </c>
      <c r="AD271" s="66">
        <v>0</v>
      </c>
      <c r="AE271" s="68">
        <v>0</v>
      </c>
      <c r="AF271" s="66">
        <v>0</v>
      </c>
      <c r="AG271" s="66">
        <v>0</v>
      </c>
      <c r="AH271" s="66">
        <v>0</v>
      </c>
      <c r="AI271" s="66">
        <v>0</v>
      </c>
      <c r="AJ271" s="66">
        <v>0</v>
      </c>
      <c r="AK271" s="66">
        <v>0</v>
      </c>
      <c r="AL271" s="66">
        <v>0</v>
      </c>
      <c r="AM271" s="66">
        <v>0</v>
      </c>
      <c r="AN271" s="68">
        <v>0</v>
      </c>
      <c r="AO271" s="66">
        <v>0</v>
      </c>
      <c r="AP271" s="66">
        <v>0</v>
      </c>
      <c r="AQ271" s="66">
        <v>0</v>
      </c>
      <c r="AR271" s="66">
        <v>0</v>
      </c>
      <c r="AS271" s="66">
        <v>0</v>
      </c>
      <c r="AT271" s="66">
        <v>0</v>
      </c>
      <c r="AU271" s="66">
        <v>0</v>
      </c>
      <c r="AV271" s="66">
        <v>0</v>
      </c>
      <c r="AW271" s="68">
        <v>0</v>
      </c>
      <c r="AX271" s="66">
        <v>0</v>
      </c>
      <c r="AY271" s="66">
        <v>0</v>
      </c>
      <c r="AZ271" s="66">
        <v>0</v>
      </c>
      <c r="BA271" s="66">
        <v>0</v>
      </c>
      <c r="BB271" s="66">
        <v>0</v>
      </c>
      <c r="BC271" s="66">
        <v>0</v>
      </c>
      <c r="BD271" s="66">
        <v>0</v>
      </c>
      <c r="BE271" s="66">
        <v>0</v>
      </c>
      <c r="BF271" s="68">
        <v>0</v>
      </c>
      <c r="BG271" s="66">
        <v>0</v>
      </c>
      <c r="BH271" s="66">
        <v>0</v>
      </c>
      <c r="BI271" s="66">
        <v>0</v>
      </c>
      <c r="BJ271" s="66">
        <v>0</v>
      </c>
      <c r="BK271" s="66">
        <v>0</v>
      </c>
      <c r="BL271" s="66">
        <v>0</v>
      </c>
      <c r="BM271" s="66">
        <v>0</v>
      </c>
      <c r="BN271" s="66">
        <v>0</v>
      </c>
      <c r="BO271" s="68">
        <v>0</v>
      </c>
      <c r="BP271" s="66">
        <v>0</v>
      </c>
      <c r="BQ271" s="66">
        <v>0</v>
      </c>
      <c r="BR271" s="66">
        <v>0</v>
      </c>
      <c r="BS271" s="66">
        <v>0</v>
      </c>
      <c r="BT271" s="66">
        <v>0</v>
      </c>
      <c r="BU271" s="66">
        <v>0</v>
      </c>
      <c r="BV271" s="66">
        <v>0</v>
      </c>
      <c r="BW271" s="66">
        <v>0</v>
      </c>
      <c r="BX271" s="66">
        <v>0</v>
      </c>
    </row>
    <row r="272" spans="1:76" x14ac:dyDescent="0.35">
      <c r="A272" t="s">
        <v>197</v>
      </c>
      <c r="B272" s="4" t="s">
        <v>91</v>
      </c>
      <c r="C272" s="4" t="s">
        <v>181</v>
      </c>
      <c r="D272" s="4" t="s">
        <v>198</v>
      </c>
      <c r="W272" s="66">
        <v>0</v>
      </c>
      <c r="X272" s="66">
        <v>0</v>
      </c>
      <c r="Y272" s="66">
        <v>0</v>
      </c>
      <c r="Z272" s="66">
        <v>0</v>
      </c>
      <c r="AA272" s="66">
        <v>0</v>
      </c>
      <c r="AB272" s="66">
        <v>0</v>
      </c>
      <c r="AC272" s="66">
        <v>0</v>
      </c>
      <c r="AD272" s="66">
        <v>0</v>
      </c>
      <c r="AE272" s="68">
        <v>0</v>
      </c>
      <c r="AF272" s="66">
        <v>0</v>
      </c>
      <c r="AG272" s="66">
        <v>0</v>
      </c>
      <c r="AH272" s="66">
        <v>0</v>
      </c>
      <c r="AI272" s="66">
        <v>0</v>
      </c>
      <c r="AJ272" s="66">
        <v>0</v>
      </c>
      <c r="AK272" s="66">
        <v>0</v>
      </c>
      <c r="AL272" s="66">
        <v>0</v>
      </c>
      <c r="AM272" s="66">
        <v>0</v>
      </c>
      <c r="AN272" s="68">
        <v>0</v>
      </c>
      <c r="AO272" s="66">
        <v>0</v>
      </c>
      <c r="AP272" s="66">
        <v>0</v>
      </c>
      <c r="AQ272" s="66">
        <v>0</v>
      </c>
      <c r="AR272" s="66">
        <v>0</v>
      </c>
      <c r="AS272" s="66">
        <v>0</v>
      </c>
      <c r="AT272" s="66">
        <v>0</v>
      </c>
      <c r="AU272" s="66">
        <v>0</v>
      </c>
      <c r="AV272" s="66">
        <v>0</v>
      </c>
      <c r="AW272" s="68">
        <v>0</v>
      </c>
      <c r="AX272" s="66">
        <v>0</v>
      </c>
      <c r="AY272" s="66">
        <v>0</v>
      </c>
      <c r="AZ272" s="66">
        <v>0</v>
      </c>
      <c r="BA272" s="66">
        <v>0</v>
      </c>
      <c r="BB272" s="66">
        <v>0</v>
      </c>
      <c r="BC272" s="66">
        <v>0</v>
      </c>
      <c r="BD272" s="66">
        <v>0</v>
      </c>
      <c r="BE272" s="66">
        <v>0</v>
      </c>
      <c r="BF272" s="68">
        <v>0</v>
      </c>
      <c r="BG272" s="66">
        <v>0</v>
      </c>
      <c r="BH272" s="66">
        <v>0</v>
      </c>
      <c r="BI272" s="66">
        <v>0</v>
      </c>
      <c r="BJ272" s="66">
        <v>0</v>
      </c>
      <c r="BK272" s="66">
        <v>0</v>
      </c>
      <c r="BL272" s="66">
        <v>0</v>
      </c>
      <c r="BM272" s="66">
        <v>0</v>
      </c>
      <c r="BN272" s="66">
        <v>0</v>
      </c>
      <c r="BO272" s="68">
        <v>0</v>
      </c>
      <c r="BP272" s="66">
        <v>0</v>
      </c>
      <c r="BQ272" s="66">
        <v>0</v>
      </c>
      <c r="BR272" s="66">
        <v>0</v>
      </c>
      <c r="BS272" s="66">
        <v>0</v>
      </c>
      <c r="BT272" s="66">
        <v>0</v>
      </c>
      <c r="BU272" s="66">
        <v>0</v>
      </c>
      <c r="BV272" s="66">
        <v>0</v>
      </c>
      <c r="BW272" s="66">
        <v>0</v>
      </c>
      <c r="BX272" s="66">
        <v>0</v>
      </c>
    </row>
    <row r="273" spans="1:76" x14ac:dyDescent="0.35">
      <c r="A273" t="s">
        <v>199</v>
      </c>
      <c r="B273" s="4" t="s">
        <v>91</v>
      </c>
      <c r="C273" s="4" t="s">
        <v>181</v>
      </c>
      <c r="D273" s="4" t="s">
        <v>200</v>
      </c>
      <c r="W273" s="66">
        <v>0</v>
      </c>
      <c r="X273" s="66">
        <v>0</v>
      </c>
      <c r="Y273" s="66">
        <v>0</v>
      </c>
      <c r="Z273" s="66">
        <v>0</v>
      </c>
      <c r="AA273" s="66">
        <v>0</v>
      </c>
      <c r="AB273" s="66">
        <v>0</v>
      </c>
      <c r="AC273" s="66">
        <v>0</v>
      </c>
      <c r="AD273" s="66">
        <v>0</v>
      </c>
      <c r="AE273" s="68">
        <v>0</v>
      </c>
      <c r="AF273" s="66">
        <v>0</v>
      </c>
      <c r="AG273" s="66">
        <v>0</v>
      </c>
      <c r="AH273" s="66">
        <v>0</v>
      </c>
      <c r="AI273" s="66">
        <v>0</v>
      </c>
      <c r="AJ273" s="66">
        <v>0</v>
      </c>
      <c r="AK273" s="66">
        <v>0</v>
      </c>
      <c r="AL273" s="66">
        <v>0</v>
      </c>
      <c r="AM273" s="66">
        <v>0</v>
      </c>
      <c r="AN273" s="68">
        <v>0</v>
      </c>
      <c r="AO273" s="66">
        <v>0</v>
      </c>
      <c r="AP273" s="66">
        <v>0</v>
      </c>
      <c r="AQ273" s="66">
        <v>0</v>
      </c>
      <c r="AR273" s="66">
        <v>0</v>
      </c>
      <c r="AS273" s="66">
        <v>0</v>
      </c>
      <c r="AT273" s="66">
        <v>0</v>
      </c>
      <c r="AU273" s="66">
        <v>0</v>
      </c>
      <c r="AV273" s="66">
        <v>0</v>
      </c>
      <c r="AW273" s="68">
        <v>0</v>
      </c>
      <c r="AX273" s="66">
        <v>0</v>
      </c>
      <c r="AY273" s="66">
        <v>0</v>
      </c>
      <c r="AZ273" s="66">
        <v>0</v>
      </c>
      <c r="BA273" s="66">
        <v>0</v>
      </c>
      <c r="BB273" s="66">
        <v>0</v>
      </c>
      <c r="BC273" s="66">
        <v>0</v>
      </c>
      <c r="BD273" s="66">
        <v>0</v>
      </c>
      <c r="BE273" s="66">
        <v>0</v>
      </c>
      <c r="BF273" s="68">
        <v>0</v>
      </c>
      <c r="BG273" s="66">
        <v>0</v>
      </c>
      <c r="BH273" s="66">
        <v>0</v>
      </c>
      <c r="BI273" s="66">
        <v>0</v>
      </c>
      <c r="BJ273" s="66">
        <v>0</v>
      </c>
      <c r="BK273" s="66">
        <v>0</v>
      </c>
      <c r="BL273" s="66">
        <v>0</v>
      </c>
      <c r="BM273" s="66">
        <v>0</v>
      </c>
      <c r="BN273" s="66">
        <v>0</v>
      </c>
      <c r="BO273" s="68">
        <v>0</v>
      </c>
      <c r="BP273" s="66">
        <v>0</v>
      </c>
      <c r="BQ273" s="66">
        <v>0</v>
      </c>
      <c r="BR273" s="66">
        <v>0</v>
      </c>
      <c r="BS273" s="66">
        <v>0</v>
      </c>
      <c r="BT273" s="66">
        <v>0</v>
      </c>
      <c r="BU273" s="66">
        <v>0</v>
      </c>
      <c r="BV273" s="66">
        <v>0</v>
      </c>
      <c r="BW273" s="66">
        <v>0</v>
      </c>
      <c r="BX273" s="66">
        <v>0</v>
      </c>
    </row>
    <row r="274" spans="1:76" ht="15" thickBot="1" x14ac:dyDescent="0.4">
      <c r="A274" t="s">
        <v>201</v>
      </c>
      <c r="B274" s="4" t="s">
        <v>91</v>
      </c>
      <c r="C274" s="4" t="s">
        <v>181</v>
      </c>
      <c r="D274" s="4" t="s">
        <v>202</v>
      </c>
      <c r="W274" s="69">
        <v>0</v>
      </c>
      <c r="X274" s="69">
        <v>0</v>
      </c>
      <c r="Y274" s="69">
        <v>0</v>
      </c>
      <c r="Z274" s="69">
        <v>0</v>
      </c>
      <c r="AA274" s="69">
        <v>0</v>
      </c>
      <c r="AB274" s="69">
        <v>0</v>
      </c>
      <c r="AC274" s="69">
        <v>0</v>
      </c>
      <c r="AD274" s="69">
        <v>0</v>
      </c>
      <c r="AE274" s="71">
        <v>0</v>
      </c>
      <c r="AF274" s="69">
        <v>0</v>
      </c>
      <c r="AG274" s="69">
        <v>0</v>
      </c>
      <c r="AH274" s="69">
        <v>0</v>
      </c>
      <c r="AI274" s="69">
        <v>0</v>
      </c>
      <c r="AJ274" s="69">
        <v>0</v>
      </c>
      <c r="AK274" s="69">
        <v>0</v>
      </c>
      <c r="AL274" s="69">
        <v>0</v>
      </c>
      <c r="AM274" s="69">
        <v>0</v>
      </c>
      <c r="AN274" s="71">
        <v>0</v>
      </c>
      <c r="AO274" s="69">
        <v>0</v>
      </c>
      <c r="AP274" s="69">
        <v>0</v>
      </c>
      <c r="AQ274" s="69">
        <v>0</v>
      </c>
      <c r="AR274" s="69">
        <v>0</v>
      </c>
      <c r="AS274" s="69">
        <v>0</v>
      </c>
      <c r="AT274" s="69">
        <v>0</v>
      </c>
      <c r="AU274" s="69">
        <v>0</v>
      </c>
      <c r="AV274" s="69">
        <v>0</v>
      </c>
      <c r="AW274" s="71">
        <v>0</v>
      </c>
      <c r="AX274" s="69">
        <v>0</v>
      </c>
      <c r="AY274" s="69">
        <v>0</v>
      </c>
      <c r="AZ274" s="69">
        <v>0</v>
      </c>
      <c r="BA274" s="69">
        <v>0</v>
      </c>
      <c r="BB274" s="69">
        <v>0</v>
      </c>
      <c r="BC274" s="69">
        <v>0</v>
      </c>
      <c r="BD274" s="69">
        <v>0</v>
      </c>
      <c r="BE274" s="69">
        <v>0</v>
      </c>
      <c r="BF274" s="71">
        <v>0</v>
      </c>
      <c r="BG274" s="69">
        <v>0</v>
      </c>
      <c r="BH274" s="69">
        <v>0</v>
      </c>
      <c r="BI274" s="69">
        <v>0</v>
      </c>
      <c r="BJ274" s="69">
        <v>0</v>
      </c>
      <c r="BK274" s="69">
        <v>0</v>
      </c>
      <c r="BL274" s="69">
        <v>0</v>
      </c>
      <c r="BM274" s="69">
        <v>0</v>
      </c>
      <c r="BN274" s="69">
        <v>0</v>
      </c>
      <c r="BO274" s="71">
        <v>0</v>
      </c>
      <c r="BP274" s="69">
        <v>0</v>
      </c>
      <c r="BQ274" s="69">
        <v>0</v>
      </c>
      <c r="BR274" s="69">
        <v>0</v>
      </c>
      <c r="BS274" s="69">
        <v>0</v>
      </c>
      <c r="BT274" s="69">
        <v>0</v>
      </c>
      <c r="BU274" s="69">
        <v>0</v>
      </c>
      <c r="BV274" s="69">
        <v>0</v>
      </c>
      <c r="BW274" s="69">
        <v>0</v>
      </c>
      <c r="BX274" s="69">
        <v>0</v>
      </c>
    </row>
    <row r="275" spans="1:76" x14ac:dyDescent="0.35">
      <c r="A275" t="s">
        <v>176</v>
      </c>
      <c r="B275" s="4" t="s">
        <v>92</v>
      </c>
      <c r="C275" s="4" t="s">
        <v>145</v>
      </c>
      <c r="D275" s="4" t="s">
        <v>177</v>
      </c>
      <c r="W275" s="66">
        <v>0</v>
      </c>
      <c r="X275" s="66">
        <v>0</v>
      </c>
      <c r="Y275" s="65">
        <v>0.13886309499777949</v>
      </c>
      <c r="Z275" s="65">
        <v>0.13886309499777949</v>
      </c>
      <c r="AA275" s="66">
        <v>0</v>
      </c>
      <c r="AB275" s="66">
        <v>0</v>
      </c>
      <c r="AC275" s="66">
        <v>0</v>
      </c>
      <c r="AD275" s="66">
        <v>0</v>
      </c>
      <c r="AE275" s="68">
        <v>0</v>
      </c>
      <c r="AF275" s="66">
        <v>0</v>
      </c>
      <c r="AG275" s="66">
        <v>0</v>
      </c>
      <c r="AH275" s="66">
        <v>0</v>
      </c>
      <c r="AI275" s="66">
        <v>0</v>
      </c>
      <c r="AJ275" s="66">
        <v>0</v>
      </c>
      <c r="AK275" s="66">
        <v>0</v>
      </c>
      <c r="AL275" s="66">
        <v>0</v>
      </c>
      <c r="AM275" s="66">
        <v>0</v>
      </c>
      <c r="AN275" s="68">
        <v>0</v>
      </c>
      <c r="AO275" s="66">
        <v>0</v>
      </c>
      <c r="AP275" s="66">
        <v>0</v>
      </c>
      <c r="AQ275" s="66">
        <v>0</v>
      </c>
      <c r="AR275" s="66">
        <v>0</v>
      </c>
      <c r="AS275" s="66">
        <v>0</v>
      </c>
      <c r="AT275" s="66">
        <v>0</v>
      </c>
      <c r="AU275" s="66">
        <v>0</v>
      </c>
      <c r="AV275" s="66">
        <v>0</v>
      </c>
      <c r="AW275" s="68">
        <v>0</v>
      </c>
      <c r="AX275" s="66">
        <v>0</v>
      </c>
      <c r="AY275" s="66">
        <v>0</v>
      </c>
      <c r="AZ275" s="66">
        <v>0</v>
      </c>
      <c r="BA275" s="66">
        <v>0</v>
      </c>
      <c r="BB275" s="66">
        <v>0</v>
      </c>
      <c r="BC275" s="66">
        <v>0</v>
      </c>
      <c r="BD275" s="66">
        <v>0</v>
      </c>
      <c r="BE275" s="66">
        <v>0</v>
      </c>
      <c r="BF275" s="68">
        <v>0</v>
      </c>
      <c r="BG275" s="66">
        <v>0</v>
      </c>
      <c r="BH275" s="66">
        <v>0</v>
      </c>
      <c r="BI275" s="66">
        <v>0</v>
      </c>
      <c r="BJ275" s="66">
        <v>0</v>
      </c>
      <c r="BK275" s="66">
        <v>0</v>
      </c>
      <c r="BL275" s="66">
        <v>0</v>
      </c>
      <c r="BM275" s="66">
        <v>0</v>
      </c>
      <c r="BN275" s="66">
        <v>0</v>
      </c>
      <c r="BO275" s="68">
        <v>0</v>
      </c>
      <c r="BP275" s="66">
        <v>0</v>
      </c>
      <c r="BQ275" s="66">
        <v>0</v>
      </c>
      <c r="BR275" s="66">
        <v>0</v>
      </c>
      <c r="BS275" s="66">
        <v>0</v>
      </c>
      <c r="BT275" s="66">
        <v>0</v>
      </c>
      <c r="BU275" s="66">
        <v>0</v>
      </c>
      <c r="BV275" s="66">
        <v>0</v>
      </c>
      <c r="BW275" s="66">
        <v>0</v>
      </c>
      <c r="BX275" s="66">
        <v>0</v>
      </c>
    </row>
    <row r="276" spans="1:76" x14ac:dyDescent="0.35">
      <c r="A276" s="77" t="s">
        <v>183</v>
      </c>
      <c r="B276" s="4" t="s">
        <v>92</v>
      </c>
      <c r="C276" s="4" t="s">
        <v>145</v>
      </c>
      <c r="D276" s="4" t="s">
        <v>184</v>
      </c>
      <c r="W276" s="66">
        <v>0</v>
      </c>
      <c r="X276" s="66">
        <v>0</v>
      </c>
      <c r="Y276" s="66">
        <v>0</v>
      </c>
      <c r="Z276" s="66">
        <v>0</v>
      </c>
      <c r="AA276" s="66">
        <v>0</v>
      </c>
      <c r="AB276" s="66">
        <v>0</v>
      </c>
      <c r="AC276" s="66">
        <v>0</v>
      </c>
      <c r="AD276" s="66">
        <v>0</v>
      </c>
      <c r="AE276" s="68">
        <v>0</v>
      </c>
      <c r="AF276" s="66">
        <v>0</v>
      </c>
      <c r="AG276" s="66">
        <v>0</v>
      </c>
      <c r="AH276" s="66">
        <v>0</v>
      </c>
      <c r="AI276" s="66">
        <v>0</v>
      </c>
      <c r="AJ276" s="66">
        <v>0</v>
      </c>
      <c r="AK276" s="66">
        <v>0</v>
      </c>
      <c r="AL276" s="66">
        <v>0</v>
      </c>
      <c r="AM276" s="66">
        <v>0</v>
      </c>
      <c r="AN276" s="68">
        <v>0</v>
      </c>
      <c r="AO276" s="66">
        <v>0</v>
      </c>
      <c r="AP276" s="66">
        <v>0</v>
      </c>
      <c r="AQ276" s="66">
        <v>0</v>
      </c>
      <c r="AR276" s="66">
        <v>0</v>
      </c>
      <c r="AS276" s="66">
        <v>0</v>
      </c>
      <c r="AT276" s="66">
        <v>0</v>
      </c>
      <c r="AU276" s="66">
        <v>0</v>
      </c>
      <c r="AV276" s="66">
        <v>0</v>
      </c>
      <c r="AW276" s="68">
        <v>0</v>
      </c>
      <c r="AX276" s="66">
        <v>0</v>
      </c>
      <c r="AY276" s="66">
        <v>0</v>
      </c>
      <c r="AZ276" s="66">
        <v>0</v>
      </c>
      <c r="BA276" s="66">
        <v>0</v>
      </c>
      <c r="BB276" s="66">
        <v>0</v>
      </c>
      <c r="BC276" s="66">
        <v>0</v>
      </c>
      <c r="BD276" s="66">
        <v>0</v>
      </c>
      <c r="BE276" s="66">
        <v>0</v>
      </c>
      <c r="BF276" s="68">
        <v>0</v>
      </c>
      <c r="BG276" s="66">
        <v>0</v>
      </c>
      <c r="BH276" s="66">
        <v>0</v>
      </c>
      <c r="BI276" s="66">
        <v>0</v>
      </c>
      <c r="BJ276" s="66">
        <v>0</v>
      </c>
      <c r="BK276" s="66">
        <v>0</v>
      </c>
      <c r="BL276" s="66">
        <v>0</v>
      </c>
      <c r="BM276" s="66">
        <v>0</v>
      </c>
      <c r="BN276" s="66">
        <v>0</v>
      </c>
      <c r="BO276" s="68">
        <v>0</v>
      </c>
      <c r="BP276" s="66">
        <v>0</v>
      </c>
      <c r="BQ276" s="66">
        <v>0</v>
      </c>
      <c r="BR276" s="66">
        <v>0</v>
      </c>
      <c r="BS276" s="66">
        <v>0</v>
      </c>
      <c r="BT276" s="66">
        <v>0</v>
      </c>
      <c r="BU276" s="66">
        <v>0</v>
      </c>
      <c r="BV276" s="66">
        <v>0</v>
      </c>
      <c r="BW276" s="66">
        <v>0</v>
      </c>
      <c r="BX276" s="66">
        <v>0</v>
      </c>
    </row>
    <row r="277" spans="1:76" x14ac:dyDescent="0.35">
      <c r="A277" t="s">
        <v>185</v>
      </c>
      <c r="B277" s="4" t="s">
        <v>92</v>
      </c>
      <c r="C277" s="4" t="s">
        <v>145</v>
      </c>
      <c r="D277" s="4" t="s">
        <v>186</v>
      </c>
      <c r="W277" s="66">
        <v>0</v>
      </c>
      <c r="X277" s="66">
        <v>0</v>
      </c>
      <c r="Y277" s="65">
        <v>9.2968907089085616E-5</v>
      </c>
      <c r="Z277" s="65">
        <v>9.2968907089085616E-5</v>
      </c>
      <c r="AA277" s="66">
        <v>0</v>
      </c>
      <c r="AB277" s="66">
        <v>0</v>
      </c>
      <c r="AC277" s="66">
        <v>0</v>
      </c>
      <c r="AD277" s="66">
        <v>0</v>
      </c>
      <c r="AE277" s="68">
        <v>0</v>
      </c>
      <c r="AF277" s="66">
        <v>0</v>
      </c>
      <c r="AG277" s="66">
        <v>0</v>
      </c>
      <c r="AH277" s="66">
        <v>0</v>
      </c>
      <c r="AI277" s="66">
        <v>0</v>
      </c>
      <c r="AJ277" s="66">
        <v>0</v>
      </c>
      <c r="AK277" s="66">
        <v>0</v>
      </c>
      <c r="AL277" s="66">
        <v>0</v>
      </c>
      <c r="AM277" s="66">
        <v>0</v>
      </c>
      <c r="AN277" s="68">
        <v>0</v>
      </c>
      <c r="AO277" s="66">
        <v>0</v>
      </c>
      <c r="AP277" s="66">
        <v>0</v>
      </c>
      <c r="AQ277" s="66">
        <v>0</v>
      </c>
      <c r="AR277" s="66">
        <v>0</v>
      </c>
      <c r="AS277" s="66">
        <v>0</v>
      </c>
      <c r="AT277" s="66">
        <v>0</v>
      </c>
      <c r="AU277" s="66">
        <v>0</v>
      </c>
      <c r="AV277" s="66">
        <v>0</v>
      </c>
      <c r="AW277" s="68">
        <v>0</v>
      </c>
      <c r="AX277" s="66">
        <v>0</v>
      </c>
      <c r="AY277" s="66">
        <v>0</v>
      </c>
      <c r="AZ277" s="66">
        <v>0</v>
      </c>
      <c r="BA277" s="66">
        <v>0</v>
      </c>
      <c r="BB277" s="66">
        <v>0</v>
      </c>
      <c r="BC277" s="66">
        <v>0</v>
      </c>
      <c r="BD277" s="66">
        <v>0</v>
      </c>
      <c r="BE277" s="66">
        <v>0</v>
      </c>
      <c r="BF277" s="68">
        <v>0</v>
      </c>
      <c r="BG277" s="66">
        <v>0</v>
      </c>
      <c r="BH277" s="66">
        <v>0</v>
      </c>
      <c r="BI277" s="66">
        <v>0</v>
      </c>
      <c r="BJ277" s="66">
        <v>0</v>
      </c>
      <c r="BK277" s="66">
        <v>0</v>
      </c>
      <c r="BL277" s="66">
        <v>0</v>
      </c>
      <c r="BM277" s="66">
        <v>0</v>
      </c>
      <c r="BN277" s="66">
        <v>0</v>
      </c>
      <c r="BO277" s="68">
        <v>0</v>
      </c>
      <c r="BP277" s="66">
        <v>0</v>
      </c>
      <c r="BQ277" s="66">
        <v>0</v>
      </c>
      <c r="BR277" s="66">
        <v>0</v>
      </c>
      <c r="BS277" s="66">
        <v>0</v>
      </c>
      <c r="BT277" s="66">
        <v>0</v>
      </c>
      <c r="BU277" s="66">
        <v>0</v>
      </c>
      <c r="BV277" s="66">
        <v>0</v>
      </c>
      <c r="BW277" s="66">
        <v>0</v>
      </c>
      <c r="BX277" s="66">
        <v>0</v>
      </c>
    </row>
    <row r="278" spans="1:76" x14ac:dyDescent="0.35">
      <c r="A278" t="s">
        <v>187</v>
      </c>
      <c r="B278" s="4" t="s">
        <v>92</v>
      </c>
      <c r="C278" s="4" t="s">
        <v>145</v>
      </c>
      <c r="D278" s="4" t="s">
        <v>188</v>
      </c>
      <c r="W278" s="66">
        <v>0</v>
      </c>
      <c r="X278" s="66">
        <v>0</v>
      </c>
      <c r="Y278" s="66">
        <v>0</v>
      </c>
      <c r="Z278" s="66">
        <v>0</v>
      </c>
      <c r="AA278" s="66">
        <v>0</v>
      </c>
      <c r="AB278" s="66">
        <v>0</v>
      </c>
      <c r="AC278" s="66">
        <v>0</v>
      </c>
      <c r="AD278" s="66">
        <v>0</v>
      </c>
      <c r="AE278" s="68">
        <v>0</v>
      </c>
      <c r="AF278" s="66">
        <v>0</v>
      </c>
      <c r="AG278" s="66">
        <v>0</v>
      </c>
      <c r="AH278" s="66">
        <v>0</v>
      </c>
      <c r="AI278" s="66">
        <v>0</v>
      </c>
      <c r="AJ278" s="66">
        <v>0</v>
      </c>
      <c r="AK278" s="66">
        <v>0</v>
      </c>
      <c r="AL278" s="66">
        <v>0</v>
      </c>
      <c r="AM278" s="66">
        <v>0</v>
      </c>
      <c r="AN278" s="68">
        <v>0</v>
      </c>
      <c r="AO278" s="66">
        <v>0</v>
      </c>
      <c r="AP278" s="66">
        <v>0</v>
      </c>
      <c r="AQ278" s="66">
        <v>0</v>
      </c>
      <c r="AR278" s="66">
        <v>0</v>
      </c>
      <c r="AS278" s="66">
        <v>0</v>
      </c>
      <c r="AT278" s="66">
        <v>0</v>
      </c>
      <c r="AU278" s="66">
        <v>0</v>
      </c>
      <c r="AV278" s="66">
        <v>0</v>
      </c>
      <c r="AW278" s="68">
        <v>0</v>
      </c>
      <c r="AX278" s="66">
        <v>0</v>
      </c>
      <c r="AY278" s="66">
        <v>0</v>
      </c>
      <c r="AZ278" s="66">
        <v>0</v>
      </c>
      <c r="BA278" s="66">
        <v>0</v>
      </c>
      <c r="BB278" s="66">
        <v>0</v>
      </c>
      <c r="BC278" s="66">
        <v>0</v>
      </c>
      <c r="BD278" s="66">
        <v>0</v>
      </c>
      <c r="BE278" s="66">
        <v>0</v>
      </c>
      <c r="BF278" s="68">
        <v>0</v>
      </c>
      <c r="BG278" s="66">
        <v>0</v>
      </c>
      <c r="BH278" s="66">
        <v>0</v>
      </c>
      <c r="BI278" s="66">
        <v>0</v>
      </c>
      <c r="BJ278" s="66">
        <v>0</v>
      </c>
      <c r="BK278" s="66">
        <v>0</v>
      </c>
      <c r="BL278" s="66">
        <v>0</v>
      </c>
      <c r="BM278" s="66">
        <v>0</v>
      </c>
      <c r="BN278" s="66">
        <v>0</v>
      </c>
      <c r="BO278" s="68">
        <v>0</v>
      </c>
      <c r="BP278" s="66">
        <v>0</v>
      </c>
      <c r="BQ278" s="66">
        <v>0</v>
      </c>
      <c r="BR278" s="66">
        <v>0</v>
      </c>
      <c r="BS278" s="66">
        <v>0</v>
      </c>
      <c r="BT278" s="66">
        <v>0</v>
      </c>
      <c r="BU278" s="66">
        <v>0</v>
      </c>
      <c r="BV278" s="66">
        <v>0</v>
      </c>
      <c r="BW278" s="66">
        <v>0</v>
      </c>
      <c r="BX278" s="66">
        <v>0</v>
      </c>
    </row>
    <row r="279" spans="1:76" x14ac:dyDescent="0.35">
      <c r="A279" t="s">
        <v>189</v>
      </c>
      <c r="B279" s="4" t="s">
        <v>92</v>
      </c>
      <c r="C279" s="4" t="s">
        <v>145</v>
      </c>
      <c r="D279" s="4" t="s">
        <v>190</v>
      </c>
      <c r="W279" s="66">
        <v>0</v>
      </c>
      <c r="X279" s="65">
        <v>2.8885571737041122E-3</v>
      </c>
      <c r="Y279" s="65">
        <v>1.1251392039595793E-3</v>
      </c>
      <c r="Z279" s="65">
        <v>1.1251392039595793E-3</v>
      </c>
      <c r="AA279" s="65">
        <v>5.9963902402539811E-4</v>
      </c>
      <c r="AB279" s="65">
        <v>5.9963902402539811E-4</v>
      </c>
      <c r="AC279" s="66">
        <v>0</v>
      </c>
      <c r="AD279" s="66">
        <v>0</v>
      </c>
      <c r="AE279" s="68">
        <v>0</v>
      </c>
      <c r="AF279" s="66">
        <v>0</v>
      </c>
      <c r="AG279" s="66">
        <v>0</v>
      </c>
      <c r="AH279" s="66">
        <v>0</v>
      </c>
      <c r="AI279" s="66">
        <v>0</v>
      </c>
      <c r="AJ279" s="66">
        <v>0</v>
      </c>
      <c r="AK279" s="66">
        <v>0</v>
      </c>
      <c r="AL279" s="66">
        <v>0</v>
      </c>
      <c r="AM279" s="66">
        <v>0</v>
      </c>
      <c r="AN279" s="68">
        <v>0</v>
      </c>
      <c r="AO279" s="66">
        <v>0</v>
      </c>
      <c r="AP279" s="66">
        <v>0</v>
      </c>
      <c r="AQ279" s="66">
        <v>0</v>
      </c>
      <c r="AR279" s="66">
        <v>0</v>
      </c>
      <c r="AS279" s="66">
        <v>0</v>
      </c>
      <c r="AT279" s="66">
        <v>0</v>
      </c>
      <c r="AU279" s="66">
        <v>0</v>
      </c>
      <c r="AV279" s="66">
        <v>0</v>
      </c>
      <c r="AW279" s="68">
        <v>0</v>
      </c>
      <c r="AX279" s="66">
        <v>0</v>
      </c>
      <c r="AY279" s="66">
        <v>0</v>
      </c>
      <c r="AZ279" s="66">
        <v>0</v>
      </c>
      <c r="BA279" s="66">
        <v>0</v>
      </c>
      <c r="BB279" s="66">
        <v>0</v>
      </c>
      <c r="BC279" s="66">
        <v>0</v>
      </c>
      <c r="BD279" s="66">
        <v>0</v>
      </c>
      <c r="BE279" s="66">
        <v>0</v>
      </c>
      <c r="BF279" s="68">
        <v>0</v>
      </c>
      <c r="BG279" s="66">
        <v>0</v>
      </c>
      <c r="BH279" s="66">
        <v>0</v>
      </c>
      <c r="BI279" s="66">
        <v>0</v>
      </c>
      <c r="BJ279" s="66">
        <v>0</v>
      </c>
      <c r="BK279" s="66">
        <v>0</v>
      </c>
      <c r="BL279" s="66">
        <v>0</v>
      </c>
      <c r="BM279" s="66">
        <v>0</v>
      </c>
      <c r="BN279" s="66">
        <v>0</v>
      </c>
      <c r="BO279" s="68">
        <v>0</v>
      </c>
      <c r="BP279" s="66">
        <v>0</v>
      </c>
      <c r="BQ279" s="66">
        <v>0</v>
      </c>
      <c r="BR279" s="66">
        <v>0</v>
      </c>
      <c r="BS279" s="66">
        <v>0</v>
      </c>
      <c r="BT279" s="66">
        <v>0</v>
      </c>
      <c r="BU279" s="66">
        <v>0</v>
      </c>
      <c r="BV279" s="66">
        <v>0</v>
      </c>
      <c r="BW279" s="66">
        <v>0</v>
      </c>
      <c r="BX279" s="66">
        <v>0</v>
      </c>
    </row>
    <row r="280" spans="1:76" x14ac:dyDescent="0.35">
      <c r="A280" t="s">
        <v>87</v>
      </c>
      <c r="B280" s="4" t="s">
        <v>92</v>
      </c>
      <c r="C280" s="4" t="s">
        <v>145</v>
      </c>
      <c r="D280" s="4" t="s">
        <v>196</v>
      </c>
      <c r="W280" s="66">
        <v>0</v>
      </c>
      <c r="X280" s="66">
        <v>0</v>
      </c>
      <c r="Y280" s="66">
        <v>0</v>
      </c>
      <c r="Z280" s="66">
        <v>0</v>
      </c>
      <c r="AA280" s="65">
        <v>7.0614092017150581E-3</v>
      </c>
      <c r="AB280" s="65">
        <v>7.0614092017150581E-3</v>
      </c>
      <c r="AC280" s="66">
        <v>0</v>
      </c>
      <c r="AD280" s="66">
        <v>0</v>
      </c>
      <c r="AE280" s="68">
        <v>0</v>
      </c>
      <c r="AF280" s="66">
        <v>0</v>
      </c>
      <c r="AG280" s="66">
        <v>0</v>
      </c>
      <c r="AH280" s="66">
        <v>0</v>
      </c>
      <c r="AI280" s="66">
        <v>0</v>
      </c>
      <c r="AJ280" s="66">
        <v>0</v>
      </c>
      <c r="AK280" s="66">
        <v>0</v>
      </c>
      <c r="AL280" s="66">
        <v>0</v>
      </c>
      <c r="AM280" s="66">
        <v>0</v>
      </c>
      <c r="AN280" s="68">
        <v>0</v>
      </c>
      <c r="AO280" s="66">
        <v>0</v>
      </c>
      <c r="AP280" s="66">
        <v>0</v>
      </c>
      <c r="AQ280" s="66">
        <v>0</v>
      </c>
      <c r="AR280" s="66">
        <v>0</v>
      </c>
      <c r="AS280" s="66">
        <v>0</v>
      </c>
      <c r="AT280" s="66">
        <v>0</v>
      </c>
      <c r="AU280" s="66">
        <v>0</v>
      </c>
      <c r="AV280" s="66">
        <v>0</v>
      </c>
      <c r="AW280" s="68">
        <v>0</v>
      </c>
      <c r="AX280" s="66">
        <v>0</v>
      </c>
      <c r="AY280" s="66">
        <v>0</v>
      </c>
      <c r="AZ280" s="66">
        <v>0</v>
      </c>
      <c r="BA280" s="66">
        <v>0</v>
      </c>
      <c r="BB280" s="66">
        <v>0</v>
      </c>
      <c r="BC280" s="66">
        <v>0</v>
      </c>
      <c r="BD280" s="66">
        <v>0</v>
      </c>
      <c r="BE280" s="66">
        <v>0</v>
      </c>
      <c r="BF280" s="68">
        <v>0</v>
      </c>
      <c r="BG280" s="66">
        <v>0</v>
      </c>
      <c r="BH280" s="66">
        <v>0</v>
      </c>
      <c r="BI280" s="66">
        <v>0</v>
      </c>
      <c r="BJ280" s="66">
        <v>0</v>
      </c>
      <c r="BK280" s="66">
        <v>0</v>
      </c>
      <c r="BL280" s="66">
        <v>0</v>
      </c>
      <c r="BM280" s="66">
        <v>0</v>
      </c>
      <c r="BN280" s="66">
        <v>0</v>
      </c>
      <c r="BO280" s="68">
        <v>0</v>
      </c>
      <c r="BP280" s="66">
        <v>0</v>
      </c>
      <c r="BQ280" s="66">
        <v>0</v>
      </c>
      <c r="BR280" s="66">
        <v>0</v>
      </c>
      <c r="BS280" s="66">
        <v>0</v>
      </c>
      <c r="BT280" s="66">
        <v>0</v>
      </c>
      <c r="BU280" s="66">
        <v>0</v>
      </c>
      <c r="BV280" s="66">
        <v>0</v>
      </c>
      <c r="BW280" s="66">
        <v>0</v>
      </c>
      <c r="BX280" s="66">
        <v>0</v>
      </c>
    </row>
    <row r="281" spans="1:76" x14ac:dyDescent="0.35">
      <c r="A281" t="s">
        <v>191</v>
      </c>
      <c r="B281" s="4" t="s">
        <v>92</v>
      </c>
      <c r="C281" s="4" t="s">
        <v>145</v>
      </c>
      <c r="D281" s="4" t="s">
        <v>192</v>
      </c>
      <c r="W281" s="66">
        <v>0</v>
      </c>
      <c r="X281" s="66">
        <v>0</v>
      </c>
      <c r="Y281" s="65">
        <v>5.0048817841215026E-7</v>
      </c>
      <c r="Z281" s="65">
        <v>5.0048817841215026E-7</v>
      </c>
      <c r="AA281" s="66">
        <v>0</v>
      </c>
      <c r="AB281" s="66">
        <v>0</v>
      </c>
      <c r="AC281" s="66">
        <v>0</v>
      </c>
      <c r="AD281" s="66">
        <v>0</v>
      </c>
      <c r="AE281" s="68">
        <v>0</v>
      </c>
      <c r="AF281" s="66">
        <v>0</v>
      </c>
      <c r="AG281" s="66">
        <v>0</v>
      </c>
      <c r="AH281" s="66">
        <v>0</v>
      </c>
      <c r="AI281" s="66">
        <v>0</v>
      </c>
      <c r="AJ281" s="66">
        <v>0</v>
      </c>
      <c r="AK281" s="66">
        <v>0</v>
      </c>
      <c r="AL281" s="66">
        <v>0</v>
      </c>
      <c r="AM281" s="66">
        <v>0</v>
      </c>
      <c r="AN281" s="68">
        <v>0</v>
      </c>
      <c r="AO281" s="66">
        <v>0</v>
      </c>
      <c r="AP281" s="66">
        <v>0</v>
      </c>
      <c r="AQ281" s="66">
        <v>0</v>
      </c>
      <c r="AR281" s="66">
        <v>0</v>
      </c>
      <c r="AS281" s="66">
        <v>0</v>
      </c>
      <c r="AT281" s="66">
        <v>0</v>
      </c>
      <c r="AU281" s="66">
        <v>0</v>
      </c>
      <c r="AV281" s="66">
        <v>0</v>
      </c>
      <c r="AW281" s="68">
        <v>0</v>
      </c>
      <c r="AX281" s="66">
        <v>0</v>
      </c>
      <c r="AY281" s="66">
        <v>0</v>
      </c>
      <c r="AZ281" s="66">
        <v>0</v>
      </c>
      <c r="BA281" s="66">
        <v>0</v>
      </c>
      <c r="BB281" s="66">
        <v>0</v>
      </c>
      <c r="BC281" s="66">
        <v>0</v>
      </c>
      <c r="BD281" s="66">
        <v>0</v>
      </c>
      <c r="BE281" s="66">
        <v>0</v>
      </c>
      <c r="BF281" s="68">
        <v>0</v>
      </c>
      <c r="BG281" s="66">
        <v>0</v>
      </c>
      <c r="BH281" s="66">
        <v>0</v>
      </c>
      <c r="BI281" s="66">
        <v>0</v>
      </c>
      <c r="BJ281" s="66">
        <v>0</v>
      </c>
      <c r="BK281" s="66">
        <v>0</v>
      </c>
      <c r="BL281" s="66">
        <v>0</v>
      </c>
      <c r="BM281" s="66">
        <v>0</v>
      </c>
      <c r="BN281" s="66">
        <v>0</v>
      </c>
      <c r="BO281" s="68">
        <v>0</v>
      </c>
      <c r="BP281" s="66">
        <v>0</v>
      </c>
      <c r="BQ281" s="66">
        <v>0</v>
      </c>
      <c r="BR281" s="66">
        <v>0</v>
      </c>
      <c r="BS281" s="66">
        <v>0</v>
      </c>
      <c r="BT281" s="66">
        <v>0</v>
      </c>
      <c r="BU281" s="66">
        <v>0</v>
      </c>
      <c r="BV281" s="66">
        <v>0</v>
      </c>
      <c r="BW281" s="66">
        <v>0</v>
      </c>
      <c r="BX281" s="66">
        <v>0</v>
      </c>
    </row>
    <row r="282" spans="1:76" x14ac:dyDescent="0.35">
      <c r="A282" t="s">
        <v>193</v>
      </c>
      <c r="B282" s="4" t="s">
        <v>92</v>
      </c>
      <c r="C282" s="4" t="s">
        <v>145</v>
      </c>
      <c r="D282" s="4" t="s">
        <v>194</v>
      </c>
      <c r="W282" s="66">
        <v>0</v>
      </c>
      <c r="X282" s="66">
        <v>0</v>
      </c>
      <c r="Y282" s="65">
        <v>0</v>
      </c>
      <c r="Z282" s="65">
        <v>0</v>
      </c>
      <c r="AA282" s="66">
        <v>0</v>
      </c>
      <c r="AB282" s="66">
        <v>0</v>
      </c>
      <c r="AC282" s="66">
        <v>0</v>
      </c>
      <c r="AD282" s="66">
        <v>0</v>
      </c>
      <c r="AE282" s="68">
        <v>0</v>
      </c>
      <c r="AF282" s="66">
        <v>0</v>
      </c>
      <c r="AG282" s="66">
        <v>0</v>
      </c>
      <c r="AH282" s="66">
        <v>0</v>
      </c>
      <c r="AI282" s="66">
        <v>0</v>
      </c>
      <c r="AJ282" s="66">
        <v>0</v>
      </c>
      <c r="AK282" s="66">
        <v>0</v>
      </c>
      <c r="AL282" s="66">
        <v>0</v>
      </c>
      <c r="AM282" s="66">
        <v>0</v>
      </c>
      <c r="AN282" s="68">
        <v>0</v>
      </c>
      <c r="AO282" s="66">
        <v>0</v>
      </c>
      <c r="AP282" s="66">
        <v>0</v>
      </c>
      <c r="AQ282" s="66">
        <v>0</v>
      </c>
      <c r="AR282" s="66">
        <v>0</v>
      </c>
      <c r="AS282" s="66">
        <v>0</v>
      </c>
      <c r="AT282" s="66">
        <v>0</v>
      </c>
      <c r="AU282" s="66">
        <v>0</v>
      </c>
      <c r="AV282" s="66">
        <v>0</v>
      </c>
      <c r="AW282" s="68">
        <v>0</v>
      </c>
      <c r="AX282" s="66">
        <v>0</v>
      </c>
      <c r="AY282" s="66">
        <v>0</v>
      </c>
      <c r="AZ282" s="66">
        <v>0</v>
      </c>
      <c r="BA282" s="66">
        <v>0</v>
      </c>
      <c r="BB282" s="66">
        <v>0</v>
      </c>
      <c r="BC282" s="66">
        <v>0</v>
      </c>
      <c r="BD282" s="66">
        <v>0</v>
      </c>
      <c r="BE282" s="66">
        <v>0</v>
      </c>
      <c r="BF282" s="68">
        <v>0</v>
      </c>
      <c r="BG282" s="66">
        <v>0</v>
      </c>
      <c r="BH282" s="66">
        <v>0</v>
      </c>
      <c r="BI282" s="66">
        <v>0</v>
      </c>
      <c r="BJ282" s="66">
        <v>0</v>
      </c>
      <c r="BK282" s="66">
        <v>0</v>
      </c>
      <c r="BL282" s="66">
        <v>0</v>
      </c>
      <c r="BM282" s="66">
        <v>0</v>
      </c>
      <c r="BN282" s="66">
        <v>0</v>
      </c>
      <c r="BO282" s="68">
        <v>0</v>
      </c>
      <c r="BP282" s="66">
        <v>0</v>
      </c>
      <c r="BQ282" s="66">
        <v>0</v>
      </c>
      <c r="BR282" s="66">
        <v>0</v>
      </c>
      <c r="BS282" s="66">
        <v>0</v>
      </c>
      <c r="BT282" s="66">
        <v>0</v>
      </c>
      <c r="BU282" s="66">
        <v>0</v>
      </c>
      <c r="BV282" s="66">
        <v>0</v>
      </c>
      <c r="BW282" s="66">
        <v>0</v>
      </c>
      <c r="BX282" s="66">
        <v>0</v>
      </c>
    </row>
    <row r="283" spans="1:76" x14ac:dyDescent="0.35">
      <c r="A283" t="s">
        <v>195</v>
      </c>
      <c r="B283" s="4" t="s">
        <v>92</v>
      </c>
      <c r="C283" s="4" t="s">
        <v>145</v>
      </c>
      <c r="D283" s="4" t="s">
        <v>196</v>
      </c>
      <c r="W283" s="66">
        <v>0</v>
      </c>
      <c r="X283" s="66">
        <v>0</v>
      </c>
      <c r="Y283" s="66">
        <v>0</v>
      </c>
      <c r="Z283" s="66">
        <v>0</v>
      </c>
      <c r="AA283" s="66">
        <v>0</v>
      </c>
      <c r="AB283" s="66">
        <v>0</v>
      </c>
      <c r="AC283" s="66">
        <v>0</v>
      </c>
      <c r="AD283" s="66">
        <v>0</v>
      </c>
      <c r="AE283" s="68">
        <v>0</v>
      </c>
      <c r="AF283" s="66">
        <v>0</v>
      </c>
      <c r="AG283" s="66">
        <v>0</v>
      </c>
      <c r="AH283" s="66">
        <v>0</v>
      </c>
      <c r="AI283" s="66">
        <v>0</v>
      </c>
      <c r="AJ283" s="66">
        <v>0</v>
      </c>
      <c r="AK283" s="66">
        <v>0</v>
      </c>
      <c r="AL283" s="66">
        <v>0</v>
      </c>
      <c r="AM283" s="66">
        <v>0</v>
      </c>
      <c r="AN283" s="68">
        <v>0</v>
      </c>
      <c r="AO283" s="66">
        <v>0</v>
      </c>
      <c r="AP283" s="66">
        <v>0</v>
      </c>
      <c r="AQ283" s="66">
        <v>0</v>
      </c>
      <c r="AR283" s="66">
        <v>0</v>
      </c>
      <c r="AS283" s="66">
        <v>0</v>
      </c>
      <c r="AT283" s="66">
        <v>0</v>
      </c>
      <c r="AU283" s="66">
        <v>0</v>
      </c>
      <c r="AV283" s="66">
        <v>0</v>
      </c>
      <c r="AW283" s="68">
        <v>0</v>
      </c>
      <c r="AX283" s="66">
        <v>0</v>
      </c>
      <c r="AY283" s="66">
        <v>0</v>
      </c>
      <c r="AZ283" s="66">
        <v>0</v>
      </c>
      <c r="BA283" s="66">
        <v>0</v>
      </c>
      <c r="BB283" s="66">
        <v>0</v>
      </c>
      <c r="BC283" s="66">
        <v>0</v>
      </c>
      <c r="BD283" s="66">
        <v>0</v>
      </c>
      <c r="BE283" s="66">
        <v>0</v>
      </c>
      <c r="BF283" s="68">
        <v>0</v>
      </c>
      <c r="BG283" s="66">
        <v>0</v>
      </c>
      <c r="BH283" s="66">
        <v>0</v>
      </c>
      <c r="BI283" s="66">
        <v>0</v>
      </c>
      <c r="BJ283" s="66">
        <v>0</v>
      </c>
      <c r="BK283" s="66">
        <v>0</v>
      </c>
      <c r="BL283" s="66">
        <v>0</v>
      </c>
      <c r="BM283" s="66">
        <v>0</v>
      </c>
      <c r="BN283" s="66">
        <v>0</v>
      </c>
      <c r="BO283" s="68">
        <v>0</v>
      </c>
      <c r="BP283" s="66">
        <v>0</v>
      </c>
      <c r="BQ283" s="66">
        <v>0</v>
      </c>
      <c r="BR283" s="66">
        <v>0</v>
      </c>
      <c r="BS283" s="66">
        <v>0</v>
      </c>
      <c r="BT283" s="66">
        <v>0</v>
      </c>
      <c r="BU283" s="66">
        <v>0</v>
      </c>
      <c r="BV283" s="66">
        <v>0</v>
      </c>
      <c r="BW283" s="66">
        <v>0</v>
      </c>
      <c r="BX283" s="66">
        <v>0</v>
      </c>
    </row>
    <row r="284" spans="1:76" x14ac:dyDescent="0.35">
      <c r="A284" t="s">
        <v>197</v>
      </c>
      <c r="B284" s="4" t="s">
        <v>92</v>
      </c>
      <c r="C284" s="4" t="s">
        <v>181</v>
      </c>
      <c r="D284" s="4" t="s">
        <v>198</v>
      </c>
      <c r="W284" s="66">
        <v>0</v>
      </c>
      <c r="X284" s="66">
        <v>0</v>
      </c>
      <c r="Y284" s="66">
        <v>0</v>
      </c>
      <c r="Z284" s="66">
        <v>0</v>
      </c>
      <c r="AA284" s="66">
        <v>0</v>
      </c>
      <c r="AB284" s="66">
        <v>0</v>
      </c>
      <c r="AC284" s="66">
        <v>0</v>
      </c>
      <c r="AD284" s="66">
        <v>0</v>
      </c>
      <c r="AE284" s="68">
        <v>0</v>
      </c>
      <c r="AF284" s="66">
        <v>0</v>
      </c>
      <c r="AG284" s="66">
        <v>0</v>
      </c>
      <c r="AH284" s="66">
        <v>0</v>
      </c>
      <c r="AI284" s="66">
        <v>0</v>
      </c>
      <c r="AJ284" s="66">
        <v>0</v>
      </c>
      <c r="AK284" s="66">
        <v>0</v>
      </c>
      <c r="AL284" s="66">
        <v>0</v>
      </c>
      <c r="AM284" s="66">
        <v>0</v>
      </c>
      <c r="AN284" s="68">
        <v>0</v>
      </c>
      <c r="AO284" s="66">
        <v>0</v>
      </c>
      <c r="AP284" s="66">
        <v>0</v>
      </c>
      <c r="AQ284" s="66">
        <v>0</v>
      </c>
      <c r="AR284" s="66">
        <v>0</v>
      </c>
      <c r="AS284" s="66">
        <v>0</v>
      </c>
      <c r="AT284" s="66">
        <v>0</v>
      </c>
      <c r="AU284" s="66">
        <v>0</v>
      </c>
      <c r="AV284" s="66">
        <v>0</v>
      </c>
      <c r="AW284" s="68">
        <v>0</v>
      </c>
      <c r="AX284" s="66">
        <v>0</v>
      </c>
      <c r="AY284" s="66">
        <v>0</v>
      </c>
      <c r="AZ284" s="66">
        <v>0</v>
      </c>
      <c r="BA284" s="66">
        <v>0</v>
      </c>
      <c r="BB284" s="66">
        <v>0</v>
      </c>
      <c r="BC284" s="66">
        <v>0</v>
      </c>
      <c r="BD284" s="66">
        <v>0</v>
      </c>
      <c r="BE284" s="66">
        <v>0</v>
      </c>
      <c r="BF284" s="68">
        <v>0</v>
      </c>
      <c r="BG284" s="66">
        <v>0</v>
      </c>
      <c r="BH284" s="66">
        <v>0</v>
      </c>
      <c r="BI284" s="66">
        <v>0</v>
      </c>
      <c r="BJ284" s="66">
        <v>0</v>
      </c>
      <c r="BK284" s="66">
        <v>0</v>
      </c>
      <c r="BL284" s="66">
        <v>0</v>
      </c>
      <c r="BM284" s="66">
        <v>0</v>
      </c>
      <c r="BN284" s="66">
        <v>0</v>
      </c>
      <c r="BO284" s="68">
        <v>0</v>
      </c>
      <c r="BP284" s="66">
        <v>0</v>
      </c>
      <c r="BQ284" s="66">
        <v>0</v>
      </c>
      <c r="BR284" s="66">
        <v>0</v>
      </c>
      <c r="BS284" s="66">
        <v>0</v>
      </c>
      <c r="BT284" s="66">
        <v>0</v>
      </c>
      <c r="BU284" s="66">
        <v>0</v>
      </c>
      <c r="BV284" s="66">
        <v>0</v>
      </c>
      <c r="BW284" s="66">
        <v>0</v>
      </c>
      <c r="BX284" s="66">
        <v>0</v>
      </c>
    </row>
    <row r="285" spans="1:76" x14ac:dyDescent="0.35">
      <c r="A285" t="s">
        <v>199</v>
      </c>
      <c r="B285" s="4" t="s">
        <v>92</v>
      </c>
      <c r="C285" s="4" t="s">
        <v>181</v>
      </c>
      <c r="D285" s="4" t="s">
        <v>200</v>
      </c>
      <c r="W285" s="66">
        <v>0</v>
      </c>
      <c r="X285" s="66">
        <v>0</v>
      </c>
      <c r="Y285" s="66">
        <v>0</v>
      </c>
      <c r="Z285" s="66">
        <v>0</v>
      </c>
      <c r="AA285" s="66">
        <v>0</v>
      </c>
      <c r="AB285" s="66">
        <v>0</v>
      </c>
      <c r="AC285" s="66">
        <v>0</v>
      </c>
      <c r="AD285" s="66">
        <v>0</v>
      </c>
      <c r="AE285" s="68">
        <v>0</v>
      </c>
      <c r="AF285" s="66">
        <v>0</v>
      </c>
      <c r="AG285" s="66">
        <v>0</v>
      </c>
      <c r="AH285" s="66">
        <v>0</v>
      </c>
      <c r="AI285" s="66">
        <v>0</v>
      </c>
      <c r="AJ285" s="66">
        <v>0</v>
      </c>
      <c r="AK285" s="66">
        <v>0</v>
      </c>
      <c r="AL285" s="66">
        <v>0</v>
      </c>
      <c r="AM285" s="66">
        <v>0</v>
      </c>
      <c r="AN285" s="68">
        <v>0</v>
      </c>
      <c r="AO285" s="66">
        <v>0</v>
      </c>
      <c r="AP285" s="66">
        <v>0</v>
      </c>
      <c r="AQ285" s="66">
        <v>0</v>
      </c>
      <c r="AR285" s="66">
        <v>0</v>
      </c>
      <c r="AS285" s="66">
        <v>0</v>
      </c>
      <c r="AT285" s="66">
        <v>0</v>
      </c>
      <c r="AU285" s="66">
        <v>0</v>
      </c>
      <c r="AV285" s="66">
        <v>0</v>
      </c>
      <c r="AW285" s="68">
        <v>0</v>
      </c>
      <c r="AX285" s="66">
        <v>0</v>
      </c>
      <c r="AY285" s="66">
        <v>0</v>
      </c>
      <c r="AZ285" s="66">
        <v>0</v>
      </c>
      <c r="BA285" s="66">
        <v>0</v>
      </c>
      <c r="BB285" s="66">
        <v>0</v>
      </c>
      <c r="BC285" s="66">
        <v>0</v>
      </c>
      <c r="BD285" s="66">
        <v>0</v>
      </c>
      <c r="BE285" s="66">
        <v>0</v>
      </c>
      <c r="BF285" s="68">
        <v>0</v>
      </c>
      <c r="BG285" s="66">
        <v>0</v>
      </c>
      <c r="BH285" s="66">
        <v>0</v>
      </c>
      <c r="BI285" s="66">
        <v>0</v>
      </c>
      <c r="BJ285" s="66">
        <v>0</v>
      </c>
      <c r="BK285" s="66">
        <v>0</v>
      </c>
      <c r="BL285" s="66">
        <v>0</v>
      </c>
      <c r="BM285" s="66">
        <v>0</v>
      </c>
      <c r="BN285" s="66">
        <v>0</v>
      </c>
      <c r="BO285" s="68">
        <v>0</v>
      </c>
      <c r="BP285" s="66">
        <v>0</v>
      </c>
      <c r="BQ285" s="66">
        <v>0</v>
      </c>
      <c r="BR285" s="66">
        <v>0</v>
      </c>
      <c r="BS285" s="66">
        <v>0</v>
      </c>
      <c r="BT285" s="66">
        <v>0</v>
      </c>
      <c r="BU285" s="66">
        <v>0</v>
      </c>
      <c r="BV285" s="66">
        <v>0</v>
      </c>
      <c r="BW285" s="66">
        <v>0</v>
      </c>
      <c r="BX285" s="66">
        <v>0</v>
      </c>
    </row>
    <row r="286" spans="1:76" ht="15" thickBot="1" x14ac:dyDescent="0.4">
      <c r="A286" t="s">
        <v>201</v>
      </c>
      <c r="B286" s="4" t="s">
        <v>92</v>
      </c>
      <c r="C286" s="4" t="s">
        <v>181</v>
      </c>
      <c r="D286" s="4" t="s">
        <v>202</v>
      </c>
      <c r="W286" s="69">
        <v>0</v>
      </c>
      <c r="X286" s="69">
        <v>0</v>
      </c>
      <c r="Y286" s="69">
        <v>0</v>
      </c>
      <c r="Z286" s="69">
        <v>0</v>
      </c>
      <c r="AA286" s="69">
        <v>0</v>
      </c>
      <c r="AB286" s="69">
        <v>0</v>
      </c>
      <c r="AC286" s="69">
        <v>0</v>
      </c>
      <c r="AD286" s="69">
        <v>0</v>
      </c>
      <c r="AE286" s="71">
        <v>0</v>
      </c>
      <c r="AF286" s="69">
        <v>0</v>
      </c>
      <c r="AG286" s="69">
        <v>0</v>
      </c>
      <c r="AH286" s="69">
        <v>0</v>
      </c>
      <c r="AI286" s="69">
        <v>0</v>
      </c>
      <c r="AJ286" s="69">
        <v>0</v>
      </c>
      <c r="AK286" s="69">
        <v>0</v>
      </c>
      <c r="AL286" s="69">
        <v>0</v>
      </c>
      <c r="AM286" s="69">
        <v>0</v>
      </c>
      <c r="AN286" s="71">
        <v>0</v>
      </c>
      <c r="AO286" s="69">
        <v>0</v>
      </c>
      <c r="AP286" s="69">
        <v>0</v>
      </c>
      <c r="AQ286" s="69">
        <v>0</v>
      </c>
      <c r="AR286" s="69">
        <v>0</v>
      </c>
      <c r="AS286" s="69">
        <v>0</v>
      </c>
      <c r="AT286" s="69">
        <v>0</v>
      </c>
      <c r="AU286" s="69">
        <v>0</v>
      </c>
      <c r="AV286" s="69">
        <v>0</v>
      </c>
      <c r="AW286" s="71">
        <v>0</v>
      </c>
      <c r="AX286" s="69">
        <v>0</v>
      </c>
      <c r="AY286" s="69">
        <v>0</v>
      </c>
      <c r="AZ286" s="69">
        <v>0</v>
      </c>
      <c r="BA286" s="69">
        <v>0</v>
      </c>
      <c r="BB286" s="69">
        <v>0</v>
      </c>
      <c r="BC286" s="69">
        <v>0</v>
      </c>
      <c r="BD286" s="69">
        <v>0</v>
      </c>
      <c r="BE286" s="69">
        <v>0</v>
      </c>
      <c r="BF286" s="71">
        <v>0</v>
      </c>
      <c r="BG286" s="69">
        <v>0</v>
      </c>
      <c r="BH286" s="69">
        <v>0</v>
      </c>
      <c r="BI286" s="69">
        <v>0</v>
      </c>
      <c r="BJ286" s="69">
        <v>0</v>
      </c>
      <c r="BK286" s="69">
        <v>0</v>
      </c>
      <c r="BL286" s="69">
        <v>0</v>
      </c>
      <c r="BM286" s="69">
        <v>0</v>
      </c>
      <c r="BN286" s="69">
        <v>0</v>
      </c>
      <c r="BO286" s="71">
        <v>0</v>
      </c>
      <c r="BP286" s="69">
        <v>0</v>
      </c>
      <c r="BQ286" s="69">
        <v>0</v>
      </c>
      <c r="BR286" s="69">
        <v>0</v>
      </c>
      <c r="BS286" s="69">
        <v>0</v>
      </c>
      <c r="BT286" s="69">
        <v>0</v>
      </c>
      <c r="BU286" s="69">
        <v>0</v>
      </c>
      <c r="BV286" s="69">
        <v>0</v>
      </c>
      <c r="BW286" s="69">
        <v>0</v>
      </c>
      <c r="BX286" s="69">
        <v>0</v>
      </c>
    </row>
    <row r="287" spans="1:76" x14ac:dyDescent="0.35">
      <c r="A287" t="s">
        <v>176</v>
      </c>
      <c r="B287" s="4" t="s">
        <v>93</v>
      </c>
      <c r="C287" s="4" t="s">
        <v>145</v>
      </c>
      <c r="D287" s="4" t="s">
        <v>177</v>
      </c>
      <c r="W287" s="66">
        <v>0</v>
      </c>
      <c r="X287" s="66">
        <v>0</v>
      </c>
      <c r="Y287" s="65">
        <v>1.0000807460939076</v>
      </c>
      <c r="Z287" s="65">
        <v>1.0000807460939076</v>
      </c>
      <c r="AA287" s="66">
        <v>0</v>
      </c>
      <c r="AB287" s="66">
        <v>0</v>
      </c>
      <c r="AC287" s="66">
        <v>0</v>
      </c>
      <c r="AD287" s="66">
        <v>0</v>
      </c>
      <c r="AE287" s="68">
        <v>0</v>
      </c>
      <c r="AF287" s="66">
        <v>0</v>
      </c>
      <c r="AG287" s="66">
        <v>0</v>
      </c>
      <c r="AH287" s="66">
        <v>0</v>
      </c>
      <c r="AI287" s="66">
        <v>0</v>
      </c>
      <c r="AJ287" s="66">
        <v>0</v>
      </c>
      <c r="AK287" s="66">
        <v>0</v>
      </c>
      <c r="AL287" s="66">
        <v>0</v>
      </c>
      <c r="AM287" s="66">
        <v>0</v>
      </c>
      <c r="AN287" s="68">
        <v>0</v>
      </c>
      <c r="AO287" s="66">
        <v>0</v>
      </c>
      <c r="AP287" s="66">
        <v>0</v>
      </c>
      <c r="AQ287" s="66">
        <v>0</v>
      </c>
      <c r="AR287" s="66">
        <v>0</v>
      </c>
      <c r="AS287" s="66">
        <v>0</v>
      </c>
      <c r="AT287" s="66">
        <v>0</v>
      </c>
      <c r="AU287" s="66">
        <v>0</v>
      </c>
      <c r="AV287" s="66">
        <v>0</v>
      </c>
      <c r="AW287" s="68">
        <v>0</v>
      </c>
      <c r="AX287" s="66">
        <v>0</v>
      </c>
      <c r="AY287" s="66">
        <v>0</v>
      </c>
      <c r="AZ287" s="66">
        <v>0</v>
      </c>
      <c r="BA287" s="66">
        <v>0</v>
      </c>
      <c r="BB287" s="66">
        <v>0</v>
      </c>
      <c r="BC287" s="66">
        <v>0</v>
      </c>
      <c r="BD287" s="66">
        <v>0</v>
      </c>
      <c r="BE287" s="66">
        <v>0</v>
      </c>
      <c r="BF287" s="68">
        <v>0</v>
      </c>
      <c r="BG287" s="66">
        <v>0</v>
      </c>
      <c r="BH287" s="66">
        <v>0</v>
      </c>
      <c r="BI287" s="66">
        <v>0</v>
      </c>
      <c r="BJ287" s="66">
        <v>0</v>
      </c>
      <c r="BK287" s="66">
        <v>0</v>
      </c>
      <c r="BL287" s="66">
        <v>0</v>
      </c>
      <c r="BM287" s="66">
        <v>0</v>
      </c>
      <c r="BN287" s="66">
        <v>0</v>
      </c>
      <c r="BO287" s="68">
        <v>0</v>
      </c>
      <c r="BP287" s="66">
        <v>0</v>
      </c>
      <c r="BQ287" s="66">
        <v>0</v>
      </c>
      <c r="BR287" s="66">
        <v>0</v>
      </c>
      <c r="BS287" s="66">
        <v>0</v>
      </c>
      <c r="BT287" s="66">
        <v>0</v>
      </c>
      <c r="BU287" s="66">
        <v>0</v>
      </c>
      <c r="BV287" s="66">
        <v>0</v>
      </c>
      <c r="BW287" s="66">
        <v>0</v>
      </c>
      <c r="BX287" s="66">
        <v>0</v>
      </c>
    </row>
    <row r="288" spans="1:76" x14ac:dyDescent="0.35">
      <c r="A288" s="77" t="s">
        <v>183</v>
      </c>
      <c r="B288" s="4" t="s">
        <v>93</v>
      </c>
      <c r="C288" s="4" t="s">
        <v>145</v>
      </c>
      <c r="D288" s="4" t="s">
        <v>184</v>
      </c>
      <c r="W288" s="66">
        <v>0</v>
      </c>
      <c r="X288" s="66">
        <v>0</v>
      </c>
      <c r="Y288" s="66">
        <v>0</v>
      </c>
      <c r="Z288" s="66">
        <v>0</v>
      </c>
      <c r="AA288" s="66">
        <v>0</v>
      </c>
      <c r="AB288" s="66">
        <v>0</v>
      </c>
      <c r="AC288" s="66">
        <v>0</v>
      </c>
      <c r="AD288" s="66">
        <v>0</v>
      </c>
      <c r="AE288" s="68">
        <v>0</v>
      </c>
      <c r="AF288" s="66">
        <v>0</v>
      </c>
      <c r="AG288" s="66">
        <v>0</v>
      </c>
      <c r="AH288" s="66">
        <v>0</v>
      </c>
      <c r="AI288" s="66">
        <v>0</v>
      </c>
      <c r="AJ288" s="66">
        <v>0</v>
      </c>
      <c r="AK288" s="66">
        <v>0</v>
      </c>
      <c r="AL288" s="66">
        <v>0</v>
      </c>
      <c r="AM288" s="66">
        <v>0</v>
      </c>
      <c r="AN288" s="68">
        <v>0</v>
      </c>
      <c r="AO288" s="66">
        <v>0</v>
      </c>
      <c r="AP288" s="66">
        <v>0</v>
      </c>
      <c r="AQ288" s="66">
        <v>0</v>
      </c>
      <c r="AR288" s="66">
        <v>0</v>
      </c>
      <c r="AS288" s="66">
        <v>0</v>
      </c>
      <c r="AT288" s="66">
        <v>0</v>
      </c>
      <c r="AU288" s="66">
        <v>0</v>
      </c>
      <c r="AV288" s="66">
        <v>0</v>
      </c>
      <c r="AW288" s="68">
        <v>0</v>
      </c>
      <c r="AX288" s="66">
        <v>0</v>
      </c>
      <c r="AY288" s="66">
        <v>0</v>
      </c>
      <c r="AZ288" s="66">
        <v>0</v>
      </c>
      <c r="BA288" s="66">
        <v>0</v>
      </c>
      <c r="BB288" s="66">
        <v>0</v>
      </c>
      <c r="BC288" s="66">
        <v>0</v>
      </c>
      <c r="BD288" s="66">
        <v>0</v>
      </c>
      <c r="BE288" s="66">
        <v>0</v>
      </c>
      <c r="BF288" s="68">
        <v>0</v>
      </c>
      <c r="BG288" s="66">
        <v>0</v>
      </c>
      <c r="BH288" s="66">
        <v>0</v>
      </c>
      <c r="BI288" s="66">
        <v>0</v>
      </c>
      <c r="BJ288" s="66">
        <v>0</v>
      </c>
      <c r="BK288" s="66">
        <v>0</v>
      </c>
      <c r="BL288" s="66">
        <v>0</v>
      </c>
      <c r="BM288" s="66">
        <v>0</v>
      </c>
      <c r="BN288" s="66">
        <v>0</v>
      </c>
      <c r="BO288" s="68">
        <v>0</v>
      </c>
      <c r="BP288" s="66">
        <v>0</v>
      </c>
      <c r="BQ288" s="66">
        <v>0</v>
      </c>
      <c r="BR288" s="66">
        <v>0</v>
      </c>
      <c r="BS288" s="66">
        <v>0</v>
      </c>
      <c r="BT288" s="66">
        <v>0</v>
      </c>
      <c r="BU288" s="66">
        <v>0</v>
      </c>
      <c r="BV288" s="66">
        <v>0</v>
      </c>
      <c r="BW288" s="66">
        <v>0</v>
      </c>
      <c r="BX288" s="66">
        <v>0</v>
      </c>
    </row>
    <row r="289" spans="1:76" x14ac:dyDescent="0.35">
      <c r="A289" t="s">
        <v>185</v>
      </c>
      <c r="B289" s="4" t="s">
        <v>93</v>
      </c>
      <c r="C289" s="4" t="s">
        <v>145</v>
      </c>
      <c r="D289" s="4" t="s">
        <v>186</v>
      </c>
      <c r="W289" s="66">
        <v>0</v>
      </c>
      <c r="X289" s="66">
        <v>0</v>
      </c>
      <c r="Y289" s="65">
        <v>3.7052409430862396E-4</v>
      </c>
      <c r="Z289" s="65">
        <v>3.7052409430862396E-4</v>
      </c>
      <c r="AA289" s="66">
        <v>0</v>
      </c>
      <c r="AB289" s="66">
        <v>0</v>
      </c>
      <c r="AC289" s="66">
        <v>0</v>
      </c>
      <c r="AD289" s="66">
        <v>0</v>
      </c>
      <c r="AE289" s="68">
        <v>0</v>
      </c>
      <c r="AF289" s="66">
        <v>0</v>
      </c>
      <c r="AG289" s="66">
        <v>0</v>
      </c>
      <c r="AH289" s="66">
        <v>0</v>
      </c>
      <c r="AI289" s="66">
        <v>0</v>
      </c>
      <c r="AJ289" s="66">
        <v>0</v>
      </c>
      <c r="AK289" s="66">
        <v>0</v>
      </c>
      <c r="AL289" s="66">
        <v>0</v>
      </c>
      <c r="AM289" s="66">
        <v>0</v>
      </c>
      <c r="AN289" s="68">
        <v>0</v>
      </c>
      <c r="AO289" s="66">
        <v>0</v>
      </c>
      <c r="AP289" s="66">
        <v>0</v>
      </c>
      <c r="AQ289" s="66">
        <v>0</v>
      </c>
      <c r="AR289" s="66">
        <v>0</v>
      </c>
      <c r="AS289" s="66">
        <v>0</v>
      </c>
      <c r="AT289" s="66">
        <v>0</v>
      </c>
      <c r="AU289" s="66">
        <v>0</v>
      </c>
      <c r="AV289" s="66">
        <v>0</v>
      </c>
      <c r="AW289" s="68">
        <v>0</v>
      </c>
      <c r="AX289" s="66">
        <v>0</v>
      </c>
      <c r="AY289" s="66">
        <v>0</v>
      </c>
      <c r="AZ289" s="66">
        <v>0</v>
      </c>
      <c r="BA289" s="66">
        <v>0</v>
      </c>
      <c r="BB289" s="66">
        <v>0</v>
      </c>
      <c r="BC289" s="66">
        <v>0</v>
      </c>
      <c r="BD289" s="66">
        <v>0</v>
      </c>
      <c r="BE289" s="66">
        <v>0</v>
      </c>
      <c r="BF289" s="68">
        <v>0</v>
      </c>
      <c r="BG289" s="66">
        <v>0</v>
      </c>
      <c r="BH289" s="66">
        <v>0</v>
      </c>
      <c r="BI289" s="66">
        <v>0</v>
      </c>
      <c r="BJ289" s="66">
        <v>0</v>
      </c>
      <c r="BK289" s="66">
        <v>0</v>
      </c>
      <c r="BL289" s="66">
        <v>0</v>
      </c>
      <c r="BM289" s="66">
        <v>0</v>
      </c>
      <c r="BN289" s="66">
        <v>0</v>
      </c>
      <c r="BO289" s="68">
        <v>0</v>
      </c>
      <c r="BP289" s="66">
        <v>0</v>
      </c>
      <c r="BQ289" s="66">
        <v>0</v>
      </c>
      <c r="BR289" s="66">
        <v>0</v>
      </c>
      <c r="BS289" s="66">
        <v>0</v>
      </c>
      <c r="BT289" s="66">
        <v>0</v>
      </c>
      <c r="BU289" s="66">
        <v>0</v>
      </c>
      <c r="BV289" s="66">
        <v>0</v>
      </c>
      <c r="BW289" s="66">
        <v>0</v>
      </c>
      <c r="BX289" s="66">
        <v>0</v>
      </c>
    </row>
    <row r="290" spans="1:76" x14ac:dyDescent="0.35">
      <c r="A290" t="s">
        <v>187</v>
      </c>
      <c r="B290" s="4" t="s">
        <v>93</v>
      </c>
      <c r="C290" s="4" t="s">
        <v>145</v>
      </c>
      <c r="D290" s="4" t="s">
        <v>188</v>
      </c>
      <c r="W290" s="66">
        <v>0</v>
      </c>
      <c r="X290" s="66">
        <v>0</v>
      </c>
      <c r="Y290" s="65">
        <v>5.8414042458127093E-3</v>
      </c>
      <c r="Z290" s="65">
        <v>5.8414042458127093E-3</v>
      </c>
      <c r="AA290" s="66">
        <v>0</v>
      </c>
      <c r="AB290" s="66">
        <v>0</v>
      </c>
      <c r="AC290" s="66">
        <v>0</v>
      </c>
      <c r="AD290" s="66">
        <v>0</v>
      </c>
      <c r="AE290" s="68">
        <v>0</v>
      </c>
      <c r="AF290" s="66">
        <v>0</v>
      </c>
      <c r="AG290" s="66">
        <v>0</v>
      </c>
      <c r="AH290" s="66">
        <v>0</v>
      </c>
      <c r="AI290" s="66">
        <v>0</v>
      </c>
      <c r="AJ290" s="66">
        <v>0</v>
      </c>
      <c r="AK290" s="66">
        <v>0</v>
      </c>
      <c r="AL290" s="66">
        <v>0</v>
      </c>
      <c r="AM290" s="66">
        <v>0</v>
      </c>
      <c r="AN290" s="68">
        <v>0</v>
      </c>
      <c r="AO290" s="66">
        <v>0</v>
      </c>
      <c r="AP290" s="66">
        <v>0</v>
      </c>
      <c r="AQ290" s="66">
        <v>0</v>
      </c>
      <c r="AR290" s="66">
        <v>0</v>
      </c>
      <c r="AS290" s="66">
        <v>0</v>
      </c>
      <c r="AT290" s="66">
        <v>0</v>
      </c>
      <c r="AU290" s="66">
        <v>0</v>
      </c>
      <c r="AV290" s="66">
        <v>0</v>
      </c>
      <c r="AW290" s="68">
        <v>0</v>
      </c>
      <c r="AX290" s="66">
        <v>0</v>
      </c>
      <c r="AY290" s="66">
        <v>0</v>
      </c>
      <c r="AZ290" s="66">
        <v>0</v>
      </c>
      <c r="BA290" s="66">
        <v>0</v>
      </c>
      <c r="BB290" s="66">
        <v>0</v>
      </c>
      <c r="BC290" s="66">
        <v>0</v>
      </c>
      <c r="BD290" s="66">
        <v>0</v>
      </c>
      <c r="BE290" s="66">
        <v>0</v>
      </c>
      <c r="BF290" s="68">
        <v>0</v>
      </c>
      <c r="BG290" s="66">
        <v>0</v>
      </c>
      <c r="BH290" s="66">
        <v>0</v>
      </c>
      <c r="BI290" s="66">
        <v>0</v>
      </c>
      <c r="BJ290" s="66">
        <v>0</v>
      </c>
      <c r="BK290" s="66">
        <v>0</v>
      </c>
      <c r="BL290" s="66">
        <v>0</v>
      </c>
      <c r="BM290" s="66">
        <v>0</v>
      </c>
      <c r="BN290" s="66">
        <v>0</v>
      </c>
      <c r="BO290" s="68">
        <v>0</v>
      </c>
      <c r="BP290" s="66">
        <v>0</v>
      </c>
      <c r="BQ290" s="66">
        <v>0</v>
      </c>
      <c r="BR290" s="66">
        <v>0</v>
      </c>
      <c r="BS290" s="66">
        <v>0</v>
      </c>
      <c r="BT290" s="66">
        <v>0</v>
      </c>
      <c r="BU290" s="66">
        <v>0</v>
      </c>
      <c r="BV290" s="66">
        <v>0</v>
      </c>
      <c r="BW290" s="66">
        <v>0</v>
      </c>
      <c r="BX290" s="66">
        <v>0</v>
      </c>
    </row>
    <row r="291" spans="1:76" x14ac:dyDescent="0.35">
      <c r="A291" t="s">
        <v>189</v>
      </c>
      <c r="B291" s="4" t="s">
        <v>93</v>
      </c>
      <c r="C291" s="4" t="s">
        <v>145</v>
      </c>
      <c r="D291" s="4" t="s">
        <v>190</v>
      </c>
      <c r="W291" s="66">
        <v>0</v>
      </c>
      <c r="X291" s="65">
        <v>1.1972685102906883E-2</v>
      </c>
      <c r="Y291" s="65">
        <v>5.0319447308723453E-3</v>
      </c>
      <c r="Z291" s="65">
        <v>5.0319447308723453E-3</v>
      </c>
      <c r="AA291" s="65">
        <v>2.4854239602480213E-3</v>
      </c>
      <c r="AB291" s="65">
        <v>2.4854239602480213E-3</v>
      </c>
      <c r="AC291" s="66">
        <v>0</v>
      </c>
      <c r="AD291" s="66">
        <v>0</v>
      </c>
      <c r="AE291" s="68">
        <v>0</v>
      </c>
      <c r="AF291" s="66">
        <v>0</v>
      </c>
      <c r="AG291" s="66">
        <v>0</v>
      </c>
      <c r="AH291" s="66">
        <v>0</v>
      </c>
      <c r="AI291" s="66">
        <v>0</v>
      </c>
      <c r="AJ291" s="66">
        <v>0</v>
      </c>
      <c r="AK291" s="66">
        <v>0</v>
      </c>
      <c r="AL291" s="66">
        <v>0</v>
      </c>
      <c r="AM291" s="66">
        <v>0</v>
      </c>
      <c r="AN291" s="68">
        <v>0</v>
      </c>
      <c r="AO291" s="66">
        <v>0</v>
      </c>
      <c r="AP291" s="66">
        <v>0</v>
      </c>
      <c r="AQ291" s="66">
        <v>0</v>
      </c>
      <c r="AR291" s="66">
        <v>0</v>
      </c>
      <c r="AS291" s="66">
        <v>0</v>
      </c>
      <c r="AT291" s="66">
        <v>0</v>
      </c>
      <c r="AU291" s="66">
        <v>0</v>
      </c>
      <c r="AV291" s="66">
        <v>0</v>
      </c>
      <c r="AW291" s="68">
        <v>0</v>
      </c>
      <c r="AX291" s="66">
        <v>0</v>
      </c>
      <c r="AY291" s="66">
        <v>0</v>
      </c>
      <c r="AZ291" s="66">
        <v>0</v>
      </c>
      <c r="BA291" s="66">
        <v>0</v>
      </c>
      <c r="BB291" s="66">
        <v>0</v>
      </c>
      <c r="BC291" s="66">
        <v>0</v>
      </c>
      <c r="BD291" s="66">
        <v>0</v>
      </c>
      <c r="BE291" s="66">
        <v>0</v>
      </c>
      <c r="BF291" s="68">
        <v>0</v>
      </c>
      <c r="BG291" s="66">
        <v>0</v>
      </c>
      <c r="BH291" s="66">
        <v>0</v>
      </c>
      <c r="BI291" s="66">
        <v>0</v>
      </c>
      <c r="BJ291" s="66">
        <v>0</v>
      </c>
      <c r="BK291" s="66">
        <v>0</v>
      </c>
      <c r="BL291" s="66">
        <v>0</v>
      </c>
      <c r="BM291" s="66">
        <v>0</v>
      </c>
      <c r="BN291" s="66">
        <v>0</v>
      </c>
      <c r="BO291" s="68">
        <v>0</v>
      </c>
      <c r="BP291" s="66">
        <v>0</v>
      </c>
      <c r="BQ291" s="66">
        <v>0</v>
      </c>
      <c r="BR291" s="66">
        <v>0</v>
      </c>
      <c r="BS291" s="66">
        <v>0</v>
      </c>
      <c r="BT291" s="66">
        <v>0</v>
      </c>
      <c r="BU291" s="66">
        <v>0</v>
      </c>
      <c r="BV291" s="66">
        <v>0</v>
      </c>
      <c r="BW291" s="66">
        <v>0</v>
      </c>
      <c r="BX291" s="66">
        <v>0</v>
      </c>
    </row>
    <row r="292" spans="1:76" x14ac:dyDescent="0.35">
      <c r="A292" t="s">
        <v>87</v>
      </c>
      <c r="B292" s="4" t="s">
        <v>93</v>
      </c>
      <c r="C292" s="4" t="s">
        <v>145</v>
      </c>
      <c r="D292" s="4" t="s">
        <v>196</v>
      </c>
      <c r="W292" s="66">
        <v>0</v>
      </c>
      <c r="X292" s="66">
        <v>0</v>
      </c>
      <c r="Y292" s="66">
        <v>0</v>
      </c>
      <c r="Z292" s="66">
        <v>0</v>
      </c>
      <c r="AA292" s="65">
        <v>3.1580644155014347E-2</v>
      </c>
      <c r="AB292" s="65">
        <v>3.1580644155014347E-2</v>
      </c>
      <c r="AC292" s="66">
        <v>0</v>
      </c>
      <c r="AD292" s="66">
        <v>0</v>
      </c>
      <c r="AE292" s="68">
        <v>0</v>
      </c>
      <c r="AF292" s="66">
        <v>0</v>
      </c>
      <c r="AG292" s="66">
        <v>0</v>
      </c>
      <c r="AH292" s="66">
        <v>0</v>
      </c>
      <c r="AI292" s="66">
        <v>0</v>
      </c>
      <c r="AJ292" s="66">
        <v>0</v>
      </c>
      <c r="AK292" s="66">
        <v>0</v>
      </c>
      <c r="AL292" s="66">
        <v>0</v>
      </c>
      <c r="AM292" s="66">
        <v>0</v>
      </c>
      <c r="AN292" s="68">
        <v>0</v>
      </c>
      <c r="AO292" s="66">
        <v>0</v>
      </c>
      <c r="AP292" s="66">
        <v>0</v>
      </c>
      <c r="AQ292" s="66">
        <v>0</v>
      </c>
      <c r="AR292" s="66">
        <v>0</v>
      </c>
      <c r="AS292" s="66">
        <v>0</v>
      </c>
      <c r="AT292" s="66">
        <v>0</v>
      </c>
      <c r="AU292" s="66">
        <v>0</v>
      </c>
      <c r="AV292" s="66">
        <v>0</v>
      </c>
      <c r="AW292" s="68">
        <v>0</v>
      </c>
      <c r="AX292" s="66">
        <v>0</v>
      </c>
      <c r="AY292" s="66">
        <v>0</v>
      </c>
      <c r="AZ292" s="66">
        <v>0</v>
      </c>
      <c r="BA292" s="66">
        <v>0</v>
      </c>
      <c r="BB292" s="66">
        <v>0</v>
      </c>
      <c r="BC292" s="66">
        <v>0</v>
      </c>
      <c r="BD292" s="66">
        <v>0</v>
      </c>
      <c r="BE292" s="66">
        <v>0</v>
      </c>
      <c r="BF292" s="68">
        <v>0</v>
      </c>
      <c r="BG292" s="66">
        <v>0</v>
      </c>
      <c r="BH292" s="66">
        <v>0</v>
      </c>
      <c r="BI292" s="66">
        <v>0</v>
      </c>
      <c r="BJ292" s="66">
        <v>0</v>
      </c>
      <c r="BK292" s="66">
        <v>0</v>
      </c>
      <c r="BL292" s="66">
        <v>0</v>
      </c>
      <c r="BM292" s="66">
        <v>0</v>
      </c>
      <c r="BN292" s="66">
        <v>0</v>
      </c>
      <c r="BO292" s="68">
        <v>0</v>
      </c>
      <c r="BP292" s="66">
        <v>0</v>
      </c>
      <c r="BQ292" s="66">
        <v>0</v>
      </c>
      <c r="BR292" s="66">
        <v>0</v>
      </c>
      <c r="BS292" s="66">
        <v>0</v>
      </c>
      <c r="BT292" s="66">
        <v>0</v>
      </c>
      <c r="BU292" s="66">
        <v>0</v>
      </c>
      <c r="BV292" s="66">
        <v>0</v>
      </c>
      <c r="BW292" s="66">
        <v>0</v>
      </c>
      <c r="BX292" s="66">
        <v>0</v>
      </c>
    </row>
    <row r="293" spans="1:76" x14ac:dyDescent="0.35">
      <c r="A293" t="s">
        <v>191</v>
      </c>
      <c r="B293" s="4" t="s">
        <v>93</v>
      </c>
      <c r="C293" s="4" t="s">
        <v>145</v>
      </c>
      <c r="D293" s="4" t="s">
        <v>192</v>
      </c>
      <c r="W293" s="66">
        <v>0</v>
      </c>
      <c r="X293" s="66">
        <v>0</v>
      </c>
      <c r="Y293" s="65">
        <v>4.336096678710085E-4</v>
      </c>
      <c r="Z293" s="65">
        <v>4.336096678710085E-4</v>
      </c>
      <c r="AA293" s="66">
        <v>0</v>
      </c>
      <c r="AB293" s="66">
        <v>0</v>
      </c>
      <c r="AC293" s="66">
        <v>0</v>
      </c>
      <c r="AD293" s="66">
        <v>0</v>
      </c>
      <c r="AE293" s="68">
        <v>0</v>
      </c>
      <c r="AF293" s="66">
        <v>0</v>
      </c>
      <c r="AG293" s="66">
        <v>0</v>
      </c>
      <c r="AH293" s="66">
        <v>0</v>
      </c>
      <c r="AI293" s="66">
        <v>0</v>
      </c>
      <c r="AJ293" s="66">
        <v>0</v>
      </c>
      <c r="AK293" s="66">
        <v>0</v>
      </c>
      <c r="AL293" s="66">
        <v>0</v>
      </c>
      <c r="AM293" s="66">
        <v>0</v>
      </c>
      <c r="AN293" s="68">
        <v>0</v>
      </c>
      <c r="AO293" s="66">
        <v>0</v>
      </c>
      <c r="AP293" s="66">
        <v>0</v>
      </c>
      <c r="AQ293" s="66">
        <v>0</v>
      </c>
      <c r="AR293" s="66">
        <v>0</v>
      </c>
      <c r="AS293" s="66">
        <v>0</v>
      </c>
      <c r="AT293" s="66">
        <v>0</v>
      </c>
      <c r="AU293" s="66">
        <v>0</v>
      </c>
      <c r="AV293" s="66">
        <v>0</v>
      </c>
      <c r="AW293" s="68">
        <v>0</v>
      </c>
      <c r="AX293" s="66">
        <v>0</v>
      </c>
      <c r="AY293" s="66">
        <v>0</v>
      </c>
      <c r="AZ293" s="66">
        <v>0</v>
      </c>
      <c r="BA293" s="66">
        <v>0</v>
      </c>
      <c r="BB293" s="66">
        <v>0</v>
      </c>
      <c r="BC293" s="66">
        <v>0</v>
      </c>
      <c r="BD293" s="66">
        <v>0</v>
      </c>
      <c r="BE293" s="66">
        <v>0</v>
      </c>
      <c r="BF293" s="68">
        <v>0</v>
      </c>
      <c r="BG293" s="66">
        <v>0</v>
      </c>
      <c r="BH293" s="66">
        <v>0</v>
      </c>
      <c r="BI293" s="66">
        <v>0</v>
      </c>
      <c r="BJ293" s="66">
        <v>0</v>
      </c>
      <c r="BK293" s="66">
        <v>0</v>
      </c>
      <c r="BL293" s="66">
        <v>0</v>
      </c>
      <c r="BM293" s="66">
        <v>0</v>
      </c>
      <c r="BN293" s="66">
        <v>0</v>
      </c>
      <c r="BO293" s="68">
        <v>0</v>
      </c>
      <c r="BP293" s="66">
        <v>0</v>
      </c>
      <c r="BQ293" s="66">
        <v>0</v>
      </c>
      <c r="BR293" s="66">
        <v>0</v>
      </c>
      <c r="BS293" s="66">
        <v>0</v>
      </c>
      <c r="BT293" s="66">
        <v>0</v>
      </c>
      <c r="BU293" s="66">
        <v>0</v>
      </c>
      <c r="BV293" s="66">
        <v>0</v>
      </c>
      <c r="BW293" s="66">
        <v>0</v>
      </c>
      <c r="BX293" s="66">
        <v>0</v>
      </c>
    </row>
    <row r="294" spans="1:76" x14ac:dyDescent="0.35">
      <c r="A294" t="s">
        <v>193</v>
      </c>
      <c r="B294" s="4" t="s">
        <v>93</v>
      </c>
      <c r="C294" s="4" t="s">
        <v>145</v>
      </c>
      <c r="D294" s="4" t="s">
        <v>194</v>
      </c>
      <c r="W294" s="66">
        <v>0</v>
      </c>
      <c r="X294" s="66">
        <v>0</v>
      </c>
      <c r="Y294" s="65">
        <v>2.7129607609988112E-3</v>
      </c>
      <c r="Z294" s="65">
        <v>2.7129607609988112E-3</v>
      </c>
      <c r="AA294" s="66">
        <v>0</v>
      </c>
      <c r="AB294" s="66">
        <v>0</v>
      </c>
      <c r="AC294" s="66">
        <v>0</v>
      </c>
      <c r="AD294" s="66">
        <v>0</v>
      </c>
      <c r="AE294" s="68">
        <v>0</v>
      </c>
      <c r="AF294" s="66">
        <v>0</v>
      </c>
      <c r="AG294" s="66">
        <v>0</v>
      </c>
      <c r="AH294" s="66">
        <v>0</v>
      </c>
      <c r="AI294" s="66">
        <v>0</v>
      </c>
      <c r="AJ294" s="66">
        <v>0</v>
      </c>
      <c r="AK294" s="66">
        <v>0</v>
      </c>
      <c r="AL294" s="66">
        <v>0</v>
      </c>
      <c r="AM294" s="66">
        <v>0</v>
      </c>
      <c r="AN294" s="68">
        <v>0</v>
      </c>
      <c r="AO294" s="66">
        <v>0</v>
      </c>
      <c r="AP294" s="66">
        <v>0</v>
      </c>
      <c r="AQ294" s="66">
        <v>0</v>
      </c>
      <c r="AR294" s="66">
        <v>0</v>
      </c>
      <c r="AS294" s="66">
        <v>0</v>
      </c>
      <c r="AT294" s="66">
        <v>0</v>
      </c>
      <c r="AU294" s="66">
        <v>0</v>
      </c>
      <c r="AV294" s="66">
        <v>0</v>
      </c>
      <c r="AW294" s="68">
        <v>0</v>
      </c>
      <c r="AX294" s="66">
        <v>0</v>
      </c>
      <c r="AY294" s="66">
        <v>0</v>
      </c>
      <c r="AZ294" s="66">
        <v>0</v>
      </c>
      <c r="BA294" s="66">
        <v>0</v>
      </c>
      <c r="BB294" s="66">
        <v>0</v>
      </c>
      <c r="BC294" s="66">
        <v>0</v>
      </c>
      <c r="BD294" s="66">
        <v>0</v>
      </c>
      <c r="BE294" s="66">
        <v>0</v>
      </c>
      <c r="BF294" s="68">
        <v>0</v>
      </c>
      <c r="BG294" s="66">
        <v>0</v>
      </c>
      <c r="BH294" s="66">
        <v>0</v>
      </c>
      <c r="BI294" s="66">
        <v>0</v>
      </c>
      <c r="BJ294" s="66">
        <v>0</v>
      </c>
      <c r="BK294" s="66">
        <v>0</v>
      </c>
      <c r="BL294" s="66">
        <v>0</v>
      </c>
      <c r="BM294" s="66">
        <v>0</v>
      </c>
      <c r="BN294" s="66">
        <v>0</v>
      </c>
      <c r="BO294" s="68">
        <v>0</v>
      </c>
      <c r="BP294" s="66">
        <v>0</v>
      </c>
      <c r="BQ294" s="66">
        <v>0</v>
      </c>
      <c r="BR294" s="66">
        <v>0</v>
      </c>
      <c r="BS294" s="66">
        <v>0</v>
      </c>
      <c r="BT294" s="66">
        <v>0</v>
      </c>
      <c r="BU294" s="66">
        <v>0</v>
      </c>
      <c r="BV294" s="66">
        <v>0</v>
      </c>
      <c r="BW294" s="66">
        <v>0</v>
      </c>
      <c r="BX294" s="66">
        <v>0</v>
      </c>
    </row>
    <row r="295" spans="1:76" x14ac:dyDescent="0.35">
      <c r="A295" t="s">
        <v>195</v>
      </c>
      <c r="B295" s="4" t="s">
        <v>93</v>
      </c>
      <c r="C295" s="4" t="s">
        <v>145</v>
      </c>
      <c r="D295" s="4" t="s">
        <v>196</v>
      </c>
      <c r="W295" s="66">
        <v>0</v>
      </c>
      <c r="X295" s="66">
        <v>0</v>
      </c>
      <c r="Y295" s="65">
        <v>4.3855511603587784E-2</v>
      </c>
      <c r="Z295" s="65">
        <v>4.3855511603587784E-2</v>
      </c>
      <c r="AA295" s="66">
        <v>0</v>
      </c>
      <c r="AB295" s="66">
        <v>0</v>
      </c>
      <c r="AC295" s="66">
        <v>0</v>
      </c>
      <c r="AD295" s="66">
        <v>0</v>
      </c>
      <c r="AE295" s="68">
        <v>0</v>
      </c>
      <c r="AF295" s="66">
        <v>0</v>
      </c>
      <c r="AG295" s="66">
        <v>0</v>
      </c>
      <c r="AH295" s="66">
        <v>0</v>
      </c>
      <c r="AI295" s="66">
        <v>0</v>
      </c>
      <c r="AJ295" s="66">
        <v>0</v>
      </c>
      <c r="AK295" s="66">
        <v>0</v>
      </c>
      <c r="AL295" s="66">
        <v>0</v>
      </c>
      <c r="AM295" s="66">
        <v>0</v>
      </c>
      <c r="AN295" s="68">
        <v>0</v>
      </c>
      <c r="AO295" s="66">
        <v>0</v>
      </c>
      <c r="AP295" s="66">
        <v>0</v>
      </c>
      <c r="AQ295" s="66">
        <v>0</v>
      </c>
      <c r="AR295" s="66">
        <v>0</v>
      </c>
      <c r="AS295" s="66">
        <v>0</v>
      </c>
      <c r="AT295" s="66">
        <v>0</v>
      </c>
      <c r="AU295" s="66">
        <v>0</v>
      </c>
      <c r="AV295" s="66">
        <v>0</v>
      </c>
      <c r="AW295" s="68">
        <v>0</v>
      </c>
      <c r="AX295" s="66">
        <v>0</v>
      </c>
      <c r="AY295" s="66">
        <v>0</v>
      </c>
      <c r="AZ295" s="66">
        <v>0</v>
      </c>
      <c r="BA295" s="66">
        <v>0</v>
      </c>
      <c r="BB295" s="66">
        <v>0</v>
      </c>
      <c r="BC295" s="66">
        <v>0</v>
      </c>
      <c r="BD295" s="66">
        <v>0</v>
      </c>
      <c r="BE295" s="66">
        <v>0</v>
      </c>
      <c r="BF295" s="68">
        <v>0</v>
      </c>
      <c r="BG295" s="66">
        <v>0</v>
      </c>
      <c r="BH295" s="66">
        <v>0</v>
      </c>
      <c r="BI295" s="66">
        <v>0</v>
      </c>
      <c r="BJ295" s="66">
        <v>0</v>
      </c>
      <c r="BK295" s="66">
        <v>0</v>
      </c>
      <c r="BL295" s="66">
        <v>0</v>
      </c>
      <c r="BM295" s="66">
        <v>0</v>
      </c>
      <c r="BN295" s="66">
        <v>0</v>
      </c>
      <c r="BO295" s="68">
        <v>0</v>
      </c>
      <c r="BP295" s="66">
        <v>0</v>
      </c>
      <c r="BQ295" s="66">
        <v>0</v>
      </c>
      <c r="BR295" s="66">
        <v>0</v>
      </c>
      <c r="BS295" s="66">
        <v>0</v>
      </c>
      <c r="BT295" s="66">
        <v>0</v>
      </c>
      <c r="BU295" s="66">
        <v>0</v>
      </c>
      <c r="BV295" s="66">
        <v>0</v>
      </c>
      <c r="BW295" s="66">
        <v>0</v>
      </c>
      <c r="BX295" s="66">
        <v>0</v>
      </c>
    </row>
    <row r="296" spans="1:76" x14ac:dyDescent="0.35">
      <c r="A296" t="s">
        <v>197</v>
      </c>
      <c r="B296" s="4" t="s">
        <v>93</v>
      </c>
      <c r="C296" s="4" t="s">
        <v>181</v>
      </c>
      <c r="D296" s="4" t="s">
        <v>198</v>
      </c>
      <c r="W296" s="66">
        <v>0</v>
      </c>
      <c r="X296" s="66">
        <v>0</v>
      </c>
      <c r="Y296" s="66">
        <v>0</v>
      </c>
      <c r="Z296" s="66">
        <v>0</v>
      </c>
      <c r="AA296" s="66">
        <v>0</v>
      </c>
      <c r="AB296" s="66">
        <v>0</v>
      </c>
      <c r="AC296" s="66">
        <v>0</v>
      </c>
      <c r="AD296" s="66">
        <v>0</v>
      </c>
      <c r="AE296" s="68">
        <v>0</v>
      </c>
      <c r="AF296" s="66">
        <v>0</v>
      </c>
      <c r="AG296" s="66">
        <v>0</v>
      </c>
      <c r="AH296" s="66">
        <v>0</v>
      </c>
      <c r="AI296" s="66">
        <v>0</v>
      </c>
      <c r="AJ296" s="66">
        <v>0</v>
      </c>
      <c r="AK296" s="66">
        <v>0</v>
      </c>
      <c r="AL296" s="66">
        <v>0</v>
      </c>
      <c r="AM296" s="66">
        <v>0</v>
      </c>
      <c r="AN296" s="68">
        <v>0</v>
      </c>
      <c r="AO296" s="66">
        <v>0</v>
      </c>
      <c r="AP296" s="66">
        <v>0</v>
      </c>
      <c r="AQ296" s="66">
        <v>0</v>
      </c>
      <c r="AR296" s="66">
        <v>0</v>
      </c>
      <c r="AS296" s="66">
        <v>0</v>
      </c>
      <c r="AT296" s="66">
        <v>0</v>
      </c>
      <c r="AU296" s="66">
        <v>0</v>
      </c>
      <c r="AV296" s="66">
        <v>0</v>
      </c>
      <c r="AW296" s="68">
        <v>0</v>
      </c>
      <c r="AX296" s="66">
        <v>0</v>
      </c>
      <c r="AY296" s="66">
        <v>0</v>
      </c>
      <c r="AZ296" s="66">
        <v>0</v>
      </c>
      <c r="BA296" s="66">
        <v>0</v>
      </c>
      <c r="BB296" s="66">
        <v>0</v>
      </c>
      <c r="BC296" s="66">
        <v>0</v>
      </c>
      <c r="BD296" s="66">
        <v>0</v>
      </c>
      <c r="BE296" s="66">
        <v>0</v>
      </c>
      <c r="BF296" s="68">
        <v>0</v>
      </c>
      <c r="BG296" s="66">
        <v>0</v>
      </c>
      <c r="BH296" s="66">
        <v>0</v>
      </c>
      <c r="BI296" s="66">
        <v>0</v>
      </c>
      <c r="BJ296" s="66">
        <v>0</v>
      </c>
      <c r="BK296" s="66">
        <v>0</v>
      </c>
      <c r="BL296" s="66">
        <v>0</v>
      </c>
      <c r="BM296" s="66">
        <v>0</v>
      </c>
      <c r="BN296" s="66">
        <v>0</v>
      </c>
      <c r="BO296" s="68">
        <v>0</v>
      </c>
      <c r="BP296" s="66">
        <v>0</v>
      </c>
      <c r="BQ296" s="66">
        <v>0</v>
      </c>
      <c r="BR296" s="66">
        <v>0</v>
      </c>
      <c r="BS296" s="66">
        <v>0</v>
      </c>
      <c r="BT296" s="66">
        <v>0</v>
      </c>
      <c r="BU296" s="66">
        <v>0</v>
      </c>
      <c r="BV296" s="66">
        <v>0</v>
      </c>
      <c r="BW296" s="66">
        <v>0</v>
      </c>
      <c r="BX296" s="66">
        <v>0</v>
      </c>
    </row>
    <row r="297" spans="1:76" x14ac:dyDescent="0.35">
      <c r="A297" t="s">
        <v>199</v>
      </c>
      <c r="B297" s="4" t="s">
        <v>93</v>
      </c>
      <c r="C297" s="4" t="s">
        <v>181</v>
      </c>
      <c r="D297" s="4" t="s">
        <v>200</v>
      </c>
      <c r="W297" s="66">
        <v>0</v>
      </c>
      <c r="X297" s="66">
        <v>0</v>
      </c>
      <c r="Y297" s="66">
        <v>0</v>
      </c>
      <c r="Z297" s="66">
        <v>0</v>
      </c>
      <c r="AA297" s="66">
        <v>0</v>
      </c>
      <c r="AB297" s="66">
        <v>0</v>
      </c>
      <c r="AC297" s="66">
        <v>0</v>
      </c>
      <c r="AD297" s="66">
        <v>0</v>
      </c>
      <c r="AE297" s="68">
        <v>0</v>
      </c>
      <c r="AF297" s="66">
        <v>0</v>
      </c>
      <c r="AG297" s="66">
        <v>0</v>
      </c>
      <c r="AH297" s="66">
        <v>0</v>
      </c>
      <c r="AI297" s="66">
        <v>0</v>
      </c>
      <c r="AJ297" s="66">
        <v>0</v>
      </c>
      <c r="AK297" s="66">
        <v>0</v>
      </c>
      <c r="AL297" s="66">
        <v>0</v>
      </c>
      <c r="AM297" s="66">
        <v>0</v>
      </c>
      <c r="AN297" s="68">
        <v>0</v>
      </c>
      <c r="AO297" s="66">
        <v>0</v>
      </c>
      <c r="AP297" s="66">
        <v>0</v>
      </c>
      <c r="AQ297" s="66">
        <v>0</v>
      </c>
      <c r="AR297" s="66">
        <v>0</v>
      </c>
      <c r="AS297" s="66">
        <v>0</v>
      </c>
      <c r="AT297" s="66">
        <v>0</v>
      </c>
      <c r="AU297" s="66">
        <v>0</v>
      </c>
      <c r="AV297" s="66">
        <v>0</v>
      </c>
      <c r="AW297" s="68">
        <v>0</v>
      </c>
      <c r="AX297" s="66">
        <v>0</v>
      </c>
      <c r="AY297" s="66">
        <v>0</v>
      </c>
      <c r="AZ297" s="66">
        <v>0</v>
      </c>
      <c r="BA297" s="66">
        <v>0</v>
      </c>
      <c r="BB297" s="66">
        <v>0</v>
      </c>
      <c r="BC297" s="66">
        <v>0</v>
      </c>
      <c r="BD297" s="66">
        <v>0</v>
      </c>
      <c r="BE297" s="66">
        <v>0</v>
      </c>
      <c r="BF297" s="68">
        <v>0</v>
      </c>
      <c r="BG297" s="66">
        <v>0</v>
      </c>
      <c r="BH297" s="66">
        <v>0</v>
      </c>
      <c r="BI297" s="66">
        <v>0</v>
      </c>
      <c r="BJ297" s="66">
        <v>0</v>
      </c>
      <c r="BK297" s="66">
        <v>0</v>
      </c>
      <c r="BL297" s="66">
        <v>0</v>
      </c>
      <c r="BM297" s="66">
        <v>0</v>
      </c>
      <c r="BN297" s="66">
        <v>0</v>
      </c>
      <c r="BO297" s="68">
        <v>0</v>
      </c>
      <c r="BP297" s="66">
        <v>0</v>
      </c>
      <c r="BQ297" s="66">
        <v>0</v>
      </c>
      <c r="BR297" s="66">
        <v>0</v>
      </c>
      <c r="BS297" s="66">
        <v>0</v>
      </c>
      <c r="BT297" s="66">
        <v>0</v>
      </c>
      <c r="BU297" s="66">
        <v>0</v>
      </c>
      <c r="BV297" s="66">
        <v>0</v>
      </c>
      <c r="BW297" s="66">
        <v>0</v>
      </c>
      <c r="BX297" s="66">
        <v>0</v>
      </c>
    </row>
    <row r="298" spans="1:76" ht="15" thickBot="1" x14ac:dyDescent="0.4">
      <c r="A298" t="s">
        <v>201</v>
      </c>
      <c r="B298" s="4" t="s">
        <v>93</v>
      </c>
      <c r="C298" s="4" t="s">
        <v>181</v>
      </c>
      <c r="D298" s="4" t="s">
        <v>202</v>
      </c>
      <c r="W298" s="69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71">
        <v>0</v>
      </c>
      <c r="AF298" s="69">
        <v>0</v>
      </c>
      <c r="AG298" s="69">
        <v>0</v>
      </c>
      <c r="AH298" s="69">
        <v>0</v>
      </c>
      <c r="AI298" s="69">
        <v>0</v>
      </c>
      <c r="AJ298" s="69">
        <v>0</v>
      </c>
      <c r="AK298" s="69">
        <v>0</v>
      </c>
      <c r="AL298" s="69">
        <v>0</v>
      </c>
      <c r="AM298" s="69">
        <v>0</v>
      </c>
      <c r="AN298" s="71">
        <v>0</v>
      </c>
      <c r="AO298" s="69">
        <v>0</v>
      </c>
      <c r="AP298" s="69">
        <v>0</v>
      </c>
      <c r="AQ298" s="69">
        <v>0</v>
      </c>
      <c r="AR298" s="69">
        <v>0</v>
      </c>
      <c r="AS298" s="69">
        <v>0</v>
      </c>
      <c r="AT298" s="69">
        <v>0</v>
      </c>
      <c r="AU298" s="69">
        <v>0</v>
      </c>
      <c r="AV298" s="69">
        <v>0</v>
      </c>
      <c r="AW298" s="71">
        <v>0</v>
      </c>
      <c r="AX298" s="69">
        <v>0</v>
      </c>
      <c r="AY298" s="69">
        <v>0</v>
      </c>
      <c r="AZ298" s="69">
        <v>0</v>
      </c>
      <c r="BA298" s="69">
        <v>0</v>
      </c>
      <c r="BB298" s="69">
        <v>0</v>
      </c>
      <c r="BC298" s="69">
        <v>0</v>
      </c>
      <c r="BD298" s="69">
        <v>0</v>
      </c>
      <c r="BE298" s="69">
        <v>0</v>
      </c>
      <c r="BF298" s="71">
        <v>0</v>
      </c>
      <c r="BG298" s="69">
        <v>0</v>
      </c>
      <c r="BH298" s="69">
        <v>0</v>
      </c>
      <c r="BI298" s="69">
        <v>0</v>
      </c>
      <c r="BJ298" s="69">
        <v>0</v>
      </c>
      <c r="BK298" s="69">
        <v>0</v>
      </c>
      <c r="BL298" s="69">
        <v>0</v>
      </c>
      <c r="BM298" s="69">
        <v>0</v>
      </c>
      <c r="BN298" s="69">
        <v>0</v>
      </c>
      <c r="BO298" s="71">
        <v>0</v>
      </c>
      <c r="BP298" s="69">
        <v>0</v>
      </c>
      <c r="BQ298" s="69">
        <v>0</v>
      </c>
      <c r="BR298" s="69">
        <v>0</v>
      </c>
      <c r="BS298" s="69">
        <v>0</v>
      </c>
      <c r="BT298" s="69">
        <v>0</v>
      </c>
      <c r="BU298" s="69">
        <v>0</v>
      </c>
      <c r="BV298" s="69">
        <v>0</v>
      </c>
      <c r="BW298" s="69">
        <v>0</v>
      </c>
      <c r="BX298" s="69">
        <v>0</v>
      </c>
    </row>
    <row r="299" spans="1:76" x14ac:dyDescent="0.35">
      <c r="A299" t="s">
        <v>72</v>
      </c>
      <c r="B299" s="4" t="s">
        <v>73</v>
      </c>
      <c r="C299" s="4" t="s">
        <v>145</v>
      </c>
      <c r="D299" s="4" t="s">
        <v>72</v>
      </c>
      <c r="W299" s="73" cm="1">
        <f t="array" ref="W299:AE299">MMULT(W148:AE148,MINVERSE(_xlfn.MUNIT(9)*CF22:CF30))</f>
        <v>0</v>
      </c>
      <c r="X299" s="392">
        <v>-5.2256119372476872E-2</v>
      </c>
      <c r="Y299" s="74">
        <v>0.04</v>
      </c>
      <c r="Z299" s="74">
        <v>0.04</v>
      </c>
      <c r="AA299" s="393">
        <v>-0.26400000000000001</v>
      </c>
      <c r="AB299" s="393">
        <v>-0.8528</v>
      </c>
      <c r="AC299" s="393">
        <v>-0.8</v>
      </c>
      <c r="AD299" s="73">
        <v>0</v>
      </c>
      <c r="AE299" s="75">
        <v>0</v>
      </c>
      <c r="AF299" s="73">
        <v>0</v>
      </c>
      <c r="AG299" s="73">
        <v>0</v>
      </c>
      <c r="AH299" s="73">
        <v>0</v>
      </c>
      <c r="AI299" s="73">
        <v>0</v>
      </c>
      <c r="AJ299" s="73">
        <v>0</v>
      </c>
      <c r="AK299" s="73"/>
      <c r="AL299" s="73">
        <v>0</v>
      </c>
      <c r="AM299" s="73">
        <v>0</v>
      </c>
      <c r="AN299" s="75">
        <v>0</v>
      </c>
      <c r="AO299" s="73">
        <v>0</v>
      </c>
      <c r="AP299" s="73">
        <v>0</v>
      </c>
      <c r="AQ299" s="73">
        <v>0</v>
      </c>
      <c r="AR299" s="73">
        <v>0</v>
      </c>
      <c r="AS299" s="73">
        <v>0</v>
      </c>
      <c r="AT299" s="73">
        <v>0</v>
      </c>
      <c r="AU299" s="73">
        <v>0</v>
      </c>
      <c r="AV299" s="73">
        <v>0</v>
      </c>
      <c r="AW299" s="75">
        <v>0</v>
      </c>
      <c r="AX299" s="73">
        <v>0</v>
      </c>
      <c r="AY299" s="73">
        <v>0</v>
      </c>
      <c r="AZ299" s="73">
        <v>0</v>
      </c>
      <c r="BA299" s="73">
        <v>0</v>
      </c>
      <c r="BB299" s="73">
        <v>0</v>
      </c>
      <c r="BC299" s="73">
        <v>0</v>
      </c>
      <c r="BD299" s="73">
        <v>0</v>
      </c>
      <c r="BE299" s="73">
        <v>0</v>
      </c>
      <c r="BF299" s="75">
        <v>0</v>
      </c>
      <c r="BG299" s="73">
        <v>0</v>
      </c>
      <c r="BH299" s="73">
        <v>0</v>
      </c>
      <c r="BI299" s="73">
        <v>0</v>
      </c>
      <c r="BJ299" s="73">
        <v>0</v>
      </c>
      <c r="BK299" s="73">
        <v>0</v>
      </c>
      <c r="BL299" s="73">
        <v>0</v>
      </c>
      <c r="BM299" s="73">
        <v>0</v>
      </c>
      <c r="BN299" s="73">
        <v>0</v>
      </c>
      <c r="BO299" s="75">
        <v>0</v>
      </c>
      <c r="BP299" s="73">
        <v>0</v>
      </c>
      <c r="BQ299" s="73">
        <v>0</v>
      </c>
      <c r="BR299" s="73">
        <v>0</v>
      </c>
      <c r="BS299" s="73">
        <v>0</v>
      </c>
      <c r="BT299" s="73">
        <v>0</v>
      </c>
      <c r="BU299" s="73">
        <v>0</v>
      </c>
      <c r="BV299" s="73">
        <v>0</v>
      </c>
      <c r="BW299" s="73">
        <v>0</v>
      </c>
      <c r="BX299" s="73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7" ma:contentTypeDescription="Creare un nuovo documento." ma:contentTypeScope="" ma:versionID="82023fb6714cbae805b07bd99ebf4fc7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da661571b8e08a5b1a92ca8c6d3e3737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3fe72f-8fdb-4277-8767-7ed98ffd77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4689B7-D632-4D58-A664-2EE404692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16CAEA-57D8-4E5A-BEC5-15744A9E60A4}">
  <ds:schemaRefs>
    <ds:schemaRef ds:uri="bd3fe72f-8fdb-4277-8767-7ed98ffd7703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95b4d4c-be79-44eb-9516-bbf99f8c72b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727590D-1581-462F-BDD2-DFDC29E599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2030 pathways</vt:lpstr>
      <vt:lpstr>Sensitivity</vt:lpstr>
      <vt:lpstr>CO2&amp;price</vt:lpstr>
      <vt:lpstr>z_2030_GS</vt:lpstr>
      <vt:lpstr>z_2030_REU</vt:lpstr>
      <vt:lpstr>z_2030_GS_sen</vt:lpstr>
      <vt:lpstr>z_2030_REU_sen</vt:lpstr>
      <vt:lpstr>e_2030_sen</vt:lpstr>
      <vt:lpstr>SUT_EU27 total</vt:lpstr>
      <vt:lpstr>Inputs by region H2</vt:lpstr>
      <vt:lpstr>Inputs by region STEEL</vt:lpstr>
      <vt:lpstr>MSUT H2</vt:lpstr>
      <vt:lpstr>MSUT STEEL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 Ghezzi</dc:creator>
  <cp:keywords/>
  <dc:description/>
  <cp:lastModifiedBy>Debora Ghezzi</cp:lastModifiedBy>
  <cp:revision/>
  <dcterms:created xsi:type="dcterms:W3CDTF">2023-12-22T14:25:41Z</dcterms:created>
  <dcterms:modified xsi:type="dcterms:W3CDTF">2024-03-15T11:24:47Z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</Properties>
</file>