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SteelTransition_EU\Add_sectors\Life Cycle Inventory\"/>
    </mc:Choice>
  </mc:AlternateContent>
  <xr:revisionPtr revIDLastSave="0" documentId="13_ncr:1_{460C226A-A5F9-4FBA-BF8B-38C1244EF7F3}" xr6:coauthVersionLast="47" xr6:coauthVersionMax="47" xr10:uidLastSave="{00000000-0000-0000-0000-000000000000}"/>
  <bookViews>
    <workbookView xWindow="-110" yWindow="-110" windowWidth="19420" windowHeight="10300" xr2:uid="{5FC4656C-32E2-4146-902B-FFEED4901128}"/>
  </bookViews>
  <sheets>
    <sheet name="Steel_BF-BOF with H2" sheetId="6" r:id="rId1"/>
    <sheet name="Steel_BF-BOF with char (+CCUS)" sheetId="17" r:id="rId2"/>
    <sheet name="Steel_NG-DR" sheetId="3" r:id="rId3"/>
    <sheet name="Steel_100%H2-DR" sheetId="12" r:id="rId4"/>
    <sheet name="CO2 footprint" sheetId="16" r:id="rId5"/>
    <sheet name="Value added" sheetId="18" r:id="rId6"/>
    <sheet name="SUT_EU27" sheetId="14" r:id="rId7"/>
    <sheet name="MSUT" sheetId="7" r:id="rId8"/>
    <sheet name="Inputs by region " sheetId="11" r:id="rId9"/>
  </sheets>
  <externalReferences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7" l="1"/>
  <c r="H18" i="17" s="1"/>
  <c r="H17" i="17" s="1"/>
  <c r="H26" i="17" s="1"/>
  <c r="AA80" i="7" s="1"/>
  <c r="B52" i="3"/>
  <c r="D11" i="18" a="1"/>
  <c r="D11" i="18" s="1"/>
  <c r="E11" i="18" s="1"/>
  <c r="F11" i="18" s="1"/>
  <c r="D10" i="18"/>
  <c r="E10" i="18" s="1"/>
  <c r="F10" i="18" s="1"/>
  <c r="D9" i="18"/>
  <c r="E9" i="18" s="1"/>
  <c r="F9" i="18" s="1"/>
  <c r="D8" i="18"/>
  <c r="E8" i="18" s="1"/>
  <c r="F8" i="18" s="1"/>
  <c r="D7" i="18"/>
  <c r="E7" i="18" s="1"/>
  <c r="F7" i="18" s="1"/>
  <c r="H48" i="17"/>
  <c r="H57" i="17" s="1"/>
  <c r="M40" i="6"/>
  <c r="H21" i="17"/>
  <c r="H30" i="17" s="1"/>
  <c r="C38" i="17"/>
  <c r="H45" i="17" s="1"/>
  <c r="H44" i="17" s="1"/>
  <c r="H53" i="17" s="1"/>
  <c r="H70" i="17"/>
  <c r="E12" i="18" l="1"/>
  <c r="F12" i="18" s="1"/>
  <c r="H54" i="17"/>
  <c r="H27" i="17"/>
  <c r="H17" i="6"/>
  <c r="G12" i="11" a="1"/>
  <c r="G12" i="11" s="1"/>
  <c r="H27" i="6" l="1"/>
  <c r="H37" i="6" s="1"/>
  <c r="B52" i="12"/>
  <c r="B63" i="3"/>
  <c r="B65" i="3" s="1"/>
  <c r="C21" i="16" l="1"/>
  <c r="D5" i="16" l="1"/>
  <c r="C20" i="16" s="1"/>
  <c r="M59" i="17" l="1"/>
  <c r="N54" i="17" s="1"/>
  <c r="M32" i="17"/>
  <c r="N27" i="17" s="1"/>
  <c r="N28" i="6"/>
  <c r="N29" i="6"/>
  <c r="N30" i="6"/>
  <c r="N31" i="6"/>
  <c r="N32" i="6"/>
  <c r="N27" i="6"/>
  <c r="N26" i="17" l="1"/>
  <c r="N53" i="17"/>
  <c r="N31" i="17"/>
  <c r="N58" i="17"/>
  <c r="N30" i="17"/>
  <c r="N57" i="17"/>
  <c r="N29" i="17"/>
  <c r="N56" i="17"/>
  <c r="N28" i="17"/>
  <c r="N55" i="17"/>
  <c r="N32" i="17" l="1"/>
  <c r="N59" i="17"/>
  <c r="E1" i="14" a="1"/>
  <c r="E1" i="14" s="1"/>
  <c r="CF34" i="7" l="1"/>
  <c r="CF35" i="7"/>
  <c r="CF36" i="7"/>
  <c r="CF37" i="7"/>
  <c r="CF38" i="7"/>
  <c r="CF39" i="7"/>
  <c r="CF40" i="7"/>
  <c r="CF41" i="7"/>
  <c r="CF42" i="7"/>
  <c r="CF43" i="7"/>
  <c r="CF44" i="7"/>
  <c r="CF45" i="7"/>
  <c r="CF46" i="7"/>
  <c r="CF47" i="7"/>
  <c r="CF48" i="7"/>
  <c r="CF49" i="7"/>
  <c r="CF50" i="7"/>
  <c r="CF51" i="7"/>
  <c r="CF52" i="7"/>
  <c r="CF53" i="7"/>
  <c r="CF54" i="7"/>
  <c r="CF55" i="7"/>
  <c r="CF56" i="7"/>
  <c r="CF57" i="7"/>
  <c r="CF58" i="7"/>
  <c r="CF59" i="7"/>
  <c r="CF60" i="7"/>
  <c r="CF61" i="7"/>
  <c r="CF62" i="7"/>
  <c r="CF63" i="7"/>
  <c r="CF64" i="7"/>
  <c r="CF65" i="7"/>
  <c r="CF66" i="7"/>
  <c r="CF67" i="7"/>
  <c r="CF68" i="7"/>
  <c r="CF69" i="7"/>
  <c r="CF70" i="7"/>
  <c r="CF71" i="7"/>
  <c r="CF72" i="7"/>
  <c r="CF73" i="7"/>
  <c r="CF26" i="7"/>
  <c r="CF27" i="7"/>
  <c r="CF28" i="7"/>
  <c r="AB148" i="7" l="1"/>
  <c r="AA148" i="7"/>
  <c r="AC148" i="7"/>
  <c r="G8" i="11" a="1"/>
  <c r="G8" i="11" s="1"/>
  <c r="AA140" i="7" l="1"/>
  <c r="AA128" i="7"/>
  <c r="AA116" i="7"/>
  <c r="AA104" i="7"/>
  <c r="AA92" i="7"/>
  <c r="B64" i="3"/>
  <c r="M37" i="6" l="1"/>
  <c r="H31" i="6"/>
  <c r="M33" i="6"/>
  <c r="B55" i="12" l="1"/>
  <c r="N33" i="6" l="1"/>
  <c r="H19" i="12"/>
  <c r="B55" i="3" l="1"/>
  <c r="H16" i="12" l="1"/>
  <c r="H37" i="3" l="1"/>
  <c r="Y148" i="7" l="1"/>
  <c r="Z148" i="7" l="1"/>
  <c r="B12" i="12"/>
  <c r="H20" i="12" s="1"/>
  <c r="H29" i="3"/>
  <c r="H30" i="3"/>
  <c r="H22" i="3" s="1"/>
  <c r="M169" i="11" l="1"/>
  <c r="L165" i="11"/>
  <c r="G165" i="11"/>
  <c r="G166" i="11" s="1"/>
  <c r="K166" i="11"/>
  <c r="J166" i="11"/>
  <c r="H166" i="11"/>
  <c r="I166" i="11"/>
  <c r="G157" i="11"/>
  <c r="L157" i="11" s="1"/>
  <c r="L158" i="11" s="1"/>
  <c r="G163" i="11"/>
  <c r="G164" i="11" s="1"/>
  <c r="K164" i="11"/>
  <c r="J164" i="11"/>
  <c r="H164" i="11"/>
  <c r="L113" i="11"/>
  <c r="L114" i="11" s="1"/>
  <c r="G113" i="11"/>
  <c r="G114" i="11" s="1"/>
  <c r="G141" i="11"/>
  <c r="H141" i="11" s="1"/>
  <c r="L155" i="11"/>
  <c r="L156" i="11" s="1"/>
  <c r="G155" i="11"/>
  <c r="G156" i="11" s="1"/>
  <c r="G131" i="11"/>
  <c r="L131" i="11" s="1"/>
  <c r="G143" i="11"/>
  <c r="G144" i="11" s="1"/>
  <c r="G123" i="11"/>
  <c r="L123" i="11" s="1"/>
  <c r="L124" i="11" s="1"/>
  <c r="G161" i="11"/>
  <c r="G162" i="11" s="1"/>
  <c r="K162" i="11"/>
  <c r="J162" i="11"/>
  <c r="I162" i="11"/>
  <c r="H162" i="11"/>
  <c r="L159" i="11"/>
  <c r="L160" i="11" s="1"/>
  <c r="G159" i="11"/>
  <c r="G160" i="11" s="1"/>
  <c r="K160" i="11"/>
  <c r="J160" i="11"/>
  <c r="H160" i="11"/>
  <c r="I160" i="11"/>
  <c r="G153" i="11"/>
  <c r="H153" i="11" s="1"/>
  <c r="G151" i="11"/>
  <c r="H151" i="11" s="1"/>
  <c r="G133" i="11"/>
  <c r="G134" i="11" s="1"/>
  <c r="L149" i="11"/>
  <c r="L150" i="11" s="1"/>
  <c r="G149" i="11"/>
  <c r="G150" i="11" s="1"/>
  <c r="L135" i="11"/>
  <c r="L136" i="11" s="1"/>
  <c r="G135" i="11"/>
  <c r="G136" i="11" s="1"/>
  <c r="G137" i="11"/>
  <c r="I137" i="11" s="1"/>
  <c r="L145" i="11"/>
  <c r="L146" i="11" s="1"/>
  <c r="G145" i="11"/>
  <c r="G146" i="11" s="1"/>
  <c r="L119" i="11"/>
  <c r="G119" i="11"/>
  <c r="G120" i="11" s="1"/>
  <c r="L127" i="11"/>
  <c r="L128" i="11" s="1"/>
  <c r="G127" i="11"/>
  <c r="L129" i="11"/>
  <c r="L130" i="11" s="1"/>
  <c r="G129" i="11"/>
  <c r="G130" i="11" s="1"/>
  <c r="L125" i="11"/>
  <c r="L126" i="11" s="1"/>
  <c r="G125" i="11"/>
  <c r="G126" i="11" s="1"/>
  <c r="L139" i="11"/>
  <c r="L140" i="11" s="1"/>
  <c r="G139" i="11"/>
  <c r="G140" i="11" s="1"/>
  <c r="L147" i="11"/>
  <c r="L148" i="11" s="1"/>
  <c r="G147" i="11"/>
  <c r="G148" i="11" s="1"/>
  <c r="L121" i="11"/>
  <c r="L122" i="11" s="1"/>
  <c r="G121" i="11"/>
  <c r="G122" i="11" s="1"/>
  <c r="L115" i="11"/>
  <c r="L116" i="11" s="1"/>
  <c r="G115" i="11"/>
  <c r="G116" i="11" s="1"/>
  <c r="H118" i="11"/>
  <c r="I118" i="11"/>
  <c r="J118" i="11"/>
  <c r="K118" i="11"/>
  <c r="L117" i="11"/>
  <c r="L118" i="11" s="1"/>
  <c r="G117" i="11"/>
  <c r="G118" i="11" s="1"/>
  <c r="K158" i="11"/>
  <c r="J158" i="11"/>
  <c r="H158" i="11"/>
  <c r="I158" i="11"/>
  <c r="K156" i="11"/>
  <c r="J156" i="11"/>
  <c r="I156" i="11"/>
  <c r="H156" i="11"/>
  <c r="K154" i="11"/>
  <c r="J154" i="11"/>
  <c r="I154" i="11"/>
  <c r="K152" i="11"/>
  <c r="J152" i="11"/>
  <c r="I152" i="11"/>
  <c r="K150" i="11"/>
  <c r="J150" i="11"/>
  <c r="I150" i="11"/>
  <c r="H150" i="11"/>
  <c r="K148" i="11"/>
  <c r="J148" i="11"/>
  <c r="I148" i="11"/>
  <c r="H148" i="11"/>
  <c r="K146" i="11"/>
  <c r="J146" i="11"/>
  <c r="I146" i="11"/>
  <c r="H146" i="11"/>
  <c r="K144" i="11"/>
  <c r="J144" i="11"/>
  <c r="I144" i="11"/>
  <c r="H144" i="11"/>
  <c r="K142" i="11"/>
  <c r="I142" i="11"/>
  <c r="K140" i="11"/>
  <c r="J140" i="11"/>
  <c r="I140" i="11"/>
  <c r="H140" i="11"/>
  <c r="K138" i="11"/>
  <c r="J138" i="11"/>
  <c r="K136" i="11"/>
  <c r="J136" i="11"/>
  <c r="I136" i="11"/>
  <c r="H136" i="11"/>
  <c r="K134" i="11"/>
  <c r="I134" i="11"/>
  <c r="H134" i="11"/>
  <c r="K132" i="11"/>
  <c r="J132" i="11"/>
  <c r="I132" i="11"/>
  <c r="H132" i="11"/>
  <c r="K130" i="11"/>
  <c r="J130" i="11"/>
  <c r="I130" i="11"/>
  <c r="H130" i="11"/>
  <c r="K128" i="11"/>
  <c r="J128" i="11"/>
  <c r="I128" i="11"/>
  <c r="H128" i="11"/>
  <c r="K126" i="11"/>
  <c r="J126" i="11"/>
  <c r="I126" i="11"/>
  <c r="H126" i="11"/>
  <c r="K124" i="11"/>
  <c r="H124" i="11"/>
  <c r="K122" i="11"/>
  <c r="J122" i="11"/>
  <c r="I122" i="11"/>
  <c r="H122" i="11"/>
  <c r="K120" i="11"/>
  <c r="J120" i="11"/>
  <c r="I120" i="11"/>
  <c r="H120" i="11"/>
  <c r="K116" i="11"/>
  <c r="J116" i="11"/>
  <c r="I116" i="11"/>
  <c r="H116" i="11"/>
  <c r="K114" i="11"/>
  <c r="J114" i="11"/>
  <c r="I114" i="11"/>
  <c r="H114" i="11"/>
  <c r="M108" i="11"/>
  <c r="K73" i="11"/>
  <c r="J73" i="11"/>
  <c r="I73" i="11"/>
  <c r="H73" i="11"/>
  <c r="L103" i="11"/>
  <c r="K103" i="11"/>
  <c r="J103" i="11"/>
  <c r="I103" i="11"/>
  <c r="H103" i="11"/>
  <c r="L85" i="11"/>
  <c r="K85" i="11"/>
  <c r="J85" i="11"/>
  <c r="I85" i="11"/>
  <c r="H85" i="11"/>
  <c r="K97" i="11"/>
  <c r="J97" i="11"/>
  <c r="I97" i="11"/>
  <c r="H97" i="11"/>
  <c r="K95" i="11"/>
  <c r="J95" i="11"/>
  <c r="I95" i="11"/>
  <c r="H95" i="11"/>
  <c r="K93" i="11"/>
  <c r="J93" i="11"/>
  <c r="I93" i="11"/>
  <c r="H93" i="11"/>
  <c r="K91" i="11"/>
  <c r="J91" i="11"/>
  <c r="I91" i="11"/>
  <c r="H91" i="11"/>
  <c r="K99" i="11"/>
  <c r="J99" i="11"/>
  <c r="I99" i="11"/>
  <c r="H99" i="11"/>
  <c r="K101" i="11"/>
  <c r="J101" i="11"/>
  <c r="I101" i="11"/>
  <c r="H101" i="11"/>
  <c r="K83" i="11"/>
  <c r="J83" i="11"/>
  <c r="I83" i="11"/>
  <c r="H83" i="11"/>
  <c r="L75" i="11"/>
  <c r="K75" i="11"/>
  <c r="J75" i="11"/>
  <c r="I75" i="11"/>
  <c r="H75" i="11"/>
  <c r="K67" i="11"/>
  <c r="J67" i="11"/>
  <c r="I67" i="11"/>
  <c r="H67" i="11"/>
  <c r="L79" i="11"/>
  <c r="K79" i="11"/>
  <c r="J79" i="11"/>
  <c r="I79" i="11"/>
  <c r="H79" i="11"/>
  <c r="L71" i="11"/>
  <c r="K71" i="11"/>
  <c r="J71" i="11"/>
  <c r="I71" i="11"/>
  <c r="H71" i="11"/>
  <c r="K65" i="11"/>
  <c r="J65" i="11"/>
  <c r="I65" i="11"/>
  <c r="H65" i="11"/>
  <c r="L105" i="11"/>
  <c r="K105" i="11"/>
  <c r="J105" i="11"/>
  <c r="H105" i="11"/>
  <c r="K81" i="11"/>
  <c r="J81" i="11"/>
  <c r="I81" i="11"/>
  <c r="H81" i="11"/>
  <c r="L89" i="11"/>
  <c r="K89" i="11"/>
  <c r="J89" i="11"/>
  <c r="I89" i="11"/>
  <c r="H89" i="11"/>
  <c r="K87" i="11"/>
  <c r="J87" i="11"/>
  <c r="I87" i="11"/>
  <c r="H87" i="11"/>
  <c r="K77" i="11"/>
  <c r="J77" i="11"/>
  <c r="I77" i="11"/>
  <c r="H77" i="11"/>
  <c r="K69" i="11"/>
  <c r="J69" i="11"/>
  <c r="I69" i="11"/>
  <c r="H69" i="11"/>
  <c r="L63" i="11"/>
  <c r="K63" i="11"/>
  <c r="J63" i="11"/>
  <c r="I63" i="11"/>
  <c r="H63" i="11"/>
  <c r="H61" i="11"/>
  <c r="I61" i="11"/>
  <c r="J61" i="11"/>
  <c r="K61" i="11"/>
  <c r="G104" i="11"/>
  <c r="G105" i="11" s="1"/>
  <c r="I104" i="11"/>
  <c r="I105" i="11" s="1"/>
  <c r="G102" i="11"/>
  <c r="M102" i="11" s="1"/>
  <c r="L100" i="11"/>
  <c r="L101" i="11" s="1"/>
  <c r="G100" i="11"/>
  <c r="G101" i="11" s="1"/>
  <c r="L98" i="11"/>
  <c r="L99" i="11" s="1"/>
  <c r="G98" i="11"/>
  <c r="G99" i="11" s="1"/>
  <c r="L96" i="11"/>
  <c r="L97" i="11" s="1"/>
  <c r="G96" i="11"/>
  <c r="G97" i="11" s="1"/>
  <c r="L94" i="11"/>
  <c r="L95" i="11" s="1"/>
  <c r="G94" i="11"/>
  <c r="G95" i="11" s="1"/>
  <c r="L92" i="11"/>
  <c r="L93" i="11" s="1"/>
  <c r="G92" i="11"/>
  <c r="G93" i="11" s="1"/>
  <c r="L90" i="11"/>
  <c r="L91" i="11" s="1"/>
  <c r="G90" i="11"/>
  <c r="G91" i="11" s="1"/>
  <c r="G88" i="11"/>
  <c r="M88" i="11" s="1"/>
  <c r="L86" i="11"/>
  <c r="L87" i="11" s="1"/>
  <c r="G86" i="11"/>
  <c r="G87" i="11" s="1"/>
  <c r="G84" i="11"/>
  <c r="M84" i="11" s="1"/>
  <c r="G82" i="11"/>
  <c r="G83" i="11" s="1"/>
  <c r="L82" i="11"/>
  <c r="L83" i="11" s="1"/>
  <c r="L80" i="11"/>
  <c r="L81" i="11" s="1"/>
  <c r="G80" i="11"/>
  <c r="G81" i="11" s="1"/>
  <c r="G78" i="11"/>
  <c r="M78" i="11" s="1"/>
  <c r="G76" i="11"/>
  <c r="G77" i="11" s="1"/>
  <c r="L76" i="11"/>
  <c r="L77" i="11" s="1"/>
  <c r="G74" i="11"/>
  <c r="M74" i="11" s="1"/>
  <c r="L72" i="11"/>
  <c r="L73" i="11" s="1"/>
  <c r="G72" i="11"/>
  <c r="G73" i="11" s="1"/>
  <c r="G70" i="11"/>
  <c r="M70" i="11" s="1"/>
  <c r="L68" i="11"/>
  <c r="L69" i="11" s="1"/>
  <c r="G68" i="11"/>
  <c r="G69" i="11" s="1"/>
  <c r="L66" i="11"/>
  <c r="L67" i="11" s="1"/>
  <c r="G66" i="11"/>
  <c r="G67" i="11" s="1"/>
  <c r="L64" i="11"/>
  <c r="L65" i="11" s="1"/>
  <c r="G64" i="11"/>
  <c r="G65" i="11" s="1"/>
  <c r="G62" i="11"/>
  <c r="M62" i="11" s="1"/>
  <c r="L60" i="11"/>
  <c r="L61" i="11" s="1"/>
  <c r="G60" i="11"/>
  <c r="G61" i="11" s="1"/>
  <c r="H37" i="11"/>
  <c r="I37" i="11"/>
  <c r="K37" i="11"/>
  <c r="G37" i="11"/>
  <c r="H36" i="11"/>
  <c r="I36" i="11"/>
  <c r="K36" i="11"/>
  <c r="G36" i="11"/>
  <c r="K169" i="11" l="1"/>
  <c r="K168" i="11" s="1"/>
  <c r="G158" i="11"/>
  <c r="H137" i="11"/>
  <c r="H138" i="11" s="1"/>
  <c r="L137" i="11"/>
  <c r="L138" i="11" s="1"/>
  <c r="L166" i="11"/>
  <c r="G154" i="11"/>
  <c r="L153" i="11"/>
  <c r="L154" i="11" s="1"/>
  <c r="L141" i="11"/>
  <c r="L142" i="11" s="1"/>
  <c r="L161" i="11"/>
  <c r="L162" i="11" s="1"/>
  <c r="G142" i="11"/>
  <c r="J141" i="11"/>
  <c r="J142" i="11" s="1"/>
  <c r="L163" i="11"/>
  <c r="L164" i="11" s="1"/>
  <c r="I163" i="11"/>
  <c r="I164" i="11" s="1"/>
  <c r="L133" i="11"/>
  <c r="L143" i="11"/>
  <c r="L144" i="11" s="1"/>
  <c r="J133" i="11"/>
  <c r="J134" i="11" s="1"/>
  <c r="L151" i="11"/>
  <c r="L152" i="11" s="1"/>
  <c r="M131" i="11"/>
  <c r="L132" i="11"/>
  <c r="G124" i="11"/>
  <c r="J123" i="11"/>
  <c r="J124" i="11" s="1"/>
  <c r="I123" i="11"/>
  <c r="I124" i="11" s="1"/>
  <c r="H142" i="11"/>
  <c r="M147" i="11"/>
  <c r="M127" i="11"/>
  <c r="M159" i="11"/>
  <c r="I138" i="11"/>
  <c r="H154" i="11"/>
  <c r="M125" i="11"/>
  <c r="M145" i="11"/>
  <c r="M121" i="11"/>
  <c r="H152" i="11"/>
  <c r="G138" i="11"/>
  <c r="M119" i="11"/>
  <c r="M139" i="11"/>
  <c r="M129" i="11"/>
  <c r="G132" i="11"/>
  <c r="G152" i="11"/>
  <c r="M155" i="11"/>
  <c r="G128" i="11"/>
  <c r="M135" i="11"/>
  <c r="M157" i="11"/>
  <c r="M113" i="11"/>
  <c r="M115" i="11"/>
  <c r="L120" i="11"/>
  <c r="M117" i="11"/>
  <c r="M149" i="11"/>
  <c r="J108" i="11"/>
  <c r="J107" i="11" s="1"/>
  <c r="H108" i="11"/>
  <c r="H107" i="11" s="1"/>
  <c r="K108" i="11"/>
  <c r="K107" i="11" s="1"/>
  <c r="I108" i="11"/>
  <c r="I107" i="11" s="1"/>
  <c r="L108" i="11"/>
  <c r="L107" i="11" s="1"/>
  <c r="G103" i="11"/>
  <c r="G85" i="11"/>
  <c r="G75" i="11"/>
  <c r="G79" i="11"/>
  <c r="G71" i="11"/>
  <c r="G89" i="11"/>
  <c r="M80" i="11"/>
  <c r="M98" i="11"/>
  <c r="M68" i="11"/>
  <c r="M66" i="11"/>
  <c r="M96" i="11"/>
  <c r="M60" i="11"/>
  <c r="M64" i="11"/>
  <c r="G63" i="11"/>
  <c r="M76" i="11"/>
  <c r="M104" i="11"/>
  <c r="M94" i="11"/>
  <c r="M90" i="11"/>
  <c r="M72" i="11"/>
  <c r="M100" i="11"/>
  <c r="M92" i="11"/>
  <c r="M86" i="11"/>
  <c r="M82" i="11"/>
  <c r="I169" i="11" l="1"/>
  <c r="I168" i="11" s="1"/>
  <c r="J169" i="11"/>
  <c r="J168" i="11" s="1"/>
  <c r="H169" i="11"/>
  <c r="H168" i="11" s="1"/>
  <c r="G169" i="11"/>
  <c r="G168" i="11" s="1"/>
  <c r="M165" i="11"/>
  <c r="M161" i="11"/>
  <c r="M163" i="11"/>
  <c r="M133" i="11"/>
  <c r="M143" i="11"/>
  <c r="M123" i="11"/>
  <c r="M141" i="11"/>
  <c r="M137" i="11"/>
  <c r="M153" i="11"/>
  <c r="L134" i="11"/>
  <c r="L169" i="11" s="1"/>
  <c r="L168" i="11" s="1"/>
  <c r="G10" i="11" s="1" a="1"/>
  <c r="G10" i="11" s="1"/>
  <c r="M151" i="11"/>
  <c r="G108" i="11"/>
  <c r="G107" i="11" s="1"/>
  <c r="G7" i="11" s="1" a="1"/>
  <c r="G7" i="11" s="1"/>
  <c r="E93" i="14" l="1" a="1"/>
  <c r="E93" i="14" s="1"/>
  <c r="E92" i="14" a="1"/>
  <c r="E92" i="14" s="1"/>
  <c r="E91" i="14" a="1"/>
  <c r="E91" i="14" s="1"/>
  <c r="E2" i="14" a="1"/>
  <c r="E2" i="14" s="1"/>
  <c r="E154" i="7" a="1"/>
  <c r="E154" i="7" s="1"/>
  <c r="E152" i="7" a="1"/>
  <c r="E152" i="7" s="1"/>
  <c r="E153" i="7" a="1"/>
  <c r="E153" i="7" s="1"/>
  <c r="H150" i="7"/>
  <c r="I150" i="7"/>
  <c r="J150" i="7"/>
  <c r="K150" i="7"/>
  <c r="L150" i="7"/>
  <c r="M150" i="7"/>
  <c r="N150" i="7"/>
  <c r="O150" i="7"/>
  <c r="P150" i="7"/>
  <c r="Q150" i="7"/>
  <c r="R150" i="7"/>
  <c r="S150" i="7"/>
  <c r="U150" i="7"/>
  <c r="CF75" i="7"/>
  <c r="CF74" i="7"/>
  <c r="CF31" i="7"/>
  <c r="CF32" i="7"/>
  <c r="CF33" i="7"/>
  <c r="CF22" i="7"/>
  <c r="CF20" i="7"/>
  <c r="CF17" i="7"/>
  <c r="CF14" i="7"/>
  <c r="CF11" i="7"/>
  <c r="CF8" i="7"/>
  <c r="E12" i="6"/>
  <c r="H18" i="6" s="1"/>
  <c r="E25" i="7"/>
  <c r="E24" i="7"/>
  <c r="E23" i="7"/>
  <c r="B12" i="3"/>
  <c r="H42" i="12"/>
  <c r="H37" i="12"/>
  <c r="H36" i="12"/>
  <c r="H35" i="12"/>
  <c r="H34" i="12"/>
  <c r="H33" i="12"/>
  <c r="H32" i="12"/>
  <c r="H31" i="12"/>
  <c r="H30" i="12"/>
  <c r="H29" i="12"/>
  <c r="M39" i="6"/>
  <c r="M12" i="11"/>
  <c r="F52" i="11"/>
  <c r="F51" i="11"/>
  <c r="F50" i="11"/>
  <c r="F43" i="11"/>
  <c r="F42" i="11"/>
  <c r="G23" i="11"/>
  <c r="G21" i="11"/>
  <c r="L11" i="11"/>
  <c r="K11" i="11"/>
  <c r="J11" i="11"/>
  <c r="I11" i="11"/>
  <c r="H11" i="11"/>
  <c r="G11" i="11"/>
  <c r="M8" i="11"/>
  <c r="K5" i="11"/>
  <c r="Z124" i="7" s="1"/>
  <c r="J5" i="11"/>
  <c r="Z112" i="7" s="1"/>
  <c r="I5" i="11"/>
  <c r="Z100" i="7" s="1"/>
  <c r="H5" i="11"/>
  <c r="Z88" i="7" s="1"/>
  <c r="G5" i="11"/>
  <c r="Z76" i="7" s="1"/>
  <c r="L9" i="11"/>
  <c r="K9" i="11"/>
  <c r="J9" i="11"/>
  <c r="I9" i="11"/>
  <c r="H9" i="11"/>
  <c r="G9" i="11"/>
  <c r="AB81" i="7" l="1"/>
  <c r="AA81" i="7"/>
  <c r="AB93" i="7"/>
  <c r="AA93" i="7"/>
  <c r="AA105" i="7"/>
  <c r="AB105" i="7"/>
  <c r="AA117" i="7"/>
  <c r="AB117" i="7"/>
  <c r="AB129" i="7"/>
  <c r="AA129" i="7"/>
  <c r="AA141" i="7"/>
  <c r="AB141" i="7"/>
  <c r="H28" i="6"/>
  <c r="H38" i="6" s="1"/>
  <c r="H19" i="6"/>
  <c r="H29" i="6" s="1"/>
  <c r="H39" i="6" s="1"/>
  <c r="X5" i="7" a="1"/>
  <c r="X5" i="7" s="1"/>
  <c r="CF23" i="7"/>
  <c r="H32" i="6"/>
  <c r="H42" i="6"/>
  <c r="X148" i="7" s="1"/>
  <c r="Z101" i="7"/>
  <c r="Z89" i="7"/>
  <c r="Z113" i="7"/>
  <c r="Z77" i="7"/>
  <c r="Z137" i="7"/>
  <c r="Z125" i="7"/>
  <c r="Z135" i="7"/>
  <c r="Z109" i="7"/>
  <c r="Z147" i="7"/>
  <c r="Z145" i="7"/>
  <c r="Z134" i="7"/>
  <c r="Z99" i="7"/>
  <c r="Z133" i="7"/>
  <c r="Z98" i="7"/>
  <c r="Z121" i="7"/>
  <c r="Z110" i="7"/>
  <c r="Z123" i="7"/>
  <c r="Z97" i="7"/>
  <c r="Z122" i="7"/>
  <c r="Z146" i="7"/>
  <c r="Z111" i="7"/>
  <c r="Z126" i="7"/>
  <c r="Z78" i="7"/>
  <c r="Z114" i="7"/>
  <c r="Z102" i="7"/>
  <c r="Z138" i="7"/>
  <c r="Z90" i="7"/>
  <c r="Z139" i="7"/>
  <c r="Z127" i="7"/>
  <c r="Z91" i="7"/>
  <c r="Z103" i="7"/>
  <c r="Z115" i="7"/>
  <c r="Z79" i="7"/>
  <c r="Z132" i="7"/>
  <c r="Z120" i="7"/>
  <c r="Z108" i="7"/>
  <c r="Z96" i="7"/>
  <c r="Z84" i="7"/>
  <c r="Z144" i="7"/>
  <c r="Z140" i="7"/>
  <c r="Z128" i="7"/>
  <c r="Z116" i="7"/>
  <c r="Z104" i="7"/>
  <c r="Z80" i="7"/>
  <c r="Z92" i="7"/>
  <c r="Z82" i="7"/>
  <c r="Z130" i="7"/>
  <c r="Z118" i="7"/>
  <c r="Z142" i="7"/>
  <c r="Z94" i="7"/>
  <c r="Z106" i="7"/>
  <c r="Z107" i="7"/>
  <c r="Z143" i="7"/>
  <c r="Z95" i="7"/>
  <c r="Z83" i="7"/>
  <c r="Z119" i="7"/>
  <c r="Z131" i="7"/>
  <c r="CF25" i="7"/>
  <c r="H22" i="12"/>
  <c r="L34" i="11"/>
  <c r="G24" i="11"/>
  <c r="G27" i="11" s="1"/>
  <c r="L32" i="11"/>
  <c r="E150" i="7"/>
  <c r="H22" i="6"/>
  <c r="M11" i="11"/>
  <c r="M9" i="11"/>
  <c r="L5" i="11"/>
  <c r="Z136" i="7" s="1"/>
  <c r="X140" i="7" l="1"/>
  <c r="X128" i="7"/>
  <c r="X116" i="7"/>
  <c r="X104" i="7"/>
  <c r="X92" i="7"/>
  <c r="X80" i="7"/>
  <c r="M32" i="11"/>
  <c r="L33" i="11" s="1"/>
  <c r="L37" i="11"/>
  <c r="L36" i="11"/>
  <c r="M34" i="11"/>
  <c r="L35" i="11" s="1"/>
  <c r="G28" i="11"/>
  <c r="G26" i="11"/>
  <c r="M5" i="11"/>
  <c r="Z5" i="7" l="1" a="1"/>
  <c r="Z5" i="7" s="1"/>
  <c r="I35" i="11"/>
  <c r="K35" i="11"/>
  <c r="G35" i="11"/>
  <c r="H35" i="11"/>
  <c r="G33" i="11"/>
  <c r="I33" i="11"/>
  <c r="K33" i="11"/>
  <c r="H33" i="11"/>
  <c r="G13" i="11" a="1"/>
  <c r="G29" i="11"/>
  <c r="M7" i="11"/>
  <c r="Z87" i="7" l="1"/>
  <c r="Z86" i="7"/>
  <c r="G13" i="11"/>
  <c r="Z85" i="7" s="1"/>
  <c r="M10" i="11"/>
  <c r="M15" i="11" l="1"/>
  <c r="M6" i="11"/>
  <c r="T150" i="7"/>
  <c r="V150" i="7"/>
  <c r="CF7" i="7"/>
  <c r="CF9" i="7"/>
  <c r="CF10" i="7"/>
  <c r="CF12" i="7"/>
  <c r="CF13" i="7"/>
  <c r="CF15" i="7"/>
  <c r="CF16" i="7"/>
  <c r="CF18" i="7"/>
  <c r="CF19" i="7"/>
  <c r="CF21" i="7"/>
  <c r="E2" i="7" a="1"/>
  <c r="E2" i="7" s="1"/>
  <c r="E1" i="7" a="1"/>
  <c r="E1" i="7" s="1"/>
  <c r="H42" i="3"/>
  <c r="H36" i="3"/>
  <c r="H35" i="3"/>
  <c r="H34" i="3"/>
  <c r="H33" i="3"/>
  <c r="Y92" i="7" s="1"/>
  <c r="H32" i="3"/>
  <c r="H31" i="3"/>
  <c r="Y80" i="7" l="1"/>
  <c r="Y104" i="7"/>
  <c r="Y116" i="7"/>
  <c r="Y128" i="7"/>
  <c r="Y140" i="7"/>
  <c r="Y84" i="7"/>
  <c r="Y132" i="7"/>
  <c r="Y144" i="7"/>
  <c r="Y96" i="7"/>
  <c r="Y108" i="7"/>
  <c r="Y120" i="7"/>
  <c r="Y119" i="7"/>
  <c r="Y95" i="7"/>
  <c r="Y107" i="7"/>
  <c r="Y143" i="7"/>
  <c r="Y83" i="7"/>
  <c r="Y131" i="7"/>
  <c r="Y113" i="7"/>
  <c r="Y89" i="7"/>
  <c r="Y125" i="7"/>
  <c r="Y77" i="7"/>
  <c r="Y101" i="7"/>
  <c r="Y137" i="7"/>
  <c r="Y142" i="7"/>
  <c r="Y106" i="7"/>
  <c r="Y130" i="7"/>
  <c r="Y118" i="7"/>
  <c r="Y94" i="7"/>
  <c r="Y82" i="7"/>
  <c r="Y90" i="7"/>
  <c r="Y78" i="7"/>
  <c r="Y102" i="7"/>
  <c r="Y114" i="7"/>
  <c r="Y126" i="7"/>
  <c r="Y138" i="7"/>
  <c r="Y127" i="7"/>
  <c r="Y79" i="7"/>
  <c r="Y139" i="7"/>
  <c r="Y103" i="7"/>
  <c r="Y115" i="7"/>
  <c r="Y91" i="7"/>
  <c r="CF4" i="7"/>
  <c r="CF24" i="7" l="1"/>
  <c r="P94" i="14" a="1"/>
  <c r="P94" i="14" s="1"/>
  <c r="Y76" i="7" l="1"/>
  <c r="Y100" i="7" l="1"/>
  <c r="Y88" i="7"/>
  <c r="Y112" i="7"/>
  <c r="Y124" i="7"/>
  <c r="Y136" i="7"/>
  <c r="BY155" i="7" l="1" a="1"/>
  <c r="BY155" i="7" s="1"/>
  <c r="AB104" i="7" l="1"/>
  <c r="AB92" i="7"/>
  <c r="AB80" i="7"/>
  <c r="AB140" i="7"/>
  <c r="AB128" i="7"/>
  <c r="AB116" i="7"/>
  <c r="B66" i="3" l="1"/>
  <c r="B68" i="3" s="1"/>
  <c r="H16" i="3" s="1"/>
  <c r="Y123" i="7" l="1"/>
  <c r="Y134" i="7"/>
  <c r="Y85" i="7"/>
  <c r="Y109" i="7"/>
  <c r="Y98" i="7"/>
  <c r="Y86" i="7"/>
  <c r="Y133" i="7"/>
  <c r="Y97" i="7"/>
  <c r="Y145" i="7"/>
  <c r="Y87" i="7"/>
  <c r="Y122" i="7"/>
  <c r="Y111" i="7"/>
  <c r="Y147" i="7"/>
  <c r="Y135" i="7"/>
  <c r="Y121" i="7"/>
  <c r="Y146" i="7"/>
  <c r="Y99" i="7"/>
  <c r="Y110" i="7"/>
  <c r="B57" i="3"/>
  <c r="H19" i="3" s="1"/>
  <c r="H15" i="14" l="1" a="1"/>
  <c r="H15" i="14" s="1"/>
  <c r="H20" i="3"/>
  <c r="G30" i="7" s="1"/>
  <c r="F29" i="7" l="1"/>
  <c r="Y5" i="7" a="1"/>
  <c r="CF30" i="7"/>
  <c r="G150" i="7"/>
  <c r="Y5" i="7" l="1"/>
  <c r="CF6" i="7"/>
  <c r="E7" i="14" a="1"/>
  <c r="CF29" i="7"/>
  <c r="F150" i="7"/>
  <c r="W299" i="7" l="1" a="1"/>
  <c r="W299" i="7" s="1"/>
  <c r="W155" i="7" a="1"/>
  <c r="W155" i="7" s="1"/>
  <c r="W227" i="7" a="1"/>
  <c r="W227" i="7" s="1"/>
  <c r="R10" i="14"/>
  <c r="R12" i="14"/>
  <c r="E7" i="14"/>
  <c r="R11" i="14"/>
  <c r="R9" i="14"/>
  <c r="R8" i="14"/>
  <c r="G89" i="14"/>
  <c r="R14" i="14"/>
  <c r="F89" i="14"/>
  <c r="R13" i="14"/>
  <c r="H4" i="14" a="1"/>
  <c r="CF5" i="7"/>
  <c r="E173" i="7" l="1" a="1"/>
  <c r="E173" i="7" s="1"/>
  <c r="CH4" i="7" a="1"/>
  <c r="CH4" i="7" s="1"/>
  <c r="H4" i="14"/>
  <c r="R4" i="14" s="1"/>
  <c r="R6" i="14"/>
  <c r="R5" i="14"/>
  <c r="E89" i="14"/>
  <c r="R7" i="14"/>
  <c r="H177" i="14" l="1" a="1"/>
  <c r="H177" i="14" s="1"/>
  <c r="H105" i="14" a="1"/>
  <c r="H105" i="14" s="1"/>
  <c r="H94" i="14" a="1"/>
  <c r="H94" i="14" s="1"/>
  <c r="T4" i="14" l="1" a="1"/>
  <c r="T4" i="14" s="1"/>
  <c r="E97" i="14" a="1"/>
  <c r="E97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tc={D67A24AF-41B3-4848-A7C7-E8973E42A2F3}</author>
    <author>tc={1C1556A6-C133-4C49-9562-09B5027A1AC2}</author>
    <author>tc={97C674E7-7690-4B6E-8A78-0A0BC2E0331E}</author>
    <author>tc={9D576A96-A078-4CF3-A1C2-FC01AF527BF2}</author>
  </authors>
  <commentList>
    <comment ref="C11" authorId="0" shapeId="0" xr:uid="{D67A24AF-41B3-4848-A7C7-E8973E42A2F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Maximum amount of H2 injection considered in the reference paper</t>
      </text>
    </comment>
    <comment ref="E11" authorId="1" shapeId="0" xr:uid="{1C1556A6-C133-4C49-9562-09B5027A1AC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Assumption</t>
      </text>
    </comment>
    <comment ref="C12" authorId="2" shapeId="0" xr:uid="{97C674E7-7690-4B6E-8A78-0A0BC2E0331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Reference paper</t>
      </text>
    </comment>
    <comment ref="C13" authorId="3" shapeId="0" xr:uid="{9D576A96-A078-4CF3-A1C2-FC01AF527BF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F. Muscolino et al., Introduction to direct reduction technology and outlook for its use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tc={FE502805-E039-4592-B002-A0D8F34B2C6E}</author>
    <author>tc={79C49A34-6C10-4BD7-B372-AB6177481D10}</author>
    <author>tc={0E1E7720-4C3B-48A9-B046-6B80F35EEFD4}</author>
    <author>tc={8B0590C0-9A10-4D17-882E-34F8029A8FB2}</author>
    <author>tc={84874CAE-E15A-4A63-B2BD-BF02B5D9214C}</author>
  </authors>
  <commentList>
    <comment ref="C12" authorId="0" shapeId="0" xr:uid="{FE502805-E039-4592-B002-A0D8F34B2C6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Assumption</t>
      </text>
    </comment>
    <comment ref="C13" authorId="1" shapeId="0" xr:uid="{79C49A34-6C10-4BD7-B372-AB6177481D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F. Muscolino et al., Introduction to direct reduction technology and outlook for its use</t>
      </text>
    </comment>
    <comment ref="F38" authorId="2" shapeId="0" xr:uid="{0E1E7720-4C3B-48A9-B046-6B80F35EEFD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Assumption</t>
      </text>
    </comment>
    <comment ref="C40" authorId="3" shapeId="0" xr:uid="{8B0590C0-9A10-4D17-882E-34F8029A8FB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F. Muscolino et al., Introduction to direct reduction technology and outlook for its use</t>
      </text>
    </comment>
    <comment ref="B65" authorId="4" shapeId="0" xr:uid="{84874CAE-E15A-4A63-B2BD-BF02B5D921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Assumption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tc={E531F90B-1565-4EDE-A325-C9DB8C7F2C54}</author>
    <author>tc={887AC8F1-D065-4932-A993-4847DC0E103D}</author>
    <author>tc={100A6550-FF1D-47CF-A7BB-CF5B3059EC11}</author>
    <author>tc={4FE3758C-5028-44EE-92B7-DA505D705E95}</author>
    <author>tc={01AF22BA-33D5-4893-AA5A-9F15EE32D77C}</author>
    <author>tc={EDD7C153-2809-4EF6-8604-B95A63275626}</author>
    <author>tc={6BEB4A96-84BF-4D16-9B2E-00E2246406EC}</author>
  </authors>
  <commentList>
    <comment ref="B11" authorId="0" shapeId="0" xr:uid="{E531F90B-1565-4EDE-A325-C9DB8C7F2C54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The input is directly hydrogen produced through steam reforming of natural gas and not natural gas. The consumption of carbon monoxide is thus disregarded. </t>
      </text>
    </comment>
    <comment ref="B25" authorId="1" shapeId="0" xr:uid="{887AC8F1-D065-4932-A993-4847DC0E103D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Assumption of 0% scrap </t>
      </text>
    </comment>
    <comment ref="C30" authorId="2" shapeId="0" xr:uid="{100A6550-FF1D-47CF-A7BB-CF5B3059EC1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DRI coming from the shaft furnace (assumption: quantity of scrap = quantity of DRI)</t>
      </text>
    </comment>
    <comment ref="H42" authorId="3" shapeId="0" xr:uid="{4FE3758C-5028-44EE-92B7-DA505D705E9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Not considered. In Exiobase the NG-DR technology only produces "Basic iron and steel"</t>
      </text>
    </comment>
    <comment ref="C43" authorId="4" shapeId="0" xr:uid="{01AF22BA-33D5-4893-AA5A-9F15EE32D77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Iron and Steel Technology Roadmap, IEA (p.39)</t>
      </text>
    </comment>
    <comment ref="B53" authorId="5" shapeId="0" xr:uid="{EDD7C153-2809-4EF6-8604-B95A6327562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Reference paper</t>
      </text>
    </comment>
    <comment ref="B62" authorId="6" shapeId="0" xr:uid="{6BEB4A96-84BF-4D16-9B2E-00E2246406E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Reference paper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tc={A1BE914C-0B45-4CB5-87EE-C6362B5A90E2}</author>
    <author>tc={4F32D4D5-616F-4992-B23F-91D3B7480775}</author>
    <author>tc={523FCD89-8C96-4AC4-A1A9-A351A0508A10}</author>
    <author>tc={6EC6CDC9-FF06-4C62-8440-1A32DF22E4B2}</author>
    <author>tc={419F2E47-6A23-4B01-9A57-326613B36AF7}</author>
  </authors>
  <commentList>
    <comment ref="B25" authorId="0" shapeId="0" xr:uid="{A1BE914C-0B45-4CB5-87EE-C6362B5A90E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Assumption of 0% scrap</t>
      </text>
    </comment>
    <comment ref="C30" authorId="1" shapeId="0" xr:uid="{4F32D4D5-616F-4992-B23F-91D3B748077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DRI coming from the shaft furnace</t>
      </text>
    </comment>
    <comment ref="H42" authorId="2" shapeId="0" xr:uid="{523FCD89-8C96-4AC4-A1A9-A351A0508A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Not considered. In Exiobase the 100% H2-DR technology only produces "Basic iron and steel".</t>
      </text>
    </comment>
    <comment ref="C43" authorId="3" shapeId="0" xr:uid="{6EC6CDC9-FF06-4C62-8440-1A32DF22E4B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Iron and Steel Technology Roadmap, IEA (p.39)</t>
      </text>
    </comment>
    <comment ref="B53" authorId="4" shapeId="0" xr:uid="{419F2E47-6A23-4B01-9A57-326613B36AF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Reference paper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tc={017472C6-4DD3-4F98-B2E8-790214B60B84}</author>
    <author>tc={7D15BF01-734A-4990-9818-C596F8B2F950}</author>
    <author>tc={37BC5919-9236-4019-A36A-1C2CD7DC3738}</author>
    <author>tc={1C9046B1-C846-409F-AEF4-99048318B230}</author>
    <author>tc={71483CDE-9A23-480F-9A66-4898E2373A5F}</author>
    <author>tc={A0508A7D-3A92-4E8C-A20F-3A2C947ADD4D}</author>
    <author>tc={1B0AD830-078E-441D-BE1D-CD64992DAB01}</author>
    <author>tc={CBE9EC0C-F18B-4EC2-BC69-69912A6FF5ED}</author>
    <author>tc={4863A609-7FA0-48CC-B458-92D3D285A1EF}</author>
    <author>tc={DCFF4FDC-4583-4AC2-8133-886FE29EAC17}</author>
    <author>tc={2491AC30-E9EB-4BE2-B405-917C0CBF1EE5}</author>
    <author>tc={DDD20BC6-DF7F-4A1C-A3D0-D130CDD7FB9D}</author>
  </authors>
  <commentList>
    <comment ref="D5" authorId="0" shapeId="0" xr:uid="{017472C6-4DD3-4F98-B2E8-790214B60B84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  </t>
      </text>
    </comment>
    <comment ref="K5" authorId="1" shapeId="0" xr:uid="{7D15BF01-734A-4990-9818-C596F8B2F95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+ Ukraine and others CIS (not disaggregated) </t>
      </text>
    </comment>
    <comment ref="D6" authorId="2" shapeId="0" xr:uid="{37BC5919-9236-4019-A36A-1C2CD7DC3738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https://worldsteel.org/wp-content/uploads/World-Steel-in-Figures-2023-4.pdf   </t>
      </text>
    </comment>
    <comment ref="D7" authorId="3" shapeId="0" xr:uid="{1C9046B1-C846-409F-AEF4-99048318B23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https://oec.world/en/profile/hs/carbon-and-graphite-furnace-electrodes#trade </t>
      </text>
    </comment>
    <comment ref="D8" authorId="4" shapeId="0" xr:uid="{71483CDE-9A23-480F-9A66-4898E2373A5F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https://wits.worldbank.org/trade/comtrade/en/country/All/year/2022/tradeflow/Imports/partner/CAN/product/252100  </t>
      </text>
    </comment>
    <comment ref="D9" authorId="5" shapeId="0" xr:uid="{A0508A7D-3A92-4E8C-A20F-3A2C947ADD4D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Coal production (ourworldindata.org) </t>
      </text>
    </comment>
    <comment ref="D10" authorId="6" shapeId="0" xr:uid="{1B0AD830-078E-441D-BE1D-CD64992DAB01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https://oec.world/en/profile/hs/refractory-cements#exporters-importers </t>
      </text>
    </comment>
    <comment ref="D11" authorId="7" shapeId="0" xr:uid="{CBE9EC0C-F18B-4EC2-BC69-69912A6FF5ED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Gas production (ourworldindata.org) </t>
      </text>
    </comment>
    <comment ref="D12" authorId="8" shapeId="0" xr:uid="{4863A609-7FA0-48CC-B458-92D3D285A1E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https://wits.worldbank.org/trade/comtrade/en/country/ALL/year/2022/tradeflow/Imports/partner/WLD/product/280440</t>
      </text>
    </comment>
    <comment ref="D13" authorId="9" shapeId="0" xr:uid="{DCFF4FDC-4583-4AC2-8133-886FE29EAC17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Electricity production by source, European Union (27) (ourworldindata.org) </t>
      </text>
    </comment>
    <comment ref="D14" authorId="10" shapeId="0" xr:uid="{2491AC30-E9EB-4BE2-B405-917C0CBF1EE5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Electricity production by source, European Union (27) (ourworldindata.org) </t>
      </text>
    </comment>
    <comment ref="D15" authorId="11" shapeId="0" xr:uid="{DDD20BC6-DF7F-4A1C-A3D0-D130CDD7FB9D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Electricity production by source, European Union (27) (ourworldindata.org)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<sst xmlns="http://schemas.openxmlformats.org/spreadsheetml/2006/main" count="2881" uniqueCount="333">
  <si>
    <t>LCI of crude steel produced through BF-BOF with H2 injection</t>
  </si>
  <si>
    <t>Reference paper: J. Tang et al., "Mathematical simulation and LCA of BF operation with H2 injection" [p.2; 11]</t>
  </si>
  <si>
    <t>General information</t>
  </si>
  <si>
    <t>goal</t>
  </si>
  <si>
    <t>quantifying inputs and emissions changes in steel produced through BF-BOF with H2 injection with respect to simple BF-BOF</t>
  </si>
  <si>
    <t>functional unit</t>
  </si>
  <si>
    <t>production of 1 ton of steel</t>
  </si>
  <si>
    <t>space scope</t>
  </si>
  <si>
    <t>the paper refers to a study conducted in China</t>
  </si>
  <si>
    <t>reference year</t>
  </si>
  <si>
    <t>Data collection</t>
  </si>
  <si>
    <t>H2 injection [m3/ton_HM]</t>
  </si>
  <si>
    <t>% hydrogen from steam reforming</t>
  </si>
  <si>
    <t>density H2 [kg/m3]</t>
  </si>
  <si>
    <t>Replacement ratio at 900 °C [kg_coke/kg_H2]</t>
  </si>
  <si>
    <t>% hydrogen from electrolysis</t>
  </si>
  <si>
    <t>[ton_steel/ton_HM]</t>
  </si>
  <si>
    <t>Variation of inputs in coefficient form per unit of steel</t>
  </si>
  <si>
    <t>LC phase</t>
  </si>
  <si>
    <r>
      <t xml:space="preserve">item - </t>
    </r>
    <r>
      <rPr>
        <b/>
        <sz val="11"/>
        <color theme="1"/>
        <rFont val="Calibri"/>
        <family val="2"/>
      </rPr>
      <t>∆</t>
    </r>
    <r>
      <rPr>
        <b/>
        <sz val="11"/>
        <color theme="1"/>
        <rFont val="Calibri"/>
        <family val="2"/>
        <scheme val="minor"/>
      </rPr>
      <t>input</t>
    </r>
  </si>
  <si>
    <t>associated EXIOBASE</t>
  </si>
  <si>
    <t xml:space="preserve">unit </t>
  </si>
  <si>
    <r>
      <rPr>
        <b/>
        <sz val="11"/>
        <color theme="1"/>
        <rFont val="Calibri"/>
        <family val="2"/>
      </rPr>
      <t>∆</t>
    </r>
    <r>
      <rPr>
        <b/>
        <sz val="11"/>
        <color theme="1"/>
        <rFont val="Calibri"/>
        <family val="2"/>
        <scheme val="minor"/>
      </rPr>
      <t xml:space="preserve">value </t>
    </r>
  </si>
  <si>
    <t>X matrix - base case (splitted sectors)</t>
  </si>
  <si>
    <t>production</t>
  </si>
  <si>
    <t>steam reforming H2</t>
  </si>
  <si>
    <t>steam reforming hydrogen [new commodity]</t>
  </si>
  <si>
    <t>kgH2/ton_steel</t>
  </si>
  <si>
    <t>Region</t>
  </si>
  <si>
    <t>EU27</t>
  </si>
  <si>
    <t>electrolysis H2</t>
  </si>
  <si>
    <t>electrolysis hydrogen [new commodity]</t>
  </si>
  <si>
    <t>Level</t>
  </si>
  <si>
    <t>Activity</t>
  </si>
  <si>
    <t>coke</t>
  </si>
  <si>
    <t>coke oven coke [p23.1.a]</t>
  </si>
  <si>
    <t>ton/ton_steel</t>
  </si>
  <si>
    <t xml:space="preserve">Item </t>
  </si>
  <si>
    <t xml:space="preserve">Manufacture of basic iron and steel </t>
  </si>
  <si>
    <t>item - output</t>
  </si>
  <si>
    <t xml:space="preserve">value </t>
  </si>
  <si>
    <t>[ton_steel]</t>
  </si>
  <si>
    <t>steel</t>
  </si>
  <si>
    <t>basic iron and steel and of ferro-alloys [p27.a]</t>
  </si>
  <si>
    <t>ton_steel</t>
  </si>
  <si>
    <t>CO2</t>
  </si>
  <si>
    <t>%</t>
  </si>
  <si>
    <t>z matrix - base case (splitted sectors)</t>
  </si>
  <si>
    <t>Update of input values in total form</t>
  </si>
  <si>
    <t>Commodity</t>
  </si>
  <si>
    <t>item - input</t>
  </si>
  <si>
    <t>value</t>
  </si>
  <si>
    <t>Coke Oven Coke</t>
  </si>
  <si>
    <t>kgH2</t>
  </si>
  <si>
    <t xml:space="preserve">from EU27 </t>
  </si>
  <si>
    <t>from China</t>
  </si>
  <si>
    <t>ton</t>
  </si>
  <si>
    <t xml:space="preserve">from USA </t>
  </si>
  <si>
    <t>from India</t>
  </si>
  <si>
    <t xml:space="preserve">from Russia </t>
  </si>
  <si>
    <t xml:space="preserve">from RoW </t>
  </si>
  <si>
    <t>Update of input values in coefficient form per unit of activity (ton_steel)</t>
  </si>
  <si>
    <t>CO2 emissions BF [kg/ton_HM]</t>
  </si>
  <si>
    <t>No H2 injection</t>
  </si>
  <si>
    <t>120 H2 injection</t>
  </si>
  <si>
    <t xml:space="preserve">∆value </t>
  </si>
  <si>
    <t>∆value %</t>
  </si>
  <si>
    <t xml:space="preserve">CO2 from MARIO: </t>
  </si>
  <si>
    <t>baseline</t>
  </si>
  <si>
    <t>H2 injection to BF</t>
  </si>
  <si>
    <t>LCI of crude steel produced through BF-BOF with charcoal injection</t>
  </si>
  <si>
    <t>Reference paper: Cristobal Feliciano-Bruzual, "Charcoal injection in blast furnaces (Bio-PCI): CO2 reduction potential and economic prospects"</t>
  </si>
  <si>
    <t>quantifying inputs and emissions changes in steel produced through BF-BOF with charcoal injection with respect to simple BF-BOF</t>
  </si>
  <si>
    <t>Brazil, China, India, Russia, USA</t>
  </si>
  <si>
    <t>charcoal injection [kg/ton_HM]</t>
  </si>
  <si>
    <t>Replacement ratio [ton_coke/ton_charcoal]</t>
  </si>
  <si>
    <t>Charcoal rate [kg/ton_HM]</t>
  </si>
  <si>
    <t>∆CO2 [%]</t>
  </si>
  <si>
    <t>AM Eisenhuttenstadt</t>
  </si>
  <si>
    <t>Baosteel BF3</t>
  </si>
  <si>
    <t>Nippon Steel Oita</t>
  </si>
  <si>
    <t>POSCO</t>
  </si>
  <si>
    <t>Tata Steel Jamshedpur BF H</t>
  </si>
  <si>
    <t>charcoal</t>
  </si>
  <si>
    <t>charcoal [p24.e]</t>
  </si>
  <si>
    <t>Gerdau Acominas BF 2</t>
  </si>
  <si>
    <t>Severstal Dearborn BF C</t>
  </si>
  <si>
    <t>Alchevsk Iron &amp; Steel BF 1</t>
  </si>
  <si>
    <t xml:space="preserve">CO2 </t>
  </si>
  <si>
    <t>from RoW</t>
  </si>
  <si>
    <t>LCI of crude steel produced through BF-BOF with charcoal injection and CCUS</t>
  </si>
  <si>
    <t>% CCUS</t>
  </si>
  <si>
    <t xml:space="preserve">from India </t>
  </si>
  <si>
    <t>LCI of crude steel produced through BF-BOF with CCUS</t>
  </si>
  <si>
    <r>
      <t xml:space="preserve">item - </t>
    </r>
    <r>
      <rPr>
        <b/>
        <sz val="11"/>
        <color theme="1"/>
        <rFont val="Calibri"/>
        <family val="2"/>
      </rPr>
      <t>output</t>
    </r>
  </si>
  <si>
    <t>Reference papers: T. Hay, "A Review of Mathematical Process Models for the Electric Arc Furnace Process" [p.2-3]; J. Suer et al., "Carbon Footprint Assessment of Hydrogen and Steel" [p.11]</t>
  </si>
  <si>
    <t>quantifying inputs and emissions embodied in DRI produced through a MIDREX shaft furnace</t>
  </si>
  <si>
    <t>LC phase - Shaft furnace</t>
  </si>
  <si>
    <t>DRI production</t>
  </si>
  <si>
    <t>iron pellets ore</t>
  </si>
  <si>
    <t>iron ores [p13.1]</t>
  </si>
  <si>
    <t>electricity from fossil fuels</t>
  </si>
  <si>
    <t>electricity by coal [p40.11.a], by gas [p40.11.b], by petroleum [p40.11.f]</t>
  </si>
  <si>
    <t>TJ</t>
  </si>
  <si>
    <t>electricity from nuclear</t>
  </si>
  <si>
    <t>electricity by nuclear [p40.11.c]</t>
  </si>
  <si>
    <t>electricity from renewables</t>
  </si>
  <si>
    <t>electricity by hydro [p40.11.d], by wind [p40.11.e], by biomass [p40.11.g], by solar PV [p40.11.h], by solar thermal [p40.11.i], by tide [p40.11.j], by geothermal [p40.11.l], nec [p40.11l]</t>
  </si>
  <si>
    <t>direct reduced iron</t>
  </si>
  <si>
    <t>% of scrap:</t>
  </si>
  <si>
    <t>LC phase - EAF</t>
  </si>
  <si>
    <t>Crude steel production</t>
  </si>
  <si>
    <t>scrap/alloys</t>
  </si>
  <si>
    <t>secondary steel for treatment [p27.a.w]</t>
  </si>
  <si>
    <t>electrode</t>
  </si>
  <si>
    <t>electrical machinery and apparatus n.e.c. [p31]</t>
  </si>
  <si>
    <t>lime/dolomite</t>
  </si>
  <si>
    <t>cement, lime and plaster [p26.d]</t>
  </si>
  <si>
    <t>carbon</t>
  </si>
  <si>
    <t>refractory</t>
  </si>
  <si>
    <t>ceramic goods [p26.b]</t>
  </si>
  <si>
    <t>natural gas</t>
  </si>
  <si>
    <t>natural gas and services related [p11.b]</t>
  </si>
  <si>
    <t>oxygen</t>
  </si>
  <si>
    <t>chemicals nec [p24.d]</t>
  </si>
  <si>
    <t>slag</t>
  </si>
  <si>
    <t>CO2 emissions</t>
  </si>
  <si>
    <r>
      <rPr>
        <i/>
        <u/>
        <sz val="11"/>
        <color theme="1"/>
        <rFont val="Calibri"/>
        <family val="2"/>
        <scheme val="minor"/>
      </rPr>
      <t>Note</t>
    </r>
    <r>
      <rPr>
        <i/>
        <sz val="11"/>
        <color theme="1"/>
        <rFont val="Calibri"/>
        <family val="2"/>
        <scheme val="minor"/>
      </rPr>
      <t>: with the introduction of DRI in EAF the electrical demand and the oxygen input change, with a variation that depends on the % of scrap and DRI. To simplify the problem, here they are considered constant even if the ratio DRI/scrap changes.</t>
    </r>
  </si>
  <si>
    <t>To see how these parameters change with the variation of DRI input: M. Kirschen et al., "Influence of direct reduced iron on the energy balance of the EAF in steel industry"</t>
  </si>
  <si>
    <t>Hydrogen requirements for NG-DRI process</t>
  </si>
  <si>
    <t>H2 per unit of natural gas (from H2_NGSR)</t>
  </si>
  <si>
    <t>kgH2/tonNG</t>
  </si>
  <si>
    <t>NG requirements in MJ</t>
  </si>
  <si>
    <t>MJ/kg_steel</t>
  </si>
  <si>
    <t>HHV NG</t>
  </si>
  <si>
    <t>MJ/kgNG</t>
  </si>
  <si>
    <t>NG requirements in ton</t>
  </si>
  <si>
    <t>tonNG/ton_steel</t>
  </si>
  <si>
    <t>H2 requirements</t>
  </si>
  <si>
    <t>Electricity requirements for NG-DRI process</t>
  </si>
  <si>
    <t xml:space="preserve">TOT electricity requirements </t>
  </si>
  <si>
    <t>MJ_el/kg_steel</t>
  </si>
  <si>
    <t>MJ_el/day</t>
  </si>
  <si>
    <t>TOT el requirements per unit of NG</t>
  </si>
  <si>
    <t>MJ_el/MJ_NG</t>
  </si>
  <si>
    <t>NGSR el requirements per unit of NG</t>
  </si>
  <si>
    <t>SF el requirements per unit of NG</t>
  </si>
  <si>
    <t>SF el requirements</t>
  </si>
  <si>
    <t>TJ_el/ton_steel</t>
  </si>
  <si>
    <t>Reference papers: T. Hay, "A Review of Mathematical Process Models for the Electric Arc Furnace Process" [p.2-3]; J. Suer et al., "Carbon Footprint Assessment of Hydrogen and Steel" [p.13]</t>
  </si>
  <si>
    <t>Hydrogen requirements for 100%H2-DRI process</t>
  </si>
  <si>
    <t>H2 per unit of electricity (from H2_ELE)</t>
  </si>
  <si>
    <t>MJ/kgH2</t>
  </si>
  <si>
    <t>El requirements in MJ</t>
  </si>
  <si>
    <t>% of secondary steel in EU27 in 2022 (EUROFER 2023)</t>
  </si>
  <si>
    <t>% of primary steel in EU27 in 2022 (EUROFER 2023)</t>
  </si>
  <si>
    <t>Region: EU27</t>
  </si>
  <si>
    <t>Baseline production</t>
  </si>
  <si>
    <t>MARIO</t>
  </si>
  <si>
    <r>
      <t>reference</t>
    </r>
    <r>
      <rPr>
        <sz val="11"/>
        <color rgb="FFF06A6A"/>
        <rFont val="Calibri"/>
        <family val="2"/>
        <scheme val="minor"/>
      </rPr>
      <t>*</t>
    </r>
  </si>
  <si>
    <t>[-]</t>
  </si>
  <si>
    <t>[tonCO2/ton_steel]</t>
  </si>
  <si>
    <t>Steel production with H2 inj to BF</t>
  </si>
  <si>
    <t>elH2 from 100% renewable electricity</t>
  </si>
  <si>
    <t>elH2 from 100% nuclear electricity</t>
  </si>
  <si>
    <t>elH2 from 2022 electricity mix</t>
  </si>
  <si>
    <t>Steel production through NG-DR</t>
  </si>
  <si>
    <t>Steel production through 100%H2-DR</t>
  </si>
  <si>
    <t>Steel production with charcoal inj to BF</t>
  </si>
  <si>
    <t>Steel production with charcoal inj to BF + CCUS 80%</t>
  </si>
  <si>
    <t>Steel production with BF-BOF + CCUS 80%</t>
  </si>
  <si>
    <t>Manufacture of basic iron and steel and of ferro-alloys and first products thereof</t>
  </si>
  <si>
    <t>Re-processing of secondary steel into new steel with "Manufacture of basic iron"</t>
  </si>
  <si>
    <t>*reference values from "European Parliament, Carbon-free steel production" [p.10]</t>
  </si>
  <si>
    <t>Fixed capital by technology</t>
  </si>
  <si>
    <r>
      <t xml:space="preserve">Operating surplus: Consumption of fixed capital in </t>
    </r>
    <r>
      <rPr>
        <b/>
        <i/>
        <sz val="11"/>
        <color theme="1"/>
        <rFont val="Calibri"/>
        <family val="2"/>
        <scheme val="minor"/>
      </rPr>
      <t>V</t>
    </r>
  </si>
  <si>
    <t>Technology</t>
  </si>
  <si>
    <t>Value [M€]</t>
  </si>
  <si>
    <r>
      <rPr>
        <sz val="11"/>
        <color theme="1"/>
        <rFont val="Calibri"/>
        <family val="2"/>
      </rPr>
      <t>∆</t>
    </r>
    <r>
      <rPr>
        <sz val="9.4499999999999993"/>
        <color theme="1"/>
        <rFont val="Calibri"/>
        <family val="2"/>
      </rPr>
      <t>%</t>
    </r>
  </si>
  <si>
    <t>multiplier</t>
  </si>
  <si>
    <t>-</t>
  </si>
  <si>
    <t>from Exiobase</t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</si>
  <si>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CCUS</t>
    </r>
  </si>
  <si>
    <t>M€</t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</si>
  <si>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Char inj</t>
    </r>
  </si>
  <si>
    <t>NG-DR</t>
  </si>
  <si>
    <t>excluding H2 production</t>
  </si>
  <si>
    <t>H2-DR</t>
  </si>
  <si>
    <t>H2 inj</t>
  </si>
  <si>
    <t>Time span: 1 year</t>
  </si>
  <si>
    <t>c/a code</t>
  </si>
  <si>
    <t>Final demand</t>
  </si>
  <si>
    <t>region</t>
  </si>
  <si>
    <t>check</t>
  </si>
  <si>
    <t>commodity/activity</t>
  </si>
  <si>
    <t>unit</t>
  </si>
  <si>
    <t>basic iron and steel and of ferro-alloys</t>
  </si>
  <si>
    <t>ST</t>
  </si>
  <si>
    <t>steam reforming hydrogen</t>
  </si>
  <si>
    <t>SR_H2</t>
  </si>
  <si>
    <t>electrolysis hydrogen</t>
  </si>
  <si>
    <t>ELE_H2</t>
  </si>
  <si>
    <t>steel production with H2 injection in BF</t>
  </si>
  <si>
    <t>H2BF_ST</t>
  </si>
  <si>
    <t>steel production through NG-DR route</t>
  </si>
  <si>
    <t>NG_ST</t>
  </si>
  <si>
    <t>steel production through 100%H2-DR route</t>
  </si>
  <si>
    <t>H2_ST</t>
  </si>
  <si>
    <t>steel production with charcoal inj in BF</t>
  </si>
  <si>
    <t>CH_ST</t>
  </si>
  <si>
    <t>steel production with charcoal inj in BF + CCUS</t>
  </si>
  <si>
    <t>CH_CC_ST</t>
  </si>
  <si>
    <t>steel production with BF-BOF + CCUS</t>
  </si>
  <si>
    <t>CC_ST</t>
  </si>
  <si>
    <t>hydrogen production with steam reforming</t>
  </si>
  <si>
    <t>SR_H2_P</t>
  </si>
  <si>
    <t>hydrogen production with electrolysis</t>
  </si>
  <si>
    <t>ELE_H2_P</t>
  </si>
  <si>
    <t>iron ores</t>
  </si>
  <si>
    <t>I</t>
  </si>
  <si>
    <t xml:space="preserve">secondary steel for treatment </t>
  </si>
  <si>
    <t>S_ST</t>
  </si>
  <si>
    <t>electrical machinery and apparatus n.e.c.</t>
  </si>
  <si>
    <t>EM</t>
  </si>
  <si>
    <t>cement, lime and plaster</t>
  </si>
  <si>
    <t>CLP</t>
  </si>
  <si>
    <t>coke oven coke</t>
  </si>
  <si>
    <t>COC</t>
  </si>
  <si>
    <t>CH</t>
  </si>
  <si>
    <t>ceramic goods</t>
  </si>
  <si>
    <t>CG</t>
  </si>
  <si>
    <t>natural gas and services related</t>
  </si>
  <si>
    <t>NG</t>
  </si>
  <si>
    <t>chemicals nec</t>
  </si>
  <si>
    <t>El-FF</t>
  </si>
  <si>
    <t>El-NU</t>
  </si>
  <si>
    <t>El-RES</t>
  </si>
  <si>
    <t>China</t>
  </si>
  <si>
    <t>USA</t>
  </si>
  <si>
    <t>India</t>
  </si>
  <si>
    <t>Russia</t>
  </si>
  <si>
    <t>RoW</t>
  </si>
  <si>
    <t>manufacture of basic iron and steel</t>
  </si>
  <si>
    <t>M_ST</t>
  </si>
  <si>
    <t>hydrogen porduction with steam reforming</t>
  </si>
  <si>
    <t>item</t>
  </si>
  <si>
    <t>source and year</t>
  </si>
  <si>
    <t>type</t>
  </si>
  <si>
    <t>tot</t>
  </si>
  <si>
    <t xml:space="preserve">iron (Fe, ore) </t>
  </si>
  <si>
    <t>World Steel Association 2021</t>
  </si>
  <si>
    <t>production (iron ore)</t>
  </si>
  <si>
    <t>∆</t>
  </si>
  <si>
    <t xml:space="preserve">iron scrap </t>
  </si>
  <si>
    <t>World Steel Association 2022</t>
  </si>
  <si>
    <t>assumption based on net exports</t>
  </si>
  <si>
    <t>#</t>
  </si>
  <si>
    <t>Observatory for Economic Complexity 2021</t>
  </si>
  <si>
    <t>imports (furnace electrodes)</t>
  </si>
  <si>
    <t xml:space="preserve">limestone (in ground) </t>
  </si>
  <si>
    <t>World Integrated Trade Solution 2022</t>
  </si>
  <si>
    <t>imports (limestone flux)</t>
  </si>
  <si>
    <t>carbon/charcoal</t>
  </si>
  <si>
    <t>Our World In Data 2022</t>
  </si>
  <si>
    <t>production (coal)</t>
  </si>
  <si>
    <t>***</t>
  </si>
  <si>
    <t>imports (refractory cements)</t>
  </si>
  <si>
    <t xml:space="preserve">natural gas (in ground) </t>
  </si>
  <si>
    <t>Our World In Data 2023</t>
  </si>
  <si>
    <t>production (gas)</t>
  </si>
  <si>
    <t>◊</t>
  </si>
  <si>
    <t>production (electricity)</t>
  </si>
  <si>
    <t>Breakdown electricity</t>
  </si>
  <si>
    <t>total electricity by source</t>
  </si>
  <si>
    <r>
      <rPr>
        <sz val="11"/>
        <color theme="1"/>
        <rFont val="Calibri"/>
        <family val="2"/>
      </rPr>
      <t xml:space="preserve">  of which </t>
    </r>
    <r>
      <rPr>
        <sz val="11"/>
        <color theme="1"/>
        <rFont val="Calibri"/>
        <family val="2"/>
        <scheme val="minor"/>
      </rPr>
      <t>fossil fuels</t>
    </r>
  </si>
  <si>
    <t>electricity prod by source</t>
  </si>
  <si>
    <t>TWh</t>
  </si>
  <si>
    <t xml:space="preserve">  of which nuclear</t>
  </si>
  <si>
    <t xml:space="preserve">  of which renewables</t>
  </si>
  <si>
    <t>Breakdown iron scrap</t>
  </si>
  <si>
    <t>Exports</t>
  </si>
  <si>
    <t>Mton</t>
  </si>
  <si>
    <t>no data</t>
  </si>
  <si>
    <t>Imports</t>
  </si>
  <si>
    <t>Net exports</t>
  </si>
  <si>
    <t>Net imports</t>
  </si>
  <si>
    <r>
      <t xml:space="preserve">EU27 is a net exporter </t>
    </r>
    <r>
      <rPr>
        <b/>
        <sz val="11"/>
        <color theme="9" tint="0.39997558519241921"/>
        <rFont val="Calibri"/>
        <family val="2"/>
      </rPr>
      <t>→ A</t>
    </r>
    <r>
      <rPr>
        <b/>
        <sz val="11"/>
        <color theme="9" tint="0.39997558519241921"/>
        <rFont val="Calibri"/>
        <family val="2"/>
        <scheme val="minor"/>
      </rPr>
      <t>ssumption: 100% of iron scrap comes from EU27</t>
    </r>
  </si>
  <si>
    <t>Other Europe</t>
  </si>
  <si>
    <t>North America except USA</t>
  </si>
  <si>
    <t>South America</t>
  </si>
  <si>
    <t>Africa</t>
  </si>
  <si>
    <t>Middle East</t>
  </si>
  <si>
    <t>Asia except China</t>
  </si>
  <si>
    <t>Ukraine+CIS</t>
  </si>
  <si>
    <t>Oceania</t>
  </si>
  <si>
    <t>Breakdown electrode</t>
  </si>
  <si>
    <t>Iceland</t>
  </si>
  <si>
    <t>M$</t>
  </si>
  <si>
    <t>Italy</t>
  </si>
  <si>
    <t>Germany</t>
  </si>
  <si>
    <t>Spain</t>
  </si>
  <si>
    <t>France</t>
  </si>
  <si>
    <t>Luxembourg</t>
  </si>
  <si>
    <t>Netherlands</t>
  </si>
  <si>
    <t>Sweden</t>
  </si>
  <si>
    <t>Poland</t>
  </si>
  <si>
    <t>Greece</t>
  </si>
  <si>
    <t>Slovenia</t>
  </si>
  <si>
    <t>Finland</t>
  </si>
  <si>
    <t>Portugal</t>
  </si>
  <si>
    <t>Belgium</t>
  </si>
  <si>
    <t>Lithuania</t>
  </si>
  <si>
    <t>Czechia</t>
  </si>
  <si>
    <t>Romania</t>
  </si>
  <si>
    <t>Austria</t>
  </si>
  <si>
    <t>Bulgaria</t>
  </si>
  <si>
    <t>Slovakia</t>
  </si>
  <si>
    <t>Hungary</t>
  </si>
  <si>
    <t>Croatia</t>
  </si>
  <si>
    <t>Estonia</t>
  </si>
  <si>
    <t>Tot EU27</t>
  </si>
  <si>
    <t>Breakdown refractory</t>
  </si>
  <si>
    <t>Denmark</t>
  </si>
  <si>
    <t>Ireland</t>
  </si>
  <si>
    <t>Latvia</t>
  </si>
  <si>
    <t>Malta</t>
  </si>
  <si>
    <t>Plant (from reference paper)</t>
  </si>
  <si>
    <t>tot [ton_coke/ton_steel]</t>
  </si>
  <si>
    <t>LCI of DRI produced through NG-DR</t>
  </si>
  <si>
    <t>kg_Fe/ton_steel</t>
  </si>
  <si>
    <t>NGSR electricity requirements (from H2_NGSR)</t>
  </si>
  <si>
    <t>LCI of DRI produced through 100% H2-DR</t>
  </si>
  <si>
    <t>CO2 footprint of steel (from Exiobase/MARIO)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</si>
</sst>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00"/>
    <numFmt numFmtId="165" formatCode="0;\-;\-;@"/>
    <numFmt numFmtId="166" formatCode="0.00;\-;\-;@"/>
    <numFmt numFmtId="167" formatCode="0.0000;\-;\-;@"/>
    <numFmt numFmtId="168" formatCode="#,##0_ ;\-#,##0\ "/>
    <numFmt numFmtId="169" formatCode="0.0000_ ;\-0.0000\ "/>
    <numFmt numFmtId="170" formatCode="0.000;\-;\-;@"/>
    <numFmt numFmtId="171" formatCode="0.0%"/>
    <numFmt numFmtId="172" formatCode="#,##0.0"/>
    <numFmt numFmtId="173" formatCode="0.000"/>
    <numFmt numFmtId="174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i/>
      <sz val="11"/>
      <color rgb="FFDC66D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9" tint="0.39997558519241921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rgb="FFF06A6A"/>
      <name val="Calibri"/>
      <family val="2"/>
      <scheme val="minor"/>
    </font>
    <font>
      <sz val="11"/>
      <color rgb="FFF06A6A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4499999999999993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06A6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9DCD"/>
        <bgColor indexed="64"/>
      </patternFill>
    </fill>
    <fill>
      <patternFill patternType="solid">
        <fgColor rgb="FFECACD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EC168"/>
        <bgColor indexed="64"/>
      </patternFill>
    </fill>
    <fill>
      <patternFill patternType="solid">
        <fgColor theme="8" tint="0.3999755851924192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9" tint="0.59999389629810485"/>
      </right>
      <top/>
      <bottom/>
      <diagonal/>
    </border>
    <border>
      <left style="medium">
        <color theme="9" tint="0.59999389629810485"/>
      </left>
      <right/>
      <top/>
      <bottom style="medium">
        <color theme="9" tint="0.59999389629810485"/>
      </bottom>
      <diagonal/>
    </border>
    <border>
      <left/>
      <right/>
      <top/>
      <bottom style="medium">
        <color theme="9" tint="0.59999389629810485"/>
      </bottom>
      <diagonal/>
    </border>
    <border>
      <left/>
      <right style="medium">
        <color theme="9" tint="0.59999389629810485"/>
      </right>
      <top style="medium">
        <color theme="9" tint="0.59999389629810485"/>
      </top>
      <bottom/>
      <diagonal/>
    </border>
    <border>
      <left/>
      <right style="medium">
        <color theme="9" tint="0.59999389629810485"/>
      </right>
      <top/>
      <bottom style="medium">
        <color theme="9" tint="0.59999389629810485"/>
      </bottom>
      <diagonal/>
    </border>
    <border>
      <left style="medium">
        <color theme="9" tint="0.59999389629810485"/>
      </left>
      <right/>
      <top style="medium">
        <color theme="9" tint="0.59999389629810485"/>
      </top>
      <bottom/>
      <diagonal/>
    </border>
    <border>
      <left/>
      <right/>
      <top style="medium">
        <color theme="9" tint="0.59999389629810485"/>
      </top>
      <bottom/>
      <diagonal/>
    </border>
    <border>
      <left style="medium">
        <color theme="9" tint="0.59999389629810485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9" fontId="2" fillId="0" borderId="0" xfId="1" applyFont="1" applyFill="1"/>
    <xf numFmtId="3" fontId="2" fillId="0" borderId="0" xfId="0" applyNumberFormat="1" applyFont="1" applyAlignment="1">
      <alignment horizontal="right"/>
    </xf>
    <xf numFmtId="9" fontId="2" fillId="3" borderId="0" xfId="1" applyFont="1" applyFill="1"/>
    <xf numFmtId="0" fontId="2" fillId="3" borderId="0" xfId="0" applyFont="1" applyFill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165" fontId="0" fillId="2" borderId="5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left"/>
    </xf>
    <xf numFmtId="11" fontId="0" fillId="0" borderId="0" xfId="0" applyNumberFormat="1" applyAlignment="1">
      <alignment horizontal="center"/>
    </xf>
    <xf numFmtId="165" fontId="0" fillId="5" borderId="5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165" fontId="0" fillId="5" borderId="9" xfId="0" applyNumberFormat="1" applyFill="1" applyBorder="1" applyAlignment="1">
      <alignment horizontal="center"/>
    </xf>
    <xf numFmtId="165" fontId="0" fillId="5" borderId="10" xfId="0" applyNumberFormat="1" applyFill="1" applyBorder="1" applyAlignment="1">
      <alignment horizontal="center"/>
    </xf>
    <xf numFmtId="165" fontId="0" fillId="5" borderId="12" xfId="0" applyNumberFormat="1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5" borderId="14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0" fillId="7" borderId="5" xfId="0" applyNumberForma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165" fontId="0" fillId="8" borderId="5" xfId="0" applyNumberFormat="1" applyFill="1" applyBorder="1" applyAlignment="1">
      <alignment horizontal="center"/>
    </xf>
    <xf numFmtId="165" fontId="0" fillId="8" borderId="9" xfId="0" applyNumberFormat="1" applyFill="1" applyBorder="1" applyAlignment="1">
      <alignment horizontal="center"/>
    </xf>
    <xf numFmtId="165" fontId="0" fillId="8" borderId="10" xfId="0" applyNumberFormat="1" applyFill="1" applyBorder="1" applyAlignment="1">
      <alignment horizontal="center"/>
    </xf>
    <xf numFmtId="166" fontId="0" fillId="0" borderId="0" xfId="0" applyNumberFormat="1"/>
    <xf numFmtId="169" fontId="0" fillId="0" borderId="0" xfId="0" applyNumberFormat="1"/>
    <xf numFmtId="165" fontId="0" fillId="9" borderId="16" xfId="0" applyNumberFormat="1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65" fontId="0" fillId="9" borderId="9" xfId="0" applyNumberFormat="1" applyFill="1" applyBorder="1" applyAlignment="1">
      <alignment horizontal="center"/>
    </xf>
    <xf numFmtId="165" fontId="0" fillId="9" borderId="10" xfId="0" applyNumberFormat="1" applyFill="1" applyBorder="1" applyAlignment="1">
      <alignment horizontal="center"/>
    </xf>
    <xf numFmtId="165" fontId="0" fillId="10" borderId="5" xfId="0" applyNumberFormat="1" applyFill="1" applyBorder="1" applyAlignment="1">
      <alignment horizontal="center"/>
    </xf>
    <xf numFmtId="165" fontId="0" fillId="10" borderId="9" xfId="0" applyNumberFormat="1" applyFill="1" applyBorder="1" applyAlignment="1">
      <alignment horizontal="center"/>
    </xf>
    <xf numFmtId="11" fontId="0" fillId="10" borderId="9" xfId="0" applyNumberFormat="1" applyFill="1" applyBorder="1" applyAlignment="1">
      <alignment horizontal="center"/>
    </xf>
    <xf numFmtId="165" fontId="0" fillId="10" borderId="10" xfId="0" applyNumberFormat="1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0" fillId="5" borderId="16" xfId="0" applyNumberFormat="1" applyFill="1" applyBorder="1" applyAlignment="1">
      <alignment horizontal="center"/>
    </xf>
    <xf numFmtId="165" fontId="0" fillId="5" borderId="17" xfId="0" applyNumberFormat="1" applyFill="1" applyBorder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8" borderId="0" xfId="0" applyNumberFormat="1" applyFill="1" applyAlignment="1">
      <alignment horizontal="center"/>
    </xf>
    <xf numFmtId="11" fontId="0" fillId="10" borderId="0" xfId="0" applyNumberFormat="1" applyFill="1" applyAlignment="1">
      <alignment horizontal="center"/>
    </xf>
    <xf numFmtId="165" fontId="0" fillId="10" borderId="0" xfId="0" applyNumberForma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165" fontId="0" fillId="12" borderId="6" xfId="0" applyNumberFormat="1" applyFill="1" applyBorder="1" applyAlignment="1">
      <alignment horizontal="center"/>
    </xf>
    <xf numFmtId="165" fontId="0" fillId="12" borderId="13" xfId="0" applyNumberFormat="1" applyFill="1" applyBorder="1" applyAlignment="1">
      <alignment horizontal="center"/>
    </xf>
    <xf numFmtId="165" fontId="0" fillId="12" borderId="9" xfId="0" applyNumberForma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15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166" fontId="0" fillId="5" borderId="0" xfId="0" applyNumberFormat="1" applyFill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5" fontId="0" fillId="6" borderId="11" xfId="0" applyNumberFormat="1" applyFill="1" applyBorder="1" applyAlignment="1">
      <alignment horizontal="center"/>
    </xf>
    <xf numFmtId="165" fontId="0" fillId="10" borderId="11" xfId="0" applyNumberFormat="1" applyFill="1" applyBorder="1" applyAlignment="1">
      <alignment horizontal="center"/>
    </xf>
    <xf numFmtId="165" fontId="0" fillId="12" borderId="5" xfId="0" applyNumberFormat="1" applyFill="1" applyBorder="1" applyAlignment="1">
      <alignment horizontal="center"/>
    </xf>
    <xf numFmtId="165" fontId="0" fillId="12" borderId="10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5" fontId="0" fillId="12" borderId="0" xfId="0" applyNumberFormat="1" applyFill="1" applyAlignment="1">
      <alignment horizontal="center"/>
    </xf>
    <xf numFmtId="166" fontId="0" fillId="12" borderId="5" xfId="0" applyNumberFormat="1" applyFill="1" applyBorder="1" applyAlignment="1">
      <alignment horizontal="center"/>
    </xf>
    <xf numFmtId="166" fontId="0" fillId="5" borderId="5" xfId="0" applyNumberFormat="1" applyFill="1" applyBorder="1" applyAlignment="1">
      <alignment horizontal="center"/>
    </xf>
    <xf numFmtId="165" fontId="0" fillId="9" borderId="0" xfId="0" applyNumberFormat="1" applyFill="1" applyAlignment="1">
      <alignment horizontal="center"/>
    </xf>
    <xf numFmtId="166" fontId="0" fillId="8" borderId="9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6" fontId="0" fillId="9" borderId="0" xfId="0" applyNumberFormat="1" applyFill="1" applyAlignment="1">
      <alignment horizontal="center"/>
    </xf>
    <xf numFmtId="166" fontId="0" fillId="9" borderId="5" xfId="0" applyNumberFormat="1" applyFill="1" applyBorder="1" applyAlignment="1">
      <alignment horizontal="center"/>
    </xf>
    <xf numFmtId="166" fontId="0" fillId="9" borderId="9" xfId="0" applyNumberFormat="1" applyFill="1" applyBorder="1" applyAlignment="1">
      <alignment horizontal="center"/>
    </xf>
    <xf numFmtId="165" fontId="0" fillId="9" borderId="17" xfId="0" applyNumberFormat="1" applyFill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  <xf numFmtId="165" fontId="0" fillId="9" borderId="14" xfId="0" applyNumberFormat="1" applyFill="1" applyBorder="1" applyAlignment="1">
      <alignment horizontal="center"/>
    </xf>
    <xf numFmtId="166" fontId="0" fillId="5" borderId="4" xfId="0" applyNumberFormat="1" applyFill="1" applyBorder="1" applyAlignment="1">
      <alignment horizontal="center"/>
    </xf>
    <xf numFmtId="166" fontId="0" fillId="9" borderId="4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0" fontId="0" fillId="0" borderId="17" xfId="0" applyBorder="1"/>
    <xf numFmtId="166" fontId="0" fillId="9" borderId="2" xfId="0" applyNumberFormat="1" applyFill="1" applyBorder="1" applyAlignment="1">
      <alignment horizontal="center"/>
    </xf>
    <xf numFmtId="0" fontId="0" fillId="0" borderId="14" xfId="0" applyBorder="1"/>
    <xf numFmtId="165" fontId="0" fillId="0" borderId="21" xfId="0" applyNumberFormat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right"/>
    </xf>
    <xf numFmtId="0" fontId="12" fillId="0" borderId="0" xfId="2"/>
    <xf numFmtId="0" fontId="11" fillId="0" borderId="0" xfId="0" applyFont="1"/>
    <xf numFmtId="3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16" borderId="1" xfId="0" applyFill="1" applyBorder="1" applyAlignment="1">
      <alignment vertical="center"/>
    </xf>
    <xf numFmtId="0" fontId="0" fillId="16" borderId="1" xfId="0" applyFill="1" applyBorder="1"/>
    <xf numFmtId="0" fontId="0" fillId="1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/>
    </xf>
    <xf numFmtId="0" fontId="0" fillId="16" borderId="1" xfId="0" applyFill="1" applyBorder="1" applyAlignment="1">
      <alignment horizontal="center" vertical="center"/>
    </xf>
    <xf numFmtId="11" fontId="0" fillId="6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0" xfId="0" applyFill="1" applyAlignment="1">
      <alignment horizontal="left" vertical="center"/>
    </xf>
    <xf numFmtId="9" fontId="0" fillId="13" borderId="0" xfId="1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5" borderId="1" xfId="0" applyFill="1" applyBorder="1"/>
    <xf numFmtId="0" fontId="0" fillId="15" borderId="1" xfId="0" applyFill="1" applyBorder="1" applyAlignment="1">
      <alignment horizontal="left"/>
    </xf>
    <xf numFmtId="9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0" fillId="5" borderId="0" xfId="0" applyFill="1" applyAlignment="1">
      <alignment horizontal="left"/>
    </xf>
    <xf numFmtId="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14" borderId="0" xfId="0" applyFill="1"/>
    <xf numFmtId="0" fontId="0" fillId="14" borderId="0" xfId="0" applyFill="1" applyAlignment="1">
      <alignment horizontal="left"/>
    </xf>
    <xf numFmtId="9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2" xfId="0" applyFill="1" applyBorder="1"/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/>
    </xf>
    <xf numFmtId="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11" fillId="4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17" borderId="0" xfId="0" applyFill="1" applyAlignment="1">
      <alignment horizontal="right"/>
    </xf>
    <xf numFmtId="0" fontId="0" fillId="17" borderId="0" xfId="0" applyFill="1" applyAlignment="1">
      <alignment horizontal="left"/>
    </xf>
    <xf numFmtId="0" fontId="0" fillId="17" borderId="0" xfId="0" applyFill="1" applyAlignment="1">
      <alignment horizontal="left" vertical="center"/>
    </xf>
    <xf numFmtId="9" fontId="0" fillId="17" borderId="0" xfId="1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/>
    <xf numFmtId="11" fontId="0" fillId="6" borderId="9" xfId="0" applyNumberFormat="1" applyFill="1" applyBorder="1" applyAlignment="1">
      <alignment horizontal="center"/>
    </xf>
    <xf numFmtId="11" fontId="0" fillId="7" borderId="0" xfId="0" applyNumberFormat="1" applyFill="1" applyAlignment="1">
      <alignment horizontal="center"/>
    </xf>
    <xf numFmtId="11" fontId="0" fillId="11" borderId="0" xfId="0" applyNumberFormat="1" applyFill="1" applyAlignment="1">
      <alignment horizontal="center"/>
    </xf>
    <xf numFmtId="166" fontId="0" fillId="0" borderId="7" xfId="0" applyNumberFormat="1" applyBorder="1" applyAlignment="1">
      <alignment horizontal="center"/>
    </xf>
    <xf numFmtId="11" fontId="2" fillId="0" borderId="0" xfId="0" applyNumberFormat="1" applyFont="1"/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2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9" fontId="0" fillId="0" borderId="0" xfId="1" applyFont="1" applyBorder="1" applyAlignment="1">
      <alignment horizontal="center"/>
    </xf>
    <xf numFmtId="0" fontId="8" fillId="0" borderId="0" xfId="0" applyFont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13" fillId="0" borderId="0" xfId="0" applyFont="1"/>
    <xf numFmtId="1" fontId="0" fillId="0" borderId="1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5" xfId="0" applyFont="1" applyBorder="1"/>
    <xf numFmtId="9" fontId="0" fillId="0" borderId="26" xfId="1" applyFont="1" applyBorder="1"/>
    <xf numFmtId="0" fontId="2" fillId="0" borderId="27" xfId="0" applyFont="1" applyBorder="1"/>
    <xf numFmtId="0" fontId="2" fillId="0" borderId="28" xfId="0" applyFont="1" applyBorder="1"/>
    <xf numFmtId="0" fontId="0" fillId="0" borderId="29" xfId="0" applyBorder="1"/>
    <xf numFmtId="2" fontId="0" fillId="0" borderId="26" xfId="1" applyNumberFormat="1" applyFont="1" applyBorder="1"/>
    <xf numFmtId="2" fontId="0" fillId="0" borderId="22" xfId="0" applyNumberFormat="1" applyBorder="1"/>
    <xf numFmtId="2" fontId="0" fillId="16" borderId="1" xfId="0" applyNumberFormat="1" applyFill="1" applyBorder="1" applyAlignment="1">
      <alignment horizontal="center"/>
    </xf>
    <xf numFmtId="2" fontId="0" fillId="16" borderId="2" xfId="0" applyNumberFormat="1" applyFill="1" applyBorder="1" applyAlignment="1">
      <alignment horizontal="center"/>
    </xf>
    <xf numFmtId="9" fontId="0" fillId="16" borderId="2" xfId="1" applyFont="1" applyFill="1" applyBorder="1" applyAlignment="1">
      <alignment horizontal="center"/>
    </xf>
    <xf numFmtId="2" fontId="14" fillId="0" borderId="2" xfId="0" applyNumberFormat="1" applyFont="1" applyBorder="1"/>
    <xf numFmtId="11" fontId="15" fillId="0" borderId="0" xfId="0" applyNumberFormat="1" applyFont="1" applyAlignment="1">
      <alignment horizontal="right"/>
    </xf>
    <xf numFmtId="3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9" fontId="2" fillId="0" borderId="0" xfId="1" applyFont="1" applyFill="1" applyAlignment="1">
      <alignment vertical="top"/>
    </xf>
    <xf numFmtId="9" fontId="0" fillId="0" borderId="0" xfId="1" applyFont="1" applyAlignment="1">
      <alignment horizontal="center"/>
    </xf>
    <xf numFmtId="9" fontId="0" fillId="0" borderId="4" xfId="1" applyFont="1" applyBorder="1" applyAlignment="1">
      <alignment horizontal="center"/>
    </xf>
    <xf numFmtId="0" fontId="0" fillId="8" borderId="2" xfId="0" applyFill="1" applyBorder="1" applyAlignment="1">
      <alignment horizontal="right"/>
    </xf>
    <xf numFmtId="11" fontId="0" fillId="0" borderId="8" xfId="0" applyNumberFormat="1" applyBorder="1" applyAlignment="1">
      <alignment horizontal="center"/>
    </xf>
    <xf numFmtId="11" fontId="0" fillId="5" borderId="0" xfId="0" applyNumberFormat="1" applyFill="1" applyAlignment="1">
      <alignment horizontal="center"/>
    </xf>
    <xf numFmtId="11" fontId="0" fillId="5" borderId="10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166" fontId="0" fillId="9" borderId="1" xfId="0" applyNumberFormat="1" applyFill="1" applyBorder="1" applyAlignment="1">
      <alignment horizontal="center"/>
    </xf>
    <xf numFmtId="1" fontId="0" fillId="9" borderId="0" xfId="0" applyNumberFormat="1" applyFill="1" applyAlignment="1">
      <alignment horizontal="center"/>
    </xf>
    <xf numFmtId="1" fontId="0" fillId="9" borderId="10" xfId="0" applyNumberFormat="1" applyFill="1" applyBorder="1" applyAlignment="1">
      <alignment horizontal="center"/>
    </xf>
    <xf numFmtId="0" fontId="6" fillId="0" borderId="0" xfId="0" applyFont="1" applyAlignment="1">
      <alignment horizontal="left"/>
    </xf>
    <xf numFmtId="166" fontId="0" fillId="12" borderId="0" xfId="0" applyNumberFormat="1" applyFill="1" applyAlignment="1">
      <alignment horizontal="center"/>
    </xf>
    <xf numFmtId="11" fontId="0" fillId="0" borderId="31" xfId="0" applyNumberFormat="1" applyBorder="1" applyAlignment="1">
      <alignment horizontal="center"/>
    </xf>
    <xf numFmtId="11" fontId="0" fillId="5" borderId="14" xfId="0" applyNumberFormat="1" applyFill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1" fontId="0" fillId="9" borderId="14" xfId="0" applyNumberFormat="1" applyFill="1" applyBorder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/>
    </xf>
    <xf numFmtId="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2" fillId="0" borderId="4" xfId="0" applyFont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12" borderId="2" xfId="0" applyNumberFormat="1" applyFill="1" applyBorder="1" applyAlignment="1">
      <alignment horizontal="center"/>
    </xf>
    <xf numFmtId="165" fontId="0" fillId="0" borderId="2" xfId="0" applyNumberFormat="1" applyBorder="1"/>
    <xf numFmtId="165" fontId="0" fillId="0" borderId="14" xfId="0" applyNumberFormat="1" applyBorder="1"/>
    <xf numFmtId="165" fontId="0" fillId="8" borderId="2" xfId="0" applyNumberFormat="1" applyFill="1" applyBorder="1" applyAlignment="1">
      <alignment horizontal="center"/>
    </xf>
    <xf numFmtId="11" fontId="0" fillId="0" borderId="30" xfId="0" applyNumberFormat="1" applyBorder="1" applyAlignment="1">
      <alignment horizontal="center"/>
    </xf>
    <xf numFmtId="9" fontId="0" fillId="8" borderId="0" xfId="1" applyFont="1" applyFill="1" applyBorder="1" applyAlignment="1">
      <alignment horizontal="center"/>
    </xf>
    <xf numFmtId="9" fontId="0" fillId="8" borderId="4" xfId="1" applyFont="1" applyFill="1" applyBorder="1" applyAlignment="1">
      <alignment horizontal="center"/>
    </xf>
    <xf numFmtId="9" fontId="0" fillId="8" borderId="2" xfId="1" applyFont="1" applyFill="1" applyBorder="1" applyAlignment="1">
      <alignment horizontal="center"/>
    </xf>
    <xf numFmtId="9" fontId="0" fillId="8" borderId="14" xfId="1" applyFont="1" applyFill="1" applyBorder="1" applyAlignment="1">
      <alignment horizontal="center"/>
    </xf>
    <xf numFmtId="9" fontId="0" fillId="5" borderId="4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171" fontId="0" fillId="0" borderId="4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4" xfId="1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9" fontId="2" fillId="0" borderId="0" xfId="1" applyFont="1" applyBorder="1" applyAlignment="1">
      <alignment horizontal="center"/>
    </xf>
    <xf numFmtId="9" fontId="2" fillId="0" borderId="4" xfId="1" applyFont="1" applyBorder="1" applyAlignment="1">
      <alignment horizontal="center"/>
    </xf>
    <xf numFmtId="9" fontId="0" fillId="4" borderId="4" xfId="0" applyNumberFormat="1" applyFill="1" applyBorder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4" xfId="1" applyFont="1" applyFill="1" applyBorder="1" applyAlignment="1">
      <alignment horizontal="center"/>
    </xf>
    <xf numFmtId="1" fontId="0" fillId="0" borderId="0" xfId="1" applyNumberFormat="1" applyFont="1" applyFill="1" applyAlignment="1">
      <alignment horizontal="center"/>
    </xf>
    <xf numFmtId="1" fontId="0" fillId="0" borderId="4" xfId="1" applyNumberFormat="1" applyFont="1" applyFill="1" applyBorder="1" applyAlignment="1">
      <alignment horizontal="center"/>
    </xf>
    <xf numFmtId="171" fontId="0" fillId="0" borderId="4" xfId="1" applyNumberFormat="1" applyFont="1" applyFill="1" applyBorder="1" applyAlignment="1">
      <alignment horizontal="center"/>
    </xf>
    <xf numFmtId="171" fontId="0" fillId="0" borderId="0" xfId="0" applyNumberFormat="1" applyAlignment="1">
      <alignment horizontal="center"/>
    </xf>
    <xf numFmtId="10" fontId="0" fillId="0" borderId="4" xfId="1" applyNumberFormat="1" applyFont="1" applyFill="1" applyBorder="1" applyAlignment="1">
      <alignment horizontal="center"/>
    </xf>
    <xf numFmtId="171" fontId="0" fillId="0" borderId="0" xfId="1" applyNumberFormat="1" applyFont="1" applyFill="1" applyAlignment="1">
      <alignment horizontal="center"/>
    </xf>
    <xf numFmtId="9" fontId="0" fillId="6" borderId="0" xfId="1" applyFont="1" applyFill="1" applyBorder="1" applyAlignment="1">
      <alignment horizontal="center"/>
    </xf>
    <xf numFmtId="9" fontId="0" fillId="6" borderId="4" xfId="1" applyFont="1" applyFill="1" applyBorder="1" applyAlignment="1">
      <alignment horizontal="center"/>
    </xf>
    <xf numFmtId="9" fontId="0" fillId="14" borderId="0" xfId="1" applyFont="1" applyFill="1" applyBorder="1" applyAlignment="1">
      <alignment horizontal="center"/>
    </xf>
    <xf numFmtId="9" fontId="0" fillId="14" borderId="4" xfId="1" applyFont="1" applyFill="1" applyBorder="1" applyAlignment="1">
      <alignment horizontal="center"/>
    </xf>
    <xf numFmtId="9" fontId="0" fillId="13" borderId="4" xfId="1" applyFont="1" applyFill="1" applyBorder="1" applyAlignment="1">
      <alignment horizontal="center"/>
    </xf>
    <xf numFmtId="9" fontId="0" fillId="17" borderId="4" xfId="1" applyFont="1" applyFill="1" applyBorder="1" applyAlignment="1">
      <alignment horizontal="center"/>
    </xf>
    <xf numFmtId="9" fontId="0" fillId="15" borderId="1" xfId="1" applyFont="1" applyFill="1" applyBorder="1" applyAlignment="1">
      <alignment horizontal="center"/>
    </xf>
    <xf numFmtId="9" fontId="0" fillId="15" borderId="17" xfId="0" applyNumberFormat="1" applyFill="1" applyBorder="1" applyAlignment="1">
      <alignment horizontal="center"/>
    </xf>
    <xf numFmtId="9" fontId="0" fillId="9" borderId="0" xfId="1" applyFont="1" applyFill="1" applyBorder="1" applyAlignment="1">
      <alignment horizontal="center"/>
    </xf>
    <xf numFmtId="9" fontId="0" fillId="9" borderId="4" xfId="1" applyFont="1" applyFill="1" applyBorder="1" applyAlignment="1">
      <alignment horizontal="center"/>
    </xf>
    <xf numFmtId="165" fontId="0" fillId="8" borderId="14" xfId="0" applyNumberFormat="1" applyFill="1" applyBorder="1" applyAlignment="1">
      <alignment horizontal="center"/>
    </xf>
    <xf numFmtId="9" fontId="0" fillId="0" borderId="0" xfId="1" applyFont="1"/>
    <xf numFmtId="172" fontId="0" fillId="0" borderId="1" xfId="0" applyNumberFormat="1" applyBorder="1" applyAlignment="1">
      <alignment horizontal="center"/>
    </xf>
    <xf numFmtId="173" fontId="0" fillId="0" borderId="0" xfId="0" applyNumberFormat="1" applyAlignment="1">
      <alignment horizontal="center"/>
    </xf>
    <xf numFmtId="2" fontId="18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/>
    </xf>
    <xf numFmtId="3" fontId="0" fillId="16" borderId="1" xfId="0" applyNumberFormat="1" applyFill="1" applyBorder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4" fontId="0" fillId="6" borderId="0" xfId="0" applyNumberFormat="1" applyFill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4" fontId="0" fillId="6" borderId="1" xfId="0" applyNumberFormat="1" applyFill="1" applyBorder="1" applyAlignment="1">
      <alignment horizontal="center"/>
    </xf>
    <xf numFmtId="172" fontId="0" fillId="0" borderId="0" xfId="0" applyNumberFormat="1" applyAlignment="1">
      <alignment horizontal="center"/>
    </xf>
    <xf numFmtId="2" fontId="0" fillId="8" borderId="2" xfId="0" applyNumberFormat="1" applyFill="1" applyBorder="1" applyAlignment="1">
      <alignment horizontal="center"/>
    </xf>
    <xf numFmtId="0" fontId="18" fillId="0" borderId="0" xfId="0" applyFont="1"/>
    <xf numFmtId="11" fontId="18" fillId="0" borderId="0" xfId="0" applyNumberFormat="1" applyFont="1" applyAlignment="1">
      <alignment horizontal="center"/>
    </xf>
    <xf numFmtId="11" fontId="14" fillId="0" borderId="0" xfId="0" applyNumberFormat="1" applyFont="1"/>
    <xf numFmtId="11" fontId="15" fillId="0" borderId="2" xfId="0" applyNumberFormat="1" applyFont="1" applyBorder="1"/>
    <xf numFmtId="2" fontId="0" fillId="16" borderId="0" xfId="0" applyNumberFormat="1" applyFill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8" borderId="3" xfId="0" applyFill="1" applyBorder="1"/>
    <xf numFmtId="0" fontId="0" fillId="8" borderId="3" xfId="0" applyFill="1" applyBorder="1" applyAlignment="1">
      <alignment horizontal="center" vertical="center" wrapText="1"/>
    </xf>
    <xf numFmtId="0" fontId="19" fillId="0" borderId="0" xfId="0" applyFont="1"/>
    <xf numFmtId="1" fontId="0" fillId="0" borderId="2" xfId="0" applyNumberFormat="1" applyBorder="1" applyAlignment="1">
      <alignment horizontal="center"/>
    </xf>
    <xf numFmtId="0" fontId="0" fillId="12" borderId="0" xfId="0" applyFill="1"/>
    <xf numFmtId="0" fontId="0" fillId="18" borderId="0" xfId="0" applyFill="1"/>
    <xf numFmtId="0" fontId="2" fillId="0" borderId="0" xfId="0" applyFont="1" applyAlignment="1">
      <alignment horizontal="center" vertical="center" wrapText="1"/>
    </xf>
    <xf numFmtId="11" fontId="15" fillId="0" borderId="0" xfId="0" applyNumberFormat="1" applyFont="1"/>
    <xf numFmtId="1" fontId="2" fillId="3" borderId="0" xfId="0" applyNumberFormat="1" applyFont="1" applyFill="1" applyAlignment="1">
      <alignment horizontal="left"/>
    </xf>
    <xf numFmtId="171" fontId="0" fillId="0" borderId="2" xfId="1" applyNumberFormat="1" applyFont="1" applyBorder="1" applyAlignment="1">
      <alignment horizontal="center"/>
    </xf>
    <xf numFmtId="2" fontId="14" fillId="0" borderId="0" xfId="0" applyNumberFormat="1" applyFont="1"/>
    <xf numFmtId="1" fontId="2" fillId="0" borderId="0" xfId="0" applyNumberFormat="1" applyFont="1" applyAlignment="1">
      <alignment horizontal="left"/>
    </xf>
    <xf numFmtId="9" fontId="2" fillId="19" borderId="0" xfId="1" applyFont="1" applyFill="1"/>
    <xf numFmtId="9" fontId="2" fillId="19" borderId="0" xfId="1" applyFont="1" applyFill="1" applyAlignment="1">
      <alignment horizontal="center"/>
    </xf>
    <xf numFmtId="2" fontId="2" fillId="0" borderId="0" xfId="1" applyNumberFormat="1" applyFont="1" applyFill="1" applyAlignment="1">
      <alignment vertical="top"/>
    </xf>
    <xf numFmtId="171" fontId="0" fillId="0" borderId="1" xfId="1" applyNumberFormat="1" applyFont="1" applyBorder="1" applyAlignment="1">
      <alignment horizontal="center"/>
    </xf>
    <xf numFmtId="171" fontId="0" fillId="0" borderId="0" xfId="1" applyNumberFormat="1" applyFont="1" applyBorder="1" applyAlignment="1">
      <alignment horizontal="center"/>
    </xf>
    <xf numFmtId="4" fontId="0" fillId="16" borderId="1" xfId="0" applyNumberFormat="1" applyFill="1" applyBorder="1" applyAlignment="1">
      <alignment horizontal="center"/>
    </xf>
    <xf numFmtId="4" fontId="0" fillId="16" borderId="0" xfId="0" applyNumberFormat="1" applyFill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165" fontId="0" fillId="0" borderId="32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9" fontId="21" fillId="7" borderId="0" xfId="0" applyNumberFormat="1" applyFont="1" applyFill="1" applyAlignment="1">
      <alignment horizontal="center"/>
    </xf>
    <xf numFmtId="9" fontId="21" fillId="7" borderId="0" xfId="1" applyFont="1" applyFill="1" applyAlignment="1">
      <alignment horizontal="center"/>
    </xf>
    <xf numFmtId="9" fontId="22" fillId="11" borderId="0" xfId="1" applyFont="1" applyFill="1" applyAlignment="1">
      <alignment horizontal="center"/>
    </xf>
    <xf numFmtId="2" fontId="0" fillId="0" borderId="0" xfId="1" applyNumberFormat="1" applyFont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8" borderId="9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165" fontId="0" fillId="6" borderId="4" xfId="0" applyNumberFormat="1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65" fontId="0" fillId="7" borderId="4" xfId="0" applyNumberFormat="1" applyFill="1" applyBorder="1" applyAlignment="1">
      <alignment horizontal="center"/>
    </xf>
    <xf numFmtId="165" fontId="0" fillId="10" borderId="4" xfId="0" applyNumberFormat="1" applyFill="1" applyBorder="1" applyAlignment="1">
      <alignment horizontal="center"/>
    </xf>
    <xf numFmtId="165" fontId="0" fillId="10" borderId="12" xfId="0" applyNumberFormat="1" applyFill="1" applyBorder="1" applyAlignment="1">
      <alignment horizontal="center"/>
    </xf>
    <xf numFmtId="165" fontId="0" fillId="11" borderId="4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8" borderId="3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2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174" fontId="0" fillId="12" borderId="0" xfId="0" applyNumberFormat="1" applyFill="1" applyAlignment="1">
      <alignment horizontal="center"/>
    </xf>
    <xf numFmtId="174" fontId="0" fillId="6" borderId="1" xfId="0" applyNumberFormat="1" applyFill="1" applyBorder="1" applyAlignment="1">
      <alignment horizontal="center"/>
    </xf>
    <xf numFmtId="0" fontId="23" fillId="0" borderId="0" xfId="0" applyFont="1"/>
    <xf numFmtId="4" fontId="2" fillId="0" borderId="0" xfId="0" applyNumberFormat="1" applyFont="1"/>
    <xf numFmtId="0" fontId="0" fillId="20" borderId="3" xfId="0" applyFill="1" applyBorder="1"/>
    <xf numFmtId="0" fontId="0" fillId="20" borderId="3" xfId="0" applyFill="1" applyBorder="1" applyAlignment="1">
      <alignment horizontal="center"/>
    </xf>
    <xf numFmtId="1" fontId="0" fillId="16" borderId="1" xfId="0" applyNumberFormat="1" applyFill="1" applyBorder="1" applyAlignment="1">
      <alignment horizontal="center"/>
    </xf>
    <xf numFmtId="0" fontId="0" fillId="16" borderId="0" xfId="0" applyFill="1"/>
    <xf numFmtId="0" fontId="0" fillId="16" borderId="2" xfId="0" applyFill="1" applyBorder="1"/>
    <xf numFmtId="1" fontId="0" fillId="16" borderId="2" xfId="0" applyNumberFormat="1" applyFill="1" applyBorder="1" applyAlignment="1">
      <alignment horizontal="center"/>
    </xf>
    <xf numFmtId="0" fontId="11" fillId="20" borderId="3" xfId="0" applyFont="1" applyFill="1" applyBorder="1" applyAlignment="1">
      <alignment horizontal="center"/>
    </xf>
    <xf numFmtId="1" fontId="0" fillId="16" borderId="1" xfId="0" quotePrefix="1" applyNumberFormat="1" applyFill="1" applyBorder="1" applyAlignment="1">
      <alignment horizontal="center"/>
    </xf>
    <xf numFmtId="1" fontId="0" fillId="16" borderId="2" xfId="0" quotePrefix="1" applyNumberFormat="1" applyFill="1" applyBorder="1" applyAlignment="1">
      <alignment horizontal="center"/>
    </xf>
    <xf numFmtId="173" fontId="0" fillId="0" borderId="0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1" fontId="0" fillId="0" borderId="1" xfId="0" applyNumberFormat="1" applyBorder="1"/>
    <xf numFmtId="9" fontId="0" fillId="0" borderId="1" xfId="1" applyFont="1" applyBorder="1" applyAlignment="1">
      <alignment horizontal="center"/>
    </xf>
    <xf numFmtId="11" fontId="0" fillId="0" borderId="2" xfId="0" applyNumberFormat="1" applyBorder="1"/>
    <xf numFmtId="2" fontId="14" fillId="0" borderId="1" xfId="0" applyNumberFormat="1" applyFont="1" applyBorder="1"/>
    <xf numFmtId="11" fontId="0" fillId="0" borderId="0" xfId="0" applyNumberFormat="1" applyAlignment="1">
      <alignment vertical="center"/>
    </xf>
    <xf numFmtId="0" fontId="0" fillId="0" borderId="0" xfId="0" quotePrefix="1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</cellXfs>
  <cellStyles count="3">
    <cellStyle name="Collegamento ipertestuale" xfId="2" builtinId="8"/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F06A6A"/>
      <color rgb="FFFFE5FF"/>
      <color rgb="FFF7B7C9"/>
      <color rgb="FFEEC168"/>
      <color rgb="FFE79DCD"/>
      <color rgb="FFDC66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535216</xdr:colOff>
      <xdr:row>40</xdr:row>
      <xdr:rowOff>117928</xdr:rowOff>
    </xdr:from>
    <xdr:to>
      <xdr:col>11</xdr:col>
      <xdr:colOff>843644</xdr:colOff>
      <xdr:row>43</xdr:row>
      <xdr:rowOff>117929</xdr:rowOff>
    </xdr:to>
    <xdr:sp macro="" textlink="">
      <xdr:nvSpPr>
        <xdr:cNvPr id="2" name="Freccia in giù 1">
          <a:extLst>
            <a:ext uri="{FF2B5EF4-FFF2-40B4-BE49-F238E27FC236}">
              <a16:creationId xmlns:a16="http://schemas.microsoft.com/office/drawing/2014/main" id="{101589CD-F9BA-E4BA-DB56-A497C8A46317}"/>
            </a:ext>
          </a:extLst>
        </xdr:cNvPr>
        <xdr:cNvSpPr/>
      </xdr:nvSpPr>
      <xdr:spPr>
        <a:xfrm>
          <a:off x="13552716" y="5742214"/>
          <a:ext cx="308428" cy="544286"/>
        </a:xfrm>
        <a:prstGeom prst="downArrow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508001</xdr:colOff>
      <xdr:row>26</xdr:row>
      <xdr:rowOff>163287</xdr:rowOff>
    </xdr:from>
    <xdr:to>
      <xdr:col>15</xdr:col>
      <xdr:colOff>277531</xdr:colOff>
      <xdr:row>40</xdr:row>
      <xdr:rowOff>45359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74E0685A-CEDB-4666-811F-BF315BD290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0"/>
        <a:stretch/>
      </xdr:blipFill>
      <xdr:spPr>
        <a:xfrm>
          <a:off x="10377715" y="4517573"/>
          <a:ext cx="5176101" cy="31659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508001</xdr:colOff>
      <xdr:row>26</xdr:row>
      <xdr:rowOff>163287</xdr:rowOff>
    </xdr:from>
    <xdr:to>
      <xdr:col>15</xdr:col>
      <xdr:colOff>277531</xdr:colOff>
      <xdr:row>40</xdr:row>
      <xdr:rowOff>45359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A38F5035-92C8-44AE-B171-5F4BC3907F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0"/>
        <a:stretch/>
      </xdr:blipFill>
      <xdr:spPr>
        <a:xfrm>
          <a:off x="11245851" y="4398737"/>
          <a:ext cx="5192430" cy="31967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21526</xdr:colOff>
      <xdr:row>6</xdr:row>
      <xdr:rowOff>118390</xdr:rowOff>
    </xdr:from>
    <xdr:to>
      <xdr:col>7</xdr:col>
      <xdr:colOff>505848</xdr:colOff>
      <xdr:row>9</xdr:row>
      <xdr:rowOff>21525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9945090-5723-4FFD-8EA4-FD31EC9E2207}"/>
            </a:ext>
          </a:extLst>
        </xdr:cNvPr>
        <xdr:cNvSpPr txBox="1"/>
      </xdr:nvSpPr>
      <xdr:spPr>
        <a:xfrm>
          <a:off x="7049577" y="1226949"/>
          <a:ext cx="484322" cy="452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</a:p>
      </xdr:txBody>
    </xdr:sp>
    <xdr:clientData/>
  </xdr:twoCellAnchor>
  <xdr:twoCellAnchor>
    <xdr:from>
      <xdr:col>15</xdr:col>
      <xdr:colOff>925594</xdr:colOff>
      <xdr:row>3</xdr:row>
      <xdr:rowOff>18953</xdr:rowOff>
    </xdr:from>
    <xdr:to>
      <xdr:col>16</xdr:col>
      <xdr:colOff>604988</xdr:colOff>
      <xdr:row>5</xdr:row>
      <xdr:rowOff>129152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D3899202-DA5D-4D0D-90B5-FC3F98AED4D3}"/>
            </a:ext>
          </a:extLst>
        </xdr:cNvPr>
        <xdr:cNvSpPr txBox="1"/>
      </xdr:nvSpPr>
      <xdr:spPr>
        <a:xfrm>
          <a:off x="15186187" y="578614"/>
          <a:ext cx="615750" cy="476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  <xdr:twoCellAnchor>
    <xdr:from>
      <xdr:col>15</xdr:col>
      <xdr:colOff>208508</xdr:colOff>
      <xdr:row>14</xdr:row>
      <xdr:rowOff>0</xdr:rowOff>
    </xdr:from>
    <xdr:to>
      <xdr:col>15</xdr:col>
      <xdr:colOff>845020</xdr:colOff>
      <xdr:row>15</xdr:row>
      <xdr:rowOff>161875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B5997AE2-F05E-40CE-8038-707FF5142165}"/>
            </a:ext>
          </a:extLst>
        </xdr:cNvPr>
        <xdr:cNvSpPr txBox="1"/>
      </xdr:nvSpPr>
      <xdr:spPr>
        <a:xfrm>
          <a:off x="47503308" y="11654620"/>
          <a:ext cx="636512" cy="375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7</xdr:col>
      <xdr:colOff>7927</xdr:colOff>
      <xdr:row>87</xdr:row>
      <xdr:rowOff>90998</xdr:rowOff>
    </xdr:from>
    <xdr:to>
      <xdr:col>8</xdr:col>
      <xdr:colOff>33924</xdr:colOff>
      <xdr:row>89</xdr:row>
      <xdr:rowOff>91529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F1CFD032-8615-495C-8E1E-D61445581A86}"/>
            </a:ext>
          </a:extLst>
        </xdr:cNvPr>
        <xdr:cNvSpPr txBox="1"/>
      </xdr:nvSpPr>
      <xdr:spPr>
        <a:xfrm>
          <a:off x="7649452" y="14825151"/>
          <a:ext cx="962353" cy="387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Q'</a:t>
          </a:r>
        </a:p>
      </xdr:txBody>
    </xdr:sp>
    <xdr:clientData/>
  </xdr:twoCellAnchor>
  <xdr:twoCellAnchor>
    <xdr:from>
      <xdr:col>18</xdr:col>
      <xdr:colOff>128263</xdr:colOff>
      <xdr:row>2</xdr:row>
      <xdr:rowOff>156064</xdr:rowOff>
    </xdr:from>
    <xdr:to>
      <xdr:col>18</xdr:col>
      <xdr:colOff>505847</xdr:colOff>
      <xdr:row>5</xdr:row>
      <xdr:rowOff>43051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853E4D9E-1DDE-4210-9500-7BC6EC9FFC2C}"/>
            </a:ext>
          </a:extLst>
        </xdr:cNvPr>
        <xdr:cNvSpPr txBox="1"/>
      </xdr:nvSpPr>
      <xdr:spPr>
        <a:xfrm>
          <a:off x="16616738" y="521996"/>
          <a:ext cx="377584" cy="446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</a:t>
          </a:r>
        </a:p>
      </xdr:txBody>
    </xdr:sp>
    <xdr:clientData/>
  </xdr:twoCellAnchor>
  <xdr:twoCellAnchor>
    <xdr:from>
      <xdr:col>18</xdr:col>
      <xdr:colOff>99009</xdr:colOff>
      <xdr:row>6</xdr:row>
      <xdr:rowOff>0</xdr:rowOff>
    </xdr:from>
    <xdr:to>
      <xdr:col>18</xdr:col>
      <xdr:colOff>473559</xdr:colOff>
      <xdr:row>8</xdr:row>
      <xdr:rowOff>21525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83465E9E-F522-4E4D-9D38-43E9C50F9595}"/>
            </a:ext>
          </a:extLst>
        </xdr:cNvPr>
        <xdr:cNvSpPr txBox="1"/>
      </xdr:nvSpPr>
      <xdr:spPr>
        <a:xfrm>
          <a:off x="16587484" y="1108559"/>
          <a:ext cx="374550" cy="387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</a:p>
      </xdr:txBody>
    </xdr:sp>
    <xdr:clientData/>
  </xdr:twoCellAnchor>
  <xdr:twoCellAnchor>
    <xdr:from>
      <xdr:col>7</xdr:col>
      <xdr:colOff>108374</xdr:colOff>
      <xdr:row>96</xdr:row>
      <xdr:rowOff>43051</xdr:rowOff>
    </xdr:from>
    <xdr:to>
      <xdr:col>8</xdr:col>
      <xdr:colOff>141635</xdr:colOff>
      <xdr:row>98</xdr:row>
      <xdr:rowOff>172204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3E958AFE-D200-4671-92B2-CABCF38A0D24}"/>
            </a:ext>
          </a:extLst>
        </xdr:cNvPr>
        <xdr:cNvSpPr txBox="1"/>
      </xdr:nvSpPr>
      <xdr:spPr>
        <a:xfrm>
          <a:off x="7136425" y="17704661"/>
          <a:ext cx="937329" cy="495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15</xdr:col>
      <xdr:colOff>37911</xdr:colOff>
      <xdr:row>104</xdr:row>
      <xdr:rowOff>0</xdr:rowOff>
    </xdr:from>
    <xdr:to>
      <xdr:col>15</xdr:col>
      <xdr:colOff>251091</xdr:colOff>
      <xdr:row>105</xdr:row>
      <xdr:rowOff>161120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BC4FE2DC-E0B8-453E-A90E-ED816635B03A}"/>
            </a:ext>
          </a:extLst>
        </xdr:cNvPr>
        <xdr:cNvSpPr txBox="1"/>
      </xdr:nvSpPr>
      <xdr:spPr>
        <a:xfrm>
          <a:off x="47332711" y="36239259"/>
          <a:ext cx="213180" cy="396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15</xdr:col>
      <xdr:colOff>925802</xdr:colOff>
      <xdr:row>92</xdr:row>
      <xdr:rowOff>122001</xdr:rowOff>
    </xdr:from>
    <xdr:to>
      <xdr:col>16</xdr:col>
      <xdr:colOff>495084</xdr:colOff>
      <xdr:row>94</xdr:row>
      <xdr:rowOff>86101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4F698487-EBA2-435B-A984-E295EDE70FC9}"/>
            </a:ext>
          </a:extLst>
        </xdr:cNvPr>
        <xdr:cNvSpPr txBox="1"/>
      </xdr:nvSpPr>
      <xdr:spPr>
        <a:xfrm>
          <a:off x="12893938" y="15792509"/>
          <a:ext cx="505638" cy="512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  <xdr:twoCellAnchor>
    <xdr:from>
      <xdr:col>6</xdr:col>
      <xdr:colOff>516611</xdr:colOff>
      <xdr:row>92</xdr:row>
      <xdr:rowOff>75339</xdr:rowOff>
    </xdr:from>
    <xdr:to>
      <xdr:col>7</xdr:col>
      <xdr:colOff>21525</xdr:colOff>
      <xdr:row>94</xdr:row>
      <xdr:rowOff>139915</xdr:rowOff>
    </xdr:to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AB612BB6-FAE3-437B-A57B-6FD421D9408D}"/>
            </a:ext>
          </a:extLst>
        </xdr:cNvPr>
        <xdr:cNvSpPr txBox="1"/>
      </xdr:nvSpPr>
      <xdr:spPr>
        <a:xfrm>
          <a:off x="6683645" y="17005085"/>
          <a:ext cx="365931" cy="430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6</xdr:col>
      <xdr:colOff>473560</xdr:colOff>
      <xdr:row>2</xdr:row>
      <xdr:rowOff>161441</xdr:rowOff>
    </xdr:from>
    <xdr:to>
      <xdr:col>7</xdr:col>
      <xdr:colOff>0</xdr:colOff>
      <xdr:row>5</xdr:row>
      <xdr:rowOff>0</xdr:rowOff>
    </xdr:to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2396802C-3B9A-4761-A7D6-FE17FF8E7BEC}"/>
            </a:ext>
          </a:extLst>
        </xdr:cNvPr>
        <xdr:cNvSpPr txBox="1"/>
      </xdr:nvSpPr>
      <xdr:spPr>
        <a:xfrm>
          <a:off x="6640594" y="527373"/>
          <a:ext cx="387457" cy="39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545160</xdr:colOff>
      <xdr:row>20</xdr:row>
      <xdr:rowOff>142164</xdr:rowOff>
    </xdr:from>
    <xdr:to>
      <xdr:col>22</xdr:col>
      <xdr:colOff>616331</xdr:colOff>
      <xdr:row>28</xdr:row>
      <xdr:rowOff>180074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1B308E7-6C6C-4061-9D66-870D0D0BC73F}"/>
            </a:ext>
          </a:extLst>
        </xdr:cNvPr>
        <xdr:cNvSpPr txBox="1"/>
      </xdr:nvSpPr>
      <xdr:spPr>
        <a:xfrm>
          <a:off x="20514488" y="4833582"/>
          <a:ext cx="677739" cy="398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</a:t>
          </a:r>
        </a:p>
      </xdr:txBody>
    </xdr:sp>
    <xdr:clientData/>
  </xdr:twoCellAnchor>
  <xdr:twoCellAnchor>
    <xdr:from>
      <xdr:col>21</xdr:col>
      <xdr:colOff>0</xdr:colOff>
      <xdr:row>2</xdr:row>
      <xdr:rowOff>172102</xdr:rowOff>
    </xdr:from>
    <xdr:to>
      <xdr:col>21</xdr:col>
      <xdr:colOff>473560</xdr:colOff>
      <xdr:row>5</xdr:row>
      <xdr:rowOff>96864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D7C95DB5-4260-44C0-BF53-AE9920F4AE66}"/>
            </a:ext>
          </a:extLst>
        </xdr:cNvPr>
        <xdr:cNvSpPr txBox="1"/>
      </xdr:nvSpPr>
      <xdr:spPr>
        <a:xfrm>
          <a:off x="17166525" y="538034"/>
          <a:ext cx="473560" cy="484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21</xdr:col>
      <xdr:colOff>148168</xdr:colOff>
      <xdr:row>154</xdr:row>
      <xdr:rowOff>10583</xdr:rowOff>
    </xdr:from>
    <xdr:to>
      <xdr:col>21</xdr:col>
      <xdr:colOff>538136</xdr:colOff>
      <xdr:row>156</xdr:row>
      <xdr:rowOff>172203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F2692841-75E1-4743-80A5-76D1DF289C8D}"/>
            </a:ext>
          </a:extLst>
        </xdr:cNvPr>
        <xdr:cNvSpPr txBox="1"/>
      </xdr:nvSpPr>
      <xdr:spPr>
        <a:xfrm>
          <a:off x="17314693" y="28413380"/>
          <a:ext cx="389968" cy="527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5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</a:t>
          </a:r>
        </a:p>
      </xdr:txBody>
    </xdr:sp>
    <xdr:clientData/>
  </xdr:twoCellAnchor>
  <xdr:twoCellAnchor>
    <xdr:from>
      <xdr:col>82</xdr:col>
      <xdr:colOff>0</xdr:colOff>
      <xdr:row>3</xdr:row>
      <xdr:rowOff>18955</xdr:rowOff>
    </xdr:from>
    <xdr:to>
      <xdr:col>83</xdr:col>
      <xdr:colOff>21526</xdr:colOff>
      <xdr:row>6</xdr:row>
      <xdr:rowOff>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94242F8F-AF9F-4924-9CA7-D15A2E8D83A7}"/>
            </a:ext>
          </a:extLst>
        </xdr:cNvPr>
        <xdr:cNvSpPr txBox="1"/>
      </xdr:nvSpPr>
      <xdr:spPr>
        <a:xfrm>
          <a:off x="62951102" y="578616"/>
          <a:ext cx="635000" cy="54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  <xdr:twoCellAnchor>
    <xdr:from>
      <xdr:col>76</xdr:col>
      <xdr:colOff>208508</xdr:colOff>
      <xdr:row>74</xdr:row>
      <xdr:rowOff>161120</xdr:rowOff>
    </xdr:from>
    <xdr:to>
      <xdr:col>76</xdr:col>
      <xdr:colOff>845020</xdr:colOff>
      <xdr:row>76</xdr:row>
      <xdr:rowOff>161875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080445B4-1D28-469E-9A0E-0147DA5E40E5}"/>
            </a:ext>
          </a:extLst>
        </xdr:cNvPr>
        <xdr:cNvSpPr txBox="1"/>
      </xdr:nvSpPr>
      <xdr:spPr>
        <a:xfrm>
          <a:off x="33275896" y="8188657"/>
          <a:ext cx="636512" cy="360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22</xdr:col>
      <xdr:colOff>72503</xdr:colOff>
      <xdr:row>149</xdr:row>
      <xdr:rowOff>4897</xdr:rowOff>
    </xdr:from>
    <xdr:to>
      <xdr:col>23</xdr:col>
      <xdr:colOff>98500</xdr:colOff>
      <xdr:row>151</xdr:row>
      <xdr:rowOff>16190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379D12BB-AD6C-44A3-8AF2-C8BD771B1025}"/>
            </a:ext>
          </a:extLst>
        </xdr:cNvPr>
        <xdr:cNvSpPr txBox="1"/>
      </xdr:nvSpPr>
      <xdr:spPr>
        <a:xfrm>
          <a:off x="20648399" y="22703778"/>
          <a:ext cx="670474" cy="38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Q'</a:t>
          </a:r>
        </a:p>
      </xdr:txBody>
    </xdr:sp>
    <xdr:clientData/>
  </xdr:twoCellAnchor>
  <xdr:twoCellAnchor>
    <xdr:from>
      <xdr:col>84</xdr:col>
      <xdr:colOff>128263</xdr:colOff>
      <xdr:row>2</xdr:row>
      <xdr:rowOff>156064</xdr:rowOff>
    </xdr:from>
    <xdr:to>
      <xdr:col>84</xdr:col>
      <xdr:colOff>516610</xdr:colOff>
      <xdr:row>4</xdr:row>
      <xdr:rowOff>96865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A283F643-9CFD-4FBA-B363-4DE05D2035C0}"/>
            </a:ext>
          </a:extLst>
        </xdr:cNvPr>
        <xdr:cNvSpPr txBox="1"/>
      </xdr:nvSpPr>
      <xdr:spPr>
        <a:xfrm>
          <a:off x="64370890" y="521996"/>
          <a:ext cx="388347" cy="317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</a:t>
          </a:r>
        </a:p>
      </xdr:txBody>
    </xdr:sp>
    <xdr:clientData/>
  </xdr:twoCellAnchor>
  <xdr:twoCellAnchor>
    <xdr:from>
      <xdr:col>84</xdr:col>
      <xdr:colOff>99009</xdr:colOff>
      <xdr:row>21</xdr:row>
      <xdr:rowOff>0</xdr:rowOff>
    </xdr:from>
    <xdr:to>
      <xdr:col>85</xdr:col>
      <xdr:colOff>132271</xdr:colOff>
      <xdr:row>28</xdr:row>
      <xdr:rowOff>161119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75FA618E-F9C6-46B2-8617-7EBC0B94CC38}"/>
            </a:ext>
          </a:extLst>
        </xdr:cNvPr>
        <xdr:cNvSpPr txBox="1"/>
      </xdr:nvSpPr>
      <xdr:spPr>
        <a:xfrm>
          <a:off x="39611173" y="4928358"/>
          <a:ext cx="639829" cy="3411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</a:p>
      </xdr:txBody>
    </xdr:sp>
    <xdr:clientData/>
  </xdr:twoCellAnchor>
  <xdr:twoCellAnchor>
    <xdr:from>
      <xdr:col>22</xdr:col>
      <xdr:colOff>22272</xdr:colOff>
      <xdr:row>171</xdr:row>
      <xdr:rowOff>152115</xdr:rowOff>
    </xdr:from>
    <xdr:to>
      <xdr:col>23</xdr:col>
      <xdr:colOff>55533</xdr:colOff>
      <xdr:row>174</xdr:row>
      <xdr:rowOff>4546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164373D4-EFE8-4C44-9E73-C0BF998FE4AA}"/>
            </a:ext>
          </a:extLst>
        </xdr:cNvPr>
        <xdr:cNvSpPr txBox="1"/>
      </xdr:nvSpPr>
      <xdr:spPr>
        <a:xfrm>
          <a:off x="20598168" y="27930996"/>
          <a:ext cx="677738" cy="392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2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76</xdr:col>
      <xdr:colOff>37911</xdr:colOff>
      <xdr:row>225</xdr:row>
      <xdr:rowOff>133159</xdr:rowOff>
    </xdr:from>
    <xdr:to>
      <xdr:col>76</xdr:col>
      <xdr:colOff>251091</xdr:colOff>
      <xdr:row>227</xdr:row>
      <xdr:rowOff>161120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B9D85664-4023-4F56-961E-98CED363C906}"/>
            </a:ext>
          </a:extLst>
        </xdr:cNvPr>
        <xdr:cNvSpPr txBox="1"/>
      </xdr:nvSpPr>
      <xdr:spPr>
        <a:xfrm>
          <a:off x="47255374" y="33380622"/>
          <a:ext cx="213180" cy="388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chemeClr val="accent6">
                  <a:lumMod val="40000"/>
                  <a:lumOff val="6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</a:p>
      </xdr:txBody>
    </xdr:sp>
    <xdr:clientData/>
  </xdr:twoCellAnchor>
  <xdr:twoCellAnchor>
    <xdr:from>
      <xdr:col>82</xdr:col>
      <xdr:colOff>54023</xdr:colOff>
      <xdr:row>153</xdr:row>
      <xdr:rowOff>14374</xdr:rowOff>
    </xdr:from>
    <xdr:to>
      <xdr:col>83</xdr:col>
      <xdr:colOff>314409</xdr:colOff>
      <xdr:row>155</xdr:row>
      <xdr:rowOff>0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77EA7200-6EF9-4A73-9684-2E25FAE78045}"/>
            </a:ext>
          </a:extLst>
        </xdr:cNvPr>
        <xdr:cNvSpPr txBox="1"/>
      </xdr:nvSpPr>
      <xdr:spPr>
        <a:xfrm>
          <a:off x="38353053" y="23424075"/>
          <a:ext cx="866953" cy="519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ECACD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bor\Documents\GitHub\desktop-tutorial\SteelTransition_EU\Add_sectors\Life%20Cycle%20Inventory\LCI%20e%20SUT%20hydrogen%20production.xlsx" TargetMode="External"/><Relationship Id="rId1" Type="http://schemas.openxmlformats.org/officeDocument/2006/relationships/externalLinkPath" Target="LCI%20e%20SUT%20hydrogen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polimi365-my.sharepoint.com/personal/10421550_polimi_it/Documents/Documenti/Tesi%20di%20laurea/2022_23_Ghezzi_H2%20industry/Bibliography/Suddivisione%20input%20in%20regioni/World%20Integrated%20Trade%20Solution%20-%20Limestone%20Flux%202022.xlsx" TargetMode="External"/><Relationship Id="rId2" Type="http://schemas.microsoft.com/office/2019/04/relationships/externalLinkLongPath" Target="https://polimi365-my.sharepoint.com/personal/10421550_polimi_it/Documents/Documenti/Tesi%20di%20laurea/2022_23_Ghezzi_H2%20industry/Bibliography/Suddivisione%20input%20in%20regioni/World%20Integrated%20Trade%20Solution%20-%20Limestone%20Flux%202022.xlsx?9C4D96DA" TargetMode="External"/><Relationship Id="rId1" Type="http://schemas.openxmlformats.org/officeDocument/2006/relationships/externalLinkPath" Target="file:///\\9C4D96DA\World%20Integrated%20Trade%20Solution%20-%20Limestone%20Flux%202022.xlsx" TargetMode="External"/></Relationships>
</file>

<file path=xl/externalLinks/_rels/externalLink3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polimi365-my.sharepoint.com/personal/10421550_polimi_it/Documents/Documenti/Tesi%20di%20laurea/2022_23_Ghezzi_H2%20industry/Bibliography/Suddivisione%20input%20in%20regioni/World%20Integrated%20Trade%20Solution%20-%20Oxygen%202022.xlsx" TargetMode="External"/><Relationship Id="rId2" Type="http://schemas.microsoft.com/office/2019/04/relationships/externalLinkLongPath" Target="https://polimi365-my.sharepoint.com/personal/10421550_polimi_it/Documents/Documenti/Tesi%20di%20laurea/2022_23_Ghezzi_H2%20industry/Bibliography/Suddivisione%20input%20in%20regioni/World%20Integrated%20Trade%20Solution%20-%20Oxygen%202022.xlsx?9C4D96DA" TargetMode="External"/><Relationship Id="rId1" Type="http://schemas.openxmlformats.org/officeDocument/2006/relationships/externalLinkPath" Target="file:///\\9C4D96DA\World%20Integrated%20Trade%20Solution%20-%20Oxygen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</sheetNames>
    <sheetDataSet>
      <sheetData sheetId="0">
        <row r="20">
          <cell r="H20">
            <v>435</v>
          </cell>
        </row>
        <row r="22">
          <cell r="H22">
            <v>153311</v>
          </cell>
        </row>
        <row r="43">
          <cell r="H43">
            <v>142897.5</v>
          </cell>
        </row>
        <row r="50">
          <cell r="H50">
            <v>44288370</v>
          </cell>
        </row>
      </sheetData>
      <sheetData sheetId="1">
        <row r="25">
          <cell r="H25">
            <v>1.6691764705882353E-4</v>
          </cell>
        </row>
      </sheetData>
      <sheetData sheetId="2"/>
      <sheetData sheetId="3">
        <row r="93">
          <cell r="K93">
            <v>2.2579291132186622E-8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Imports by region"/>
      <sheetName val="Gross imports "/>
    </sheetNames>
    <sheetDataSet>
      <sheetData sheetId="0">
        <row r="5">
          <cell r="D5">
            <v>0.2086558149685778</v>
          </cell>
          <cell r="E5">
            <v>0.17326594323804065</v>
          </cell>
          <cell r="F5">
            <v>0.20862148436288905</v>
          </cell>
          <cell r="G5">
            <v>0.20083517722289576</v>
          </cell>
          <cell r="H5">
            <v>0</v>
          </cell>
          <cell r="I5">
            <v>0.20862158020759675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Gross exports world"/>
      <sheetName val="Gross imports EU27"/>
      <sheetName val="Gross exports EU27"/>
    </sheetNames>
    <sheetDataSet>
      <sheetData sheetId="0">
        <row r="7">
          <cell r="L7">
            <v>0</v>
          </cell>
        </row>
        <row r="8">
          <cell r="L8">
            <v>5.0918430334824016E-2</v>
          </cell>
        </row>
        <row r="9">
          <cell r="L9">
            <v>0.15146639903364834</v>
          </cell>
        </row>
        <row r="10">
          <cell r="L10">
            <v>1.4481034853174354E-2</v>
          </cell>
        </row>
        <row r="11">
          <cell r="L11">
            <v>0</v>
          </cell>
        </row>
        <row r="12">
          <cell r="L12">
            <v>0.78313413577835322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ebora Ghezzi" id="{9D6DA47F-F832-49A3-99D4-17A7302F621C}" userId="S::10690489@polimi.it::43e5621c-6547-4884-821d-2379f27c5e53" providerId="AD"/>
</personList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3-10-30T14:39:44.41" personId="{9D6DA47F-F832-49A3-99D4-17A7302F621C}" id="{D67A24AF-41B3-4848-A7C7-E8973E42A2F3}">
    <text>Maximum amount of H2 injection considered in the reference paper</text>
  </threadedComment>
  <threadedComment ref="E11" dT="2024-03-15T11:09:30.50" personId="{9D6DA47F-F832-49A3-99D4-17A7302F621C}" id="{1C1556A6-C133-4C49-9562-09B5027A1AC2}">
    <text>Assumption</text>
  </threadedComment>
  <threadedComment ref="C12" dT="2024-03-15T11:14:57.27" personId="{9D6DA47F-F832-49A3-99D4-17A7302F621C}" id="{97C674E7-7690-4B6E-8A78-0A0BC2E0331E}">
    <text>Reference paper</text>
  </threadedComment>
  <threadedComment ref="C13" dT="2023-10-30T14:56:43.62" personId="{9D6DA47F-F832-49A3-99D4-17A7302F621C}" id="{9D576A96-A078-4CF3-A1C2-FC01AF527BF2}">
    <text>F. Muscolino et al., Introduction to direct reduction technology and outlook for its use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2" dT="2024-03-15T11:15:04.16" personId="{9D6DA47F-F832-49A3-99D4-17A7302F621C}" id="{FE502805-E039-4592-B002-A0D8F34B2C6E}">
    <text>Assumption</text>
  </threadedComment>
  <threadedComment ref="C13" dT="2023-10-30T14:56:43.62" personId="{9D6DA47F-F832-49A3-99D4-17A7302F621C}" id="{79C49A34-6C10-4BD7-B372-AB6177481D10}">
    <text>F. Muscolino et al., Introduction to direct reduction technology and outlook for its use</text>
  </threadedComment>
  <threadedComment ref="F38" dT="2024-03-15T11:10:32.84" personId="{9D6DA47F-F832-49A3-99D4-17A7302F621C}" id="{0E1E7720-4C3B-48A9-B046-6B80F35EEFD4}">
    <text>Assumption</text>
  </threadedComment>
  <threadedComment ref="C40" dT="2023-10-30T14:56:43.62" personId="{9D6DA47F-F832-49A3-99D4-17A7302F621C}" id="{8B0590C0-9A10-4D17-882E-34F8029A8FB2}">
    <text>F. Muscolino et al., Introduction to direct reduction technology and outlook for its use</text>
  </threadedComment>
  <threadedComment ref="B65" dT="2024-03-15T11:11:07.39" personId="{9D6DA47F-F832-49A3-99D4-17A7302F621C}" id="{84874CAE-E15A-4A63-B2BD-BF02B5D9214C}">
    <text>Assumption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1" dT="2024-03-15T11:12:18.66" personId="{9D6DA47F-F832-49A3-99D4-17A7302F621C}" id="{E531F90B-1565-4EDE-A325-C9DB8C7F2C54}">
    <text xml:space="preserve">The input is directly hydrogen produced through steam reforming of natural gas and not natural gas. The consumption of carbon monoxide is thus disregarded. </text>
  </threadedComment>
  <threadedComment ref="B25" dT="2023-10-30T14:35:45.55" personId="{9D6DA47F-F832-49A3-99D4-17A7302F621C}" id="{887AC8F1-D065-4932-A993-4847DC0E103D}">
    <text xml:space="preserve">Assumption of 0% scrap </text>
  </threadedComment>
  <threadedComment ref="C30" dT="2023-10-30T10:14:17.47" personId="{9D6DA47F-F832-49A3-99D4-17A7302F621C}" id="{100A6550-FF1D-47CF-A7BB-CF5B3059EC11}">
    <text>DRI coming from the shaft furnace (assumption: quantity of scrap = quantity of DRI)</text>
  </threadedComment>
  <threadedComment ref="H42" dT="2024-03-15T11:12:51.03" personId="{9D6DA47F-F832-49A3-99D4-17A7302F621C}" id="{4FE3758C-5028-44EE-92B7-DA505D705E95}">
    <text>Not considered. In Exiobase the NG-DR technology only produces "Basic iron and steel"</text>
  </threadedComment>
  <threadedComment ref="C43" dT="2023-10-30T09:41:10.67" personId="{9D6DA47F-F832-49A3-99D4-17A7302F621C}" id="{01AF22BA-33D5-4893-AA5A-9F15EE32D77C}">
    <text>Iron and Steel Technology Roadmap, IEA (p.39)</text>
  </threadedComment>
  <threadedComment ref="B53" dT="2024-03-15T11:13:00.87" personId="{9D6DA47F-F832-49A3-99D4-17A7302F621C}" id="{EDD7C153-2809-4EF6-8604-B95A63275626}">
    <text>Reference paper</text>
  </threadedComment>
  <threadedComment ref="B62" dT="2024-03-15T11:13:35.46" personId="{9D6DA47F-F832-49A3-99D4-17A7302F621C}" id="{6BEB4A96-84BF-4D16-9B2E-00E2246406EC}">
    <text>Reference paper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5" dT="2023-10-30T14:35:45.55" personId="{9D6DA47F-F832-49A3-99D4-17A7302F621C}" id="{A1BE914C-0B45-4CB5-87EE-C6362B5A90E2}">
    <text>Assumption of 0% scrap</text>
  </threadedComment>
  <threadedComment ref="C30" dT="2023-10-30T10:14:17.47" personId="{9D6DA47F-F832-49A3-99D4-17A7302F621C}" id="{4F32D4D5-616F-4992-B23F-91D3B7480775}">
    <text>DRI coming from the shaft furnace</text>
  </threadedComment>
  <threadedComment ref="H42" dT="2024-03-15T11:14:37.23" personId="{9D6DA47F-F832-49A3-99D4-17A7302F621C}" id="{523FCD89-8C96-4AC4-A1A9-A351A0508A10}">
    <text>Not considered. In Exiobase the 100% H2-DR technology only produces "Basic iron and steel".</text>
  </threadedComment>
  <threadedComment ref="C43" dT="2023-10-30T09:41:10.67" personId="{9D6DA47F-F832-49A3-99D4-17A7302F621C}" id="{6EC6CDC9-FF06-4C62-8440-1A32DF22E4B2}">
    <text>Iron and Steel Technology Roadmap, IEA (p.39)</text>
  </threadedComment>
  <threadedComment ref="B53" dT="2024-03-15T11:14:45.05" personId="{9D6DA47F-F832-49A3-99D4-17A7302F621C}" id="{419F2E47-6A23-4B01-9A57-326613B36AF7}">
    <text>Reference paper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5" dT="2024-03-15T11:15:41.97" personId="{9D6DA47F-F832-49A3-99D4-17A7302F621C}" id="{017472C6-4DD3-4F98-B2E8-790214B60B84}">
    <text xml:space="preserve">https://worldsteel.org/wp-content/uploads/World-Steel-in-Figures-2023-4.pdf   </text>
    <extLst>
      <x:ext xmlns:xltc2="http://schemas.microsoft.com/office/spreadsheetml/2020/threadedcomments2" uri="{F7C98A9C-CBB3-438F-8F68-D28B6AF4A901}">
        <xltc2:checksum>3144155916</xltc2:checksum>
        <xltc2:hyperlink startIndex="0" length="75" url="https://worldsteel.org/wp-content/uploads/World-Steel-in-Figures-2023-4.pdf"/>
      </x:ext>
    </extLst>
  </threadedComment>
  <threadedComment ref="K5" dT="2023-10-12T11:42:48.87" personId="{9D6DA47F-F832-49A3-99D4-17A7302F621C}" id="{7D15BF01-734A-4990-9818-C596F8B2F950}">
    <text xml:space="preserve">+ Ukraine and others CIS (not disaggregated) </text>
  </threadedComment>
  <threadedComment ref="D6" dT="2024-03-15T11:15:45.44" personId="{9D6DA47F-F832-49A3-99D4-17A7302F621C}" id="{37BC5919-9236-4019-A36A-1C2CD7DC3738}">
    <text xml:space="preserve">https://worldsteel.org/wp-content/uploads/World-Steel-in-Figures-2023-4.pdf   </text>
    <extLst>
      <x:ext xmlns:xltc2="http://schemas.microsoft.com/office/spreadsheetml/2020/threadedcomments2" uri="{F7C98A9C-CBB3-438F-8F68-D28B6AF4A901}">
        <xltc2:checksum>3144155916</xltc2:checksum>
        <xltc2:hyperlink startIndex="0" length="75" url="https://worldsteel.org/wp-content/uploads/World-Steel-in-Figures-2023-4.pdf"/>
      </x:ext>
    </extLst>
  </threadedComment>
  <threadedComment ref="D7" dT="2024-03-15T11:17:10.92" personId="{9D6DA47F-F832-49A3-99D4-17A7302F621C}" id="{1C9046B1-C846-409F-AEF4-99048318B230}">
    <text xml:space="preserve">https://oec.world/en/profile/hs/carbon-and-graphite-furnace-electrodes#trade </text>
    <extLst>
      <x:ext xmlns:xltc2="http://schemas.microsoft.com/office/spreadsheetml/2020/threadedcomments2" uri="{F7C98A9C-CBB3-438F-8F68-D28B6AF4A901}">
        <xltc2:checksum>666925516</xltc2:checksum>
        <xltc2:hyperlink startIndex="0" length="76" url="https://oec.world/en/profile/hs/carbon-and-graphite-furnace-electrodes#trade"/>
      </x:ext>
    </extLst>
  </threadedComment>
  <threadedComment ref="D8" dT="2024-03-15T11:16:03.43" personId="{9D6DA47F-F832-49A3-99D4-17A7302F621C}" id="{71483CDE-9A23-480F-9A66-4898E2373A5F}">
    <text xml:space="preserve">https://wits.worldbank.org/trade/comtrade/en/country/All/year/2022/tradeflow/Imports/partner/CAN/product/252100  </text>
    <extLst>
      <x:ext xmlns:xltc2="http://schemas.microsoft.com/office/spreadsheetml/2020/threadedcomments2" uri="{F7C98A9C-CBB3-438F-8F68-D28B6AF4A901}">
        <xltc2:checksum>276583756</xltc2:checksum>
        <xltc2:hyperlink startIndex="0" length="111" url="https://wits.worldbank.org/trade/comtrade/en/country/All/year/2022/tradeflow/Imports/partner/CAN/product/252100"/>
      </x:ext>
    </extLst>
  </threadedComment>
  <threadedComment ref="D9" dT="2024-03-15T11:16:19.69" personId="{9D6DA47F-F832-49A3-99D4-17A7302F621C}" id="{A0508A7D-3A92-4E8C-A20F-3A2C947ADD4D}">
    <text xml:space="preserve">Coal production (ourworldindata.org) </text>
    <extLst>
      <x:ext xmlns:xltc2="http://schemas.microsoft.com/office/spreadsheetml/2020/threadedcomments2" uri="{F7C98A9C-CBB3-438F-8F68-D28B6AF4A901}">
        <xltc2:checksum>2815472486</xltc2:checksum>
        <xltc2:hyperlink startIndex="0" length="36" url="https://ourworldindata.org/grapher/coal-production-by-country?country=USA~IND~OWID_EU27~CHN~OWID_WRL~RUS"/>
      </x:ext>
    </extLst>
  </threadedComment>
  <threadedComment ref="D10" dT="2024-03-15T11:17:24.50" personId="{9D6DA47F-F832-49A3-99D4-17A7302F621C}" id="{1B0AD830-078E-441D-BE1D-CD64992DAB01}">
    <text xml:space="preserve">https://oec.world/en/profile/hs/refractory-cements#exporters-importers </text>
    <extLst>
      <x:ext xmlns:xltc2="http://schemas.microsoft.com/office/spreadsheetml/2020/threadedcomments2" uri="{F7C98A9C-CBB3-438F-8F68-D28B6AF4A901}">
        <xltc2:checksum>2777786089</xltc2:checksum>
        <xltc2:hyperlink startIndex="0" length="70" url="https://oec.world/en/profile/hs/refractory-cements#exporters-importers"/>
      </x:ext>
    </extLst>
  </threadedComment>
  <threadedComment ref="D11" dT="2024-03-15T11:16:33.57" personId="{9D6DA47F-F832-49A3-99D4-17A7302F621C}" id="{CBE9EC0C-F18B-4EC2-BC69-69912A6FF5ED}">
    <text xml:space="preserve">Gas production (ourworldindata.org) </text>
    <extLst>
      <x:ext xmlns:xltc2="http://schemas.microsoft.com/office/spreadsheetml/2020/threadedcomments2" uri="{F7C98A9C-CBB3-438F-8F68-D28B6AF4A901}">
        <xltc2:checksum>1663272398</xltc2:checksum>
        <xltc2:hyperlink startIndex="0" length="35" url="https://ourworldindata.org/grapher/gas-production-by-country?country=USA~CHN~OWID_WRL~OWID_EU27~IND~RUS"/>
      </x:ext>
    </extLst>
  </threadedComment>
  <threadedComment ref="D12" dT="2024-03-15T11:18:01.55" personId="{9D6DA47F-F832-49A3-99D4-17A7302F621C}" id="{4863A609-7FA0-48CC-B458-92D3D285A1EF}">
    <text>https://wits.worldbank.org/trade/comtrade/en/country/ALL/year/2022/tradeflow/Imports/partner/WLD/product/280440</text>
    <extLst>
      <x:ext xmlns:xltc2="http://schemas.microsoft.com/office/spreadsheetml/2020/threadedcomments2" uri="{F7C98A9C-CBB3-438F-8F68-D28B6AF4A901}">
        <xltc2:checksum>79973924</xltc2:checksum>
        <xltc2:hyperlink startIndex="0" length="111" url="https://wits.worldbank.org/trade/comtrade/en/country/ALL/year/2022/tradeflow/Imports/partner/WLD/product/280440"/>
      </x:ext>
    </extLst>
  </threadedComment>
  <threadedComment ref="D13" dT="2024-03-15T11:16:50.12" personId="{9D6DA47F-F832-49A3-99D4-17A7302F621C}" id="{DCFF4FDC-4583-4AC2-8133-886FE29EAC17}">
    <text xml:space="preserve">Electricity production by source, European Union (27) (ourworldindata.org) </text>
    <extLst>
      <x:ext xmlns:xltc2="http://schemas.microsoft.com/office/spreadsheetml/2020/threadedcomments2" uri="{F7C98A9C-CBB3-438F-8F68-D28B6AF4A901}">
        <xltc2:checksum>1162560253</xltc2:checksum>
        <xltc2:hyperlink startIndex="0" length="74" url="https://ourworldindata.org/grapher/electricity-production-by-source?country=~OWID_EU27"/>
      </x:ext>
    </extLst>
  </threadedComment>
  <threadedComment ref="D14" dT="2024-03-15T11:16:52.60" personId="{9D6DA47F-F832-49A3-99D4-17A7302F621C}" id="{2491AC30-E9EB-4BE2-B405-917C0CBF1EE5}">
    <text xml:space="preserve">Electricity production by source, European Union (27) (ourworldindata.org) </text>
    <extLst>
      <x:ext xmlns:xltc2="http://schemas.microsoft.com/office/spreadsheetml/2020/threadedcomments2" uri="{F7C98A9C-CBB3-438F-8F68-D28B6AF4A901}">
        <xltc2:checksum>1162560253</xltc2:checksum>
        <xltc2:hyperlink startIndex="0" length="74" url="https://ourworldindata.org/grapher/electricity-production-by-source?country=~OWID_EU27"/>
      </x:ext>
    </extLst>
  </threadedComment>
  <threadedComment ref="D15" dT="2024-03-15T11:16:54.90" personId="{9D6DA47F-F832-49A3-99D4-17A7302F621C}" id="{DDD20BC6-DF7F-4A1C-A3D0-D130CDD7FB9D}">
    <text xml:space="preserve">Electricity production by source, European Union (27) (ourworldindata.org) </text>
    <extLst>
      <x:ext xmlns:xltc2="http://schemas.microsoft.com/office/spreadsheetml/2020/threadedcomments2" uri="{F7C98A9C-CBB3-438F-8F68-D28B6AF4A901}">
        <xltc2:checksum>1162560253</xltc2:checksum>
        <xltc2:hyperlink startIndex="0" length="74" url="https://ourworldindata.org/grapher/electricity-production-by-source?country=~OWID_EU27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D5E2-3364-4677-AC51-CEB02D6928C7}">
  <sheetPr>
    <tabColor rgb="FFE79DCD"/>
  </sheetPr>
  <dimension ref="A1:Z79"/>
  <sheetViews>
    <sheetView showGridLines="0" tabSelected="1" topLeftCell="A4" zoomScale="70" zoomScaleNormal="70" workbookViewId="0">
      <selection activeCell="G14" sqref="G14"/>
    </sheetView>
  </sheetViews>
  <sheetFormatPr defaultRowHeight="14.5" x14ac:dyDescent="0.35"/>
  <cols>
    <col min="1" max="1" width="22.453125" customWidth="1"/>
    <col min="2" max="2" width="11.453125" bestFit="1" customWidth="1"/>
    <col min="3" max="3" width="23.54296875" bestFit="1" customWidth="1"/>
    <col min="4" max="4" width="64.81640625" customWidth="1"/>
    <col min="5" max="5" width="8.7265625" style="13"/>
    <col min="6" max="6" width="13.26953125" bestFit="1" customWidth="1"/>
    <col min="8" max="8" width="10.1796875" customWidth="1"/>
    <col min="9" max="9" width="11.81640625" bestFit="1" customWidth="1"/>
    <col min="11" max="11" width="12.453125" bestFit="1" customWidth="1"/>
    <col min="12" max="12" width="19.453125" customWidth="1"/>
    <col min="13" max="13" width="19.26953125" customWidth="1"/>
    <col min="14" max="14" width="10.81640625" bestFit="1" customWidth="1"/>
    <col min="18" max="18" width="11.81640625" bestFit="1" customWidth="1"/>
    <col min="19" max="20" width="10.81640625" bestFit="1" customWidth="1"/>
    <col min="22" max="24" width="10.81640625" bestFit="1" customWidth="1"/>
    <col min="25" max="25" width="11.81640625" bestFit="1" customWidth="1"/>
  </cols>
  <sheetData>
    <row r="1" spans="1:15" x14ac:dyDescent="0.35">
      <c r="A1" s="1" t="s">
        <v>0</v>
      </c>
    </row>
    <row r="2" spans="1:15" x14ac:dyDescent="0.35">
      <c r="A2" s="1"/>
    </row>
    <row r="3" spans="1:15" x14ac:dyDescent="0.35">
      <c r="A3" s="2" t="s">
        <v>1</v>
      </c>
      <c r="B3" s="3"/>
      <c r="C3" s="3"/>
      <c r="D3" s="3"/>
      <c r="E3" s="215"/>
      <c r="F3" s="3"/>
      <c r="G3" s="3"/>
      <c r="H3" s="3"/>
      <c r="I3" s="3"/>
    </row>
    <row r="4" spans="1:15" x14ac:dyDescent="0.35">
      <c r="A4" s="4" t="s">
        <v>2</v>
      </c>
      <c r="B4" s="4"/>
      <c r="C4" s="4"/>
      <c r="D4" s="4"/>
      <c r="E4" s="216"/>
      <c r="F4" s="4"/>
      <c r="G4" s="4"/>
      <c r="H4" s="4"/>
      <c r="I4" s="4"/>
    </row>
    <row r="5" spans="1:15" x14ac:dyDescent="0.35">
      <c r="A5" t="s">
        <v>3</v>
      </c>
      <c r="B5" t="s">
        <v>4</v>
      </c>
    </row>
    <row r="6" spans="1:15" x14ac:dyDescent="0.35">
      <c r="A6" t="s">
        <v>5</v>
      </c>
      <c r="B6" t="s">
        <v>6</v>
      </c>
      <c r="O6" s="13"/>
    </row>
    <row r="7" spans="1:15" x14ac:dyDescent="0.35">
      <c r="A7" t="s">
        <v>7</v>
      </c>
      <c r="B7" t="s">
        <v>8</v>
      </c>
      <c r="O7" s="13"/>
    </row>
    <row r="8" spans="1:15" x14ac:dyDescent="0.35">
      <c r="A8" t="s">
        <v>9</v>
      </c>
      <c r="B8" s="12">
        <v>2020</v>
      </c>
    </row>
    <row r="10" spans="1:15" x14ac:dyDescent="0.35">
      <c r="A10" s="4" t="s">
        <v>10</v>
      </c>
      <c r="B10" s="4"/>
      <c r="C10" s="4"/>
      <c r="D10" s="4"/>
      <c r="E10" s="216"/>
      <c r="F10" s="4"/>
      <c r="G10" s="4"/>
      <c r="H10" s="4"/>
      <c r="I10" s="4"/>
    </row>
    <row r="11" spans="1:15" x14ac:dyDescent="0.35">
      <c r="A11" s="39" t="s">
        <v>11</v>
      </c>
      <c r="B11" s="45"/>
      <c r="C11" s="46">
        <v>120</v>
      </c>
      <c r="D11" s="5" t="s">
        <v>12</v>
      </c>
      <c r="E11" s="36">
        <v>0.2</v>
      </c>
      <c r="H11" s="5"/>
      <c r="I11" s="5"/>
      <c r="K11" t="s">
        <v>13</v>
      </c>
      <c r="M11" s="12">
        <v>8.3750000000000005E-2</v>
      </c>
    </row>
    <row r="12" spans="1:15" ht="30.65" customHeight="1" x14ac:dyDescent="0.35">
      <c r="A12" s="413" t="s">
        <v>14</v>
      </c>
      <c r="B12" s="413"/>
      <c r="C12" s="240">
        <v>3</v>
      </c>
      <c r="D12" s="241" t="s">
        <v>15</v>
      </c>
      <c r="E12" s="242">
        <f>1-E11</f>
        <v>0.8</v>
      </c>
      <c r="H12" s="5"/>
      <c r="I12" s="5"/>
    </row>
    <row r="13" spans="1:15" x14ac:dyDescent="0.35">
      <c r="A13" s="6" t="s">
        <v>16</v>
      </c>
      <c r="B13" s="6"/>
      <c r="C13" s="6">
        <v>1.109</v>
      </c>
      <c r="E13" s="7"/>
      <c r="F13" s="5"/>
      <c r="G13" s="395"/>
      <c r="H13" s="395"/>
      <c r="I13" s="5"/>
    </row>
    <row r="14" spans="1:15" x14ac:dyDescent="0.35">
      <c r="A14" s="6"/>
      <c r="B14" s="6"/>
      <c r="C14" s="6"/>
      <c r="D14" s="6"/>
      <c r="E14" s="7"/>
      <c r="F14" s="5"/>
      <c r="G14" s="5"/>
      <c r="H14" s="5"/>
      <c r="I14" s="395"/>
    </row>
    <row r="15" spans="1:15" x14ac:dyDescent="0.35">
      <c r="A15" s="222" t="s">
        <v>17</v>
      </c>
    </row>
    <row r="16" spans="1:15" x14ac:dyDescent="0.35">
      <c r="A16" s="5" t="s">
        <v>18</v>
      </c>
      <c r="B16" s="5"/>
      <c r="C16" s="6" t="s">
        <v>19</v>
      </c>
      <c r="D16" s="6" t="s">
        <v>20</v>
      </c>
      <c r="E16" s="7"/>
      <c r="F16" s="7" t="s">
        <v>21</v>
      </c>
      <c r="G16" s="7"/>
      <c r="H16" s="7" t="s">
        <v>22</v>
      </c>
      <c r="I16" s="5"/>
      <c r="K16" s="5" t="s">
        <v>23</v>
      </c>
    </row>
    <row r="17" spans="1:22" x14ac:dyDescent="0.35">
      <c r="A17" s="8" t="s">
        <v>24</v>
      </c>
      <c r="B17" s="8"/>
      <c r="C17" s="9" t="s">
        <v>25</v>
      </c>
      <c r="D17" s="9" t="s">
        <v>26</v>
      </c>
      <c r="E17" s="10"/>
      <c r="F17" s="10" t="s">
        <v>27</v>
      </c>
      <c r="G17" s="8"/>
      <c r="H17" s="32">
        <f>C11*M11/C13*E11</f>
        <v>1.8124436429215511</v>
      </c>
      <c r="I17" s="8"/>
      <c r="K17" s="8" t="s">
        <v>28</v>
      </c>
      <c r="L17" s="8"/>
      <c r="M17" s="217" t="s">
        <v>29</v>
      </c>
    </row>
    <row r="18" spans="1:22" x14ac:dyDescent="0.35">
      <c r="A18" t="s">
        <v>24</v>
      </c>
      <c r="C18" s="12" t="s">
        <v>30</v>
      </c>
      <c r="D18" s="12" t="s">
        <v>31</v>
      </c>
      <c r="F18" s="13" t="s">
        <v>27</v>
      </c>
      <c r="H18" s="31">
        <f>C11*M11/C13*E12</f>
        <v>7.2497745716862045</v>
      </c>
      <c r="K18" t="s">
        <v>32</v>
      </c>
      <c r="M18" s="150" t="s">
        <v>33</v>
      </c>
    </row>
    <row r="19" spans="1:22" x14ac:dyDescent="0.35">
      <c r="A19" t="s">
        <v>24</v>
      </c>
      <c r="C19" t="s">
        <v>34</v>
      </c>
      <c r="D19" s="12" t="s">
        <v>35</v>
      </c>
      <c r="F19" s="13" t="s">
        <v>36</v>
      </c>
      <c r="H19" s="40">
        <f>-C12*(H17+H18)/10^3</f>
        <v>-2.7186654643823267E-2</v>
      </c>
      <c r="K19" t="s">
        <v>37</v>
      </c>
      <c r="M19" s="150" t="s">
        <v>38</v>
      </c>
    </row>
    <row r="20" spans="1:22" x14ac:dyDescent="0.35">
      <c r="A20" s="19"/>
      <c r="B20" s="20"/>
      <c r="C20" s="21" t="s">
        <v>39</v>
      </c>
      <c r="D20" s="21" t="s">
        <v>20</v>
      </c>
      <c r="E20" s="22"/>
      <c r="F20" s="22" t="s">
        <v>21</v>
      </c>
      <c r="G20" s="22"/>
      <c r="H20" s="22" t="s">
        <v>40</v>
      </c>
      <c r="I20" s="23"/>
      <c r="K20" s="18" t="s">
        <v>41</v>
      </c>
      <c r="L20" s="18"/>
      <c r="M20" s="340">
        <v>171407800.519288</v>
      </c>
      <c r="O20" s="211"/>
    </row>
    <row r="21" spans="1:22" x14ac:dyDescent="0.35">
      <c r="A21" s="24" t="s">
        <v>24</v>
      </c>
      <c r="B21" s="8"/>
      <c r="C21" s="25" t="s">
        <v>42</v>
      </c>
      <c r="D21" s="9" t="s">
        <v>43</v>
      </c>
      <c r="E21" s="10"/>
      <c r="F21" s="26" t="s">
        <v>44</v>
      </c>
      <c r="G21" s="8"/>
      <c r="H21" s="11">
        <v>1</v>
      </c>
      <c r="I21" s="8"/>
      <c r="M21" s="150"/>
    </row>
    <row r="22" spans="1:22" x14ac:dyDescent="0.35">
      <c r="A22" s="17" t="s">
        <v>24</v>
      </c>
      <c r="B22" s="18"/>
      <c r="C22" s="14" t="s">
        <v>45</v>
      </c>
      <c r="D22" s="27" t="s">
        <v>45</v>
      </c>
      <c r="E22" s="28"/>
      <c r="F22" s="212" t="s">
        <v>46</v>
      </c>
      <c r="G22" s="18"/>
      <c r="H22" s="214">
        <f>$M$40</f>
        <v>-5.2256119372476872E-2</v>
      </c>
      <c r="I22" s="18"/>
      <c r="M22" s="339"/>
      <c r="O22" s="211"/>
      <c r="P22" s="238"/>
    </row>
    <row r="23" spans="1:22" x14ac:dyDescent="0.35">
      <c r="A23" s="29"/>
      <c r="C23" s="30"/>
      <c r="D23" s="12"/>
      <c r="F23" s="213"/>
      <c r="H23" s="218"/>
      <c r="K23" s="5" t="s">
        <v>47</v>
      </c>
      <c r="N23" s="7" t="s">
        <v>46</v>
      </c>
    </row>
    <row r="24" spans="1:22" x14ac:dyDescent="0.35">
      <c r="A24" s="29"/>
      <c r="C24" s="30"/>
      <c r="D24" s="12"/>
      <c r="F24" s="213"/>
      <c r="H24" s="218"/>
      <c r="K24" s="8" t="s">
        <v>28</v>
      </c>
      <c r="L24" s="8"/>
      <c r="M24" s="217" t="s">
        <v>29</v>
      </c>
      <c r="N24" s="8"/>
    </row>
    <row r="25" spans="1:22" x14ac:dyDescent="0.35">
      <c r="A25" s="222" t="s">
        <v>48</v>
      </c>
      <c r="K25" t="s">
        <v>32</v>
      </c>
      <c r="M25" s="150" t="s">
        <v>49</v>
      </c>
    </row>
    <row r="26" spans="1:22" x14ac:dyDescent="0.35">
      <c r="A26" s="5" t="s">
        <v>18</v>
      </c>
      <c r="B26" s="5"/>
      <c r="C26" s="6" t="s">
        <v>50</v>
      </c>
      <c r="D26" s="6" t="s">
        <v>20</v>
      </c>
      <c r="E26" s="7"/>
      <c r="F26" s="7" t="s">
        <v>21</v>
      </c>
      <c r="G26" s="7"/>
      <c r="H26" s="219" t="s">
        <v>51</v>
      </c>
      <c r="I26" s="5"/>
      <c r="K26" t="s">
        <v>37</v>
      </c>
      <c r="M26" s="150" t="s">
        <v>52</v>
      </c>
    </row>
    <row r="27" spans="1:22" x14ac:dyDescent="0.35">
      <c r="A27" s="8" t="s">
        <v>24</v>
      </c>
      <c r="B27" s="8"/>
      <c r="C27" s="9" t="s">
        <v>25</v>
      </c>
      <c r="D27" s="9" t="s">
        <v>26</v>
      </c>
      <c r="E27" s="10"/>
      <c r="F27" s="10" t="s">
        <v>53</v>
      </c>
      <c r="G27" s="8"/>
      <c r="H27" s="220">
        <f>H17*M20</f>
        <v>310666978.39834887</v>
      </c>
      <c r="I27" s="8"/>
      <c r="K27" s="8" t="s">
        <v>54</v>
      </c>
      <c r="L27" s="8"/>
      <c r="M27" s="407">
        <v>8.5152795212305996E-2</v>
      </c>
      <c r="N27" s="408">
        <f>M27/$M$33</f>
        <v>0.53487312890006922</v>
      </c>
      <c r="U27" s="211"/>
    </row>
    <row r="28" spans="1:22" x14ac:dyDescent="0.35">
      <c r="A28" t="s">
        <v>24</v>
      </c>
      <c r="C28" s="12" t="s">
        <v>30</v>
      </c>
      <c r="D28" s="12" t="s">
        <v>31</v>
      </c>
      <c r="F28" s="13" t="s">
        <v>53</v>
      </c>
      <c r="H28" s="56">
        <f>H18*M20</f>
        <v>1242667913.5933955</v>
      </c>
      <c r="K28" t="s">
        <v>55</v>
      </c>
      <c r="M28" s="211">
        <v>5.3605161078281303E-2</v>
      </c>
      <c r="N28" s="218">
        <f t="shared" ref="N28:N32" si="0">M28/$M$33</f>
        <v>0.3367119089825128</v>
      </c>
      <c r="R28" s="211"/>
      <c r="U28" s="211"/>
    </row>
    <row r="29" spans="1:22" x14ac:dyDescent="0.35">
      <c r="A29" s="18" t="s">
        <v>24</v>
      </c>
      <c r="B29" s="18"/>
      <c r="C29" s="18" t="s">
        <v>34</v>
      </c>
      <c r="D29" s="27" t="s">
        <v>35</v>
      </c>
      <c r="E29" s="28"/>
      <c r="F29" s="28" t="s">
        <v>56</v>
      </c>
      <c r="G29" s="18"/>
      <c r="H29" s="221">
        <f>(M33+H19)*M20</f>
        <v>22628435.417147644</v>
      </c>
      <c r="I29" s="18"/>
      <c r="K29" t="s">
        <v>57</v>
      </c>
      <c r="M29" s="211">
        <v>1.28964549408351E-5</v>
      </c>
      <c r="N29" s="218">
        <f t="shared" si="0"/>
        <v>8.1006938042667512E-5</v>
      </c>
      <c r="U29" s="211"/>
      <c r="V29" s="211"/>
    </row>
    <row r="30" spans="1:22" x14ac:dyDescent="0.35">
      <c r="A30" s="19"/>
      <c r="B30" s="20"/>
      <c r="C30" s="21" t="s">
        <v>39</v>
      </c>
      <c r="D30" s="21" t="s">
        <v>20</v>
      </c>
      <c r="E30" s="22"/>
      <c r="F30" s="22" t="s">
        <v>21</v>
      </c>
      <c r="G30" s="22"/>
      <c r="H30" s="22" t="s">
        <v>40</v>
      </c>
      <c r="I30" s="23"/>
      <c r="K30" t="s">
        <v>58</v>
      </c>
      <c r="M30" s="211">
        <v>2.5093000267819498E-3</v>
      </c>
      <c r="N30" s="218">
        <f t="shared" si="0"/>
        <v>1.5761751018596334E-2</v>
      </c>
    </row>
    <row r="31" spans="1:22" x14ac:dyDescent="0.35">
      <c r="A31" s="24" t="s">
        <v>24</v>
      </c>
      <c r="B31" s="8"/>
      <c r="C31" s="25" t="s">
        <v>42</v>
      </c>
      <c r="D31" s="9" t="s">
        <v>43</v>
      </c>
      <c r="E31" s="10"/>
      <c r="F31" s="26" t="s">
        <v>44</v>
      </c>
      <c r="G31" s="8"/>
      <c r="H31" s="220">
        <f>M20</f>
        <v>171407800.519288</v>
      </c>
      <c r="I31" s="8"/>
      <c r="K31" t="s">
        <v>59</v>
      </c>
      <c r="M31" s="211">
        <v>3.4834144710885599E-3</v>
      </c>
      <c r="N31" s="218">
        <f t="shared" si="0"/>
        <v>2.1880488981736404E-2</v>
      </c>
    </row>
    <row r="32" spans="1:22" x14ac:dyDescent="0.35">
      <c r="A32" s="17" t="s">
        <v>24</v>
      </c>
      <c r="B32" s="18"/>
      <c r="C32" s="14" t="s">
        <v>45</v>
      </c>
      <c r="D32" s="27" t="s">
        <v>45</v>
      </c>
      <c r="E32" s="28"/>
      <c r="F32" s="212" t="s">
        <v>46</v>
      </c>
      <c r="G32" s="18"/>
      <c r="H32" s="214">
        <f>$M$40</f>
        <v>-5.2256119372476872E-2</v>
      </c>
      <c r="I32" s="18"/>
      <c r="K32" s="18" t="s">
        <v>60</v>
      </c>
      <c r="L32" s="18"/>
      <c r="M32" s="409">
        <v>1.44382894425355E-2</v>
      </c>
      <c r="N32" s="214">
        <f t="shared" si="0"/>
        <v>9.0691715179042606E-2</v>
      </c>
      <c r="U32" s="211"/>
    </row>
    <row r="33" spans="1:25" x14ac:dyDescent="0.35">
      <c r="H33" s="211"/>
      <c r="K33" s="18" t="s">
        <v>327</v>
      </c>
      <c r="L33" s="18"/>
      <c r="M33" s="237">
        <f>SUM(M27:M32)</f>
        <v>0.15920185668593415</v>
      </c>
      <c r="N33" s="406">
        <f>SUM(N27:N32)</f>
        <v>1</v>
      </c>
    </row>
    <row r="34" spans="1:25" x14ac:dyDescent="0.35">
      <c r="H34" s="211"/>
    </row>
    <row r="35" spans="1:25" ht="15" thickBot="1" x14ac:dyDescent="0.4">
      <c r="A35" s="222" t="s">
        <v>61</v>
      </c>
    </row>
    <row r="36" spans="1:25" x14ac:dyDescent="0.35">
      <c r="A36" s="5" t="s">
        <v>18</v>
      </c>
      <c r="B36" s="5"/>
      <c r="C36" s="6" t="s">
        <v>50</v>
      </c>
      <c r="D36" s="6" t="s">
        <v>20</v>
      </c>
      <c r="E36" s="7"/>
      <c r="F36" s="7" t="s">
        <v>21</v>
      </c>
      <c r="G36" s="7"/>
      <c r="H36" s="219" t="s">
        <v>51</v>
      </c>
      <c r="I36" s="5"/>
      <c r="K36" s="229" t="s">
        <v>62</v>
      </c>
      <c r="L36" s="230"/>
      <c r="M36" s="227"/>
    </row>
    <row r="37" spans="1:25" x14ac:dyDescent="0.35">
      <c r="A37" s="8" t="s">
        <v>24</v>
      </c>
      <c r="B37" s="8"/>
      <c r="C37" s="9" t="s">
        <v>25</v>
      </c>
      <c r="D37" s="9" t="s">
        <v>26</v>
      </c>
      <c r="E37" s="10"/>
      <c r="F37" s="10" t="s">
        <v>27</v>
      </c>
      <c r="G37" s="8"/>
      <c r="H37" s="234">
        <f>H27/$M$20</f>
        <v>1.8124436429215509</v>
      </c>
      <c r="I37" s="8"/>
      <c r="K37" s="231" t="s">
        <v>63</v>
      </c>
      <c r="M37" s="224">
        <f>36.16+26.54+399.01+207.3+1287.89</f>
        <v>1956.9</v>
      </c>
    </row>
    <row r="38" spans="1:25" x14ac:dyDescent="0.35">
      <c r="A38" t="s">
        <v>24</v>
      </c>
      <c r="C38" s="12" t="s">
        <v>30</v>
      </c>
      <c r="D38" s="12" t="s">
        <v>31</v>
      </c>
      <c r="F38" s="13" t="s">
        <v>27</v>
      </c>
      <c r="H38" s="341">
        <f>H28/$M$20</f>
        <v>7.2497745716862037</v>
      </c>
      <c r="K38" s="231" t="s">
        <v>64</v>
      </c>
      <c r="M38" s="224">
        <v>1854.64</v>
      </c>
      <c r="T38" s="211"/>
    </row>
    <row r="39" spans="1:25" x14ac:dyDescent="0.35">
      <c r="A39" s="18" t="s">
        <v>24</v>
      </c>
      <c r="B39" s="18"/>
      <c r="C39" s="18" t="s">
        <v>34</v>
      </c>
      <c r="D39" s="27" t="s">
        <v>35</v>
      </c>
      <c r="E39" s="28"/>
      <c r="F39" s="28" t="s">
        <v>36</v>
      </c>
      <c r="G39" s="18"/>
      <c r="H39" s="235">
        <f>H29/$M$20</f>
        <v>0.13201520204211087</v>
      </c>
      <c r="I39" s="18"/>
      <c r="K39" s="231" t="s">
        <v>65</v>
      </c>
      <c r="M39" s="224">
        <f>M38-M37</f>
        <v>-102.25999999999999</v>
      </c>
      <c r="T39" s="211"/>
    </row>
    <row r="40" spans="1:25" ht="15" thickBot="1" x14ac:dyDescent="0.4">
      <c r="A40" s="19"/>
      <c r="B40" s="20"/>
      <c r="C40" s="21" t="s">
        <v>39</v>
      </c>
      <c r="D40" s="21" t="s">
        <v>20</v>
      </c>
      <c r="E40" s="22"/>
      <c r="F40" s="22" t="s">
        <v>21</v>
      </c>
      <c r="G40" s="22"/>
      <c r="H40" s="152" t="s">
        <v>40</v>
      </c>
      <c r="I40" s="23"/>
      <c r="K40" s="225" t="s">
        <v>66</v>
      </c>
      <c r="L40" s="226"/>
      <c r="M40" s="228">
        <f>M39/M37</f>
        <v>-5.2256119372476872E-2</v>
      </c>
      <c r="T40" s="211"/>
    </row>
    <row r="41" spans="1:25" x14ac:dyDescent="0.35">
      <c r="A41" s="24" t="s">
        <v>24</v>
      </c>
      <c r="B41" s="8"/>
      <c r="C41" s="25" t="s">
        <v>42</v>
      </c>
      <c r="D41" s="9" t="s">
        <v>43</v>
      </c>
      <c r="E41" s="10"/>
      <c r="F41" s="26" t="s">
        <v>44</v>
      </c>
      <c r="G41" s="8"/>
      <c r="H41" s="223">
        <v>1</v>
      </c>
      <c r="I41" s="8"/>
      <c r="T41" s="211"/>
    </row>
    <row r="42" spans="1:25" x14ac:dyDescent="0.35">
      <c r="A42" s="17" t="s">
        <v>24</v>
      </c>
      <c r="B42" s="18"/>
      <c r="C42" s="14" t="s">
        <v>45</v>
      </c>
      <c r="D42" s="27" t="s">
        <v>45</v>
      </c>
      <c r="E42" s="28"/>
      <c r="F42" s="212" t="s">
        <v>46</v>
      </c>
      <c r="G42" s="18"/>
      <c r="H42" s="236">
        <f>$M$40</f>
        <v>-5.2256119372476872E-2</v>
      </c>
      <c r="I42" s="18"/>
      <c r="T42" s="211"/>
    </row>
    <row r="43" spans="1:25" x14ac:dyDescent="0.35">
      <c r="M43" s="42"/>
      <c r="T43" s="211"/>
      <c r="W43" s="211"/>
    </row>
    <row r="44" spans="1:25" ht="15" thickBot="1" x14ac:dyDescent="0.4">
      <c r="A44" s="29"/>
      <c r="C44" s="30"/>
      <c r="D44" s="12"/>
      <c r="F44" s="213"/>
      <c r="H44" s="218"/>
      <c r="Y44" s="211"/>
    </row>
    <row r="45" spans="1:25" x14ac:dyDescent="0.35">
      <c r="A45" s="29"/>
      <c r="C45" s="30"/>
      <c r="D45" s="12"/>
      <c r="F45" s="213"/>
      <c r="H45" s="370"/>
      <c r="K45" s="229" t="s">
        <v>67</v>
      </c>
      <c r="L45" s="230"/>
      <c r="M45" s="227"/>
    </row>
    <row r="46" spans="1:25" x14ac:dyDescent="0.35">
      <c r="K46" s="231" t="s">
        <v>68</v>
      </c>
      <c r="M46" s="233">
        <v>1.48877044699031</v>
      </c>
    </row>
    <row r="47" spans="1:25" ht="15" thickBot="1" x14ac:dyDescent="0.4">
      <c r="K47" s="225" t="s">
        <v>69</v>
      </c>
      <c r="L47" s="226"/>
      <c r="M47" s="232">
        <v>1.4109730807941701</v>
      </c>
    </row>
    <row r="48" spans="1:25" x14ac:dyDescent="0.35">
      <c r="B48" s="211"/>
      <c r="I48" s="211"/>
    </row>
    <row r="49" spans="2:25" x14ac:dyDescent="0.35">
      <c r="B49" s="211"/>
    </row>
    <row r="50" spans="2:25" x14ac:dyDescent="0.35">
      <c r="B50" s="211"/>
    </row>
    <row r="52" spans="2:25" x14ac:dyDescent="0.35">
      <c r="K52" s="211"/>
    </row>
    <row r="55" spans="2:25" x14ac:dyDescent="0.35">
      <c r="I55" s="211"/>
    </row>
    <row r="60" spans="2:25" x14ac:dyDescent="0.35">
      <c r="W60" s="211"/>
      <c r="X60" s="211"/>
      <c r="Y60" s="211"/>
    </row>
    <row r="61" spans="2:25" x14ac:dyDescent="0.35">
      <c r="W61" s="211"/>
      <c r="X61" s="211"/>
      <c r="Y61" s="211"/>
    </row>
    <row r="62" spans="2:25" x14ac:dyDescent="0.35">
      <c r="W62" s="211"/>
      <c r="X62" s="211"/>
      <c r="Y62" s="211"/>
    </row>
    <row r="63" spans="2:25" x14ac:dyDescent="0.35">
      <c r="O63" s="211"/>
      <c r="W63" s="211"/>
      <c r="X63" s="211"/>
      <c r="Y63" s="211"/>
    </row>
    <row r="64" spans="2:25" x14ac:dyDescent="0.35">
      <c r="W64" s="211"/>
      <c r="X64" s="211"/>
      <c r="Y64" s="211"/>
    </row>
    <row r="65" spans="14:26" x14ac:dyDescent="0.35">
      <c r="W65" s="211"/>
      <c r="X65" s="211"/>
      <c r="Y65" s="211"/>
    </row>
    <row r="66" spans="14:26" x14ac:dyDescent="0.35">
      <c r="W66" s="211"/>
    </row>
    <row r="67" spans="14:26" x14ac:dyDescent="0.35">
      <c r="W67" s="211"/>
      <c r="X67" s="211"/>
      <c r="Y67" s="211"/>
      <c r="Z67" s="211"/>
    </row>
    <row r="68" spans="14:26" x14ac:dyDescent="0.35">
      <c r="W68" s="211"/>
    </row>
    <row r="69" spans="14:26" x14ac:dyDescent="0.35">
      <c r="U69" s="211"/>
    </row>
    <row r="71" spans="14:26" x14ac:dyDescent="0.35">
      <c r="U71" s="211"/>
      <c r="X71" s="211"/>
    </row>
    <row r="72" spans="14:26" x14ac:dyDescent="0.35">
      <c r="S72" s="211"/>
    </row>
    <row r="75" spans="14:26" x14ac:dyDescent="0.35">
      <c r="N75" s="211"/>
      <c r="X75" s="211"/>
    </row>
    <row r="76" spans="14:26" x14ac:dyDescent="0.35">
      <c r="X76" s="211"/>
      <c r="Y76" s="211"/>
    </row>
    <row r="78" spans="14:26" x14ac:dyDescent="0.35">
      <c r="S78" s="211"/>
      <c r="T78" s="211"/>
    </row>
    <row r="79" spans="14:26" x14ac:dyDescent="0.35">
      <c r="S79" s="211"/>
    </row>
  </sheetData>
  <mergeCells count="1">
    <mergeCell ref="A12:B1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34E3-8939-4DBF-ACC3-6382D07CC28A}">
  <sheetPr>
    <tabColor theme="5" tint="0.39997558519241921"/>
  </sheetPr>
  <dimension ref="A1:Z70"/>
  <sheetViews>
    <sheetView showGridLines="0" topLeftCell="A10" zoomScale="70" zoomScaleNormal="70" workbookViewId="0">
      <selection activeCell="C11" sqref="C11"/>
    </sheetView>
  </sheetViews>
  <sheetFormatPr defaultRowHeight="14.5" x14ac:dyDescent="0.35"/>
  <cols>
    <col min="1" max="1" width="22.453125" customWidth="1"/>
    <col min="2" max="2" width="11.453125" bestFit="1" customWidth="1"/>
    <col min="3" max="3" width="23.54296875" bestFit="1" customWidth="1"/>
    <col min="4" max="4" width="64.81640625" customWidth="1"/>
    <col min="5" max="5" width="8.7265625" style="13"/>
    <col min="6" max="6" width="13.26953125" bestFit="1" customWidth="1"/>
    <col min="8" max="8" width="10.1796875" customWidth="1"/>
    <col min="9" max="9" width="11.81640625" bestFit="1" customWidth="1"/>
    <col min="10" max="10" width="11.81640625" customWidth="1"/>
    <col min="11" max="11" width="23.453125" bestFit="1" customWidth="1"/>
    <col min="12" max="12" width="11.453125" customWidth="1"/>
    <col min="13" max="13" width="15.81640625" customWidth="1"/>
    <col min="14" max="14" width="14.54296875" customWidth="1"/>
    <col min="15" max="15" width="10.81640625" bestFit="1" customWidth="1"/>
    <col min="19" max="19" width="11.81640625" bestFit="1" customWidth="1"/>
    <col min="20" max="21" width="10.81640625" bestFit="1" customWidth="1"/>
    <col min="23" max="25" width="10.81640625" bestFit="1" customWidth="1"/>
    <col min="26" max="26" width="11.81640625" bestFit="1" customWidth="1"/>
  </cols>
  <sheetData>
    <row r="1" spans="1:16" x14ac:dyDescent="0.35">
      <c r="A1" s="1" t="s">
        <v>70</v>
      </c>
    </row>
    <row r="2" spans="1:16" x14ac:dyDescent="0.35">
      <c r="A2" s="1"/>
    </row>
    <row r="3" spans="1:16" x14ac:dyDescent="0.35">
      <c r="A3" s="2" t="s">
        <v>71</v>
      </c>
      <c r="B3" s="3"/>
      <c r="C3" s="3"/>
      <c r="D3" s="3"/>
      <c r="E3" s="215"/>
      <c r="F3" s="3"/>
      <c r="G3" s="3"/>
      <c r="H3" s="3"/>
      <c r="I3" s="3"/>
      <c r="J3" s="3"/>
    </row>
    <row r="4" spans="1:16" x14ac:dyDescent="0.35">
      <c r="A4" s="4" t="s">
        <v>2</v>
      </c>
      <c r="B4" s="4"/>
      <c r="C4" s="4"/>
      <c r="D4" s="4"/>
      <c r="E4" s="216"/>
      <c r="F4" s="4"/>
      <c r="G4" s="4"/>
      <c r="H4" s="4"/>
      <c r="I4" s="4"/>
      <c r="J4" s="4"/>
    </row>
    <row r="5" spans="1:16" x14ac:dyDescent="0.35">
      <c r="A5" t="s">
        <v>3</v>
      </c>
      <c r="B5" t="s">
        <v>72</v>
      </c>
    </row>
    <row r="6" spans="1:16" x14ac:dyDescent="0.35">
      <c r="A6" t="s">
        <v>5</v>
      </c>
      <c r="B6" t="s">
        <v>6</v>
      </c>
      <c r="P6" s="13"/>
    </row>
    <row r="7" spans="1:16" x14ac:dyDescent="0.35">
      <c r="A7" t="s">
        <v>7</v>
      </c>
      <c r="B7" t="s">
        <v>73</v>
      </c>
      <c r="P7" s="13"/>
    </row>
    <row r="8" spans="1:16" x14ac:dyDescent="0.35">
      <c r="A8" t="s">
        <v>9</v>
      </c>
      <c r="B8" s="12">
        <v>2014</v>
      </c>
    </row>
    <row r="10" spans="1:16" x14ac:dyDescent="0.35">
      <c r="A10" s="4" t="s">
        <v>10</v>
      </c>
      <c r="B10" s="4"/>
      <c r="C10" s="4"/>
      <c r="D10" s="4"/>
      <c r="E10" s="216"/>
      <c r="F10" s="4"/>
      <c r="G10" s="4"/>
      <c r="H10" s="4"/>
      <c r="I10" s="4"/>
      <c r="J10" s="4"/>
    </row>
    <row r="11" spans="1:16" x14ac:dyDescent="0.35">
      <c r="A11" s="39" t="s">
        <v>74</v>
      </c>
      <c r="B11" s="45"/>
      <c r="C11" s="352">
        <f>AVERAGE(L13:L20)</f>
        <v>146.16249999999999</v>
      </c>
      <c r="D11" s="5"/>
      <c r="E11" s="36"/>
      <c r="H11" s="5"/>
      <c r="I11" s="5"/>
      <c r="J11" s="5"/>
      <c r="K11" s="414"/>
      <c r="L11" s="414"/>
      <c r="M11" s="414"/>
      <c r="N11" s="414"/>
    </row>
    <row r="12" spans="1:16" ht="30.65" customHeight="1" x14ac:dyDescent="0.35">
      <c r="A12" s="413" t="s">
        <v>75</v>
      </c>
      <c r="B12" s="413"/>
      <c r="C12" s="240">
        <v>1</v>
      </c>
      <c r="D12" s="241"/>
      <c r="E12" s="358"/>
      <c r="H12" s="5"/>
      <c r="I12" s="5"/>
      <c r="J12" s="5"/>
      <c r="K12" s="240" t="s">
        <v>326</v>
      </c>
      <c r="L12" s="350" t="s">
        <v>76</v>
      </c>
      <c r="M12" s="350" t="s">
        <v>77</v>
      </c>
      <c r="N12" s="350"/>
    </row>
    <row r="13" spans="1:16" x14ac:dyDescent="0.35">
      <c r="A13" s="6" t="s">
        <v>16</v>
      </c>
      <c r="B13" s="6"/>
      <c r="C13" s="6">
        <v>1.109</v>
      </c>
      <c r="E13" s="7"/>
      <c r="F13" s="5"/>
      <c r="G13" s="5"/>
      <c r="H13" s="5"/>
      <c r="I13" s="5"/>
      <c r="J13" s="5"/>
      <c r="K13" s="8" t="s">
        <v>78</v>
      </c>
      <c r="L13" s="10">
        <v>176.9</v>
      </c>
      <c r="M13" s="359">
        <v>-0.28599999999999998</v>
      </c>
      <c r="N13" s="213"/>
    </row>
    <row r="14" spans="1:16" x14ac:dyDescent="0.35">
      <c r="A14" s="6"/>
      <c r="B14" s="6"/>
      <c r="C14" s="6"/>
      <c r="D14" s="6"/>
      <c r="E14" s="7"/>
      <c r="F14" s="5"/>
      <c r="G14" s="5"/>
      <c r="H14" s="5"/>
      <c r="I14" s="5"/>
      <c r="J14" s="5"/>
      <c r="K14" t="s">
        <v>79</v>
      </c>
      <c r="L14" s="13">
        <v>208</v>
      </c>
      <c r="M14" s="360">
        <v>-0.40200000000000002</v>
      </c>
      <c r="N14" s="360"/>
    </row>
    <row r="15" spans="1:16" x14ac:dyDescent="0.35">
      <c r="A15" s="222" t="s">
        <v>17</v>
      </c>
      <c r="K15" t="s">
        <v>80</v>
      </c>
      <c r="L15" s="13">
        <v>98.4</v>
      </c>
      <c r="M15" s="360">
        <v>-0.18</v>
      </c>
      <c r="N15" s="351"/>
    </row>
    <row r="16" spans="1:16" x14ac:dyDescent="0.35">
      <c r="A16" s="5" t="s">
        <v>18</v>
      </c>
      <c r="B16" s="5"/>
      <c r="C16" s="6" t="s">
        <v>19</v>
      </c>
      <c r="D16" s="6" t="s">
        <v>20</v>
      </c>
      <c r="E16" s="7"/>
      <c r="F16" s="7" t="s">
        <v>21</v>
      </c>
      <c r="G16" s="7"/>
      <c r="H16" s="7" t="s">
        <v>22</v>
      </c>
      <c r="I16" s="5"/>
      <c r="J16" s="5"/>
      <c r="K16" t="s">
        <v>81</v>
      </c>
      <c r="L16" s="13">
        <v>180</v>
      </c>
      <c r="M16" s="360">
        <v>-0.35799999999999998</v>
      </c>
    </row>
    <row r="17" spans="1:16" x14ac:dyDescent="0.35">
      <c r="A17" s="8" t="s">
        <v>24</v>
      </c>
      <c r="B17" s="8"/>
      <c r="C17" s="9" t="s">
        <v>34</v>
      </c>
      <c r="D17" s="9" t="s">
        <v>35</v>
      </c>
      <c r="E17" s="10"/>
      <c r="F17" s="10" t="s">
        <v>36</v>
      </c>
      <c r="G17" s="8"/>
      <c r="H17" s="32">
        <f>-H18*C12</f>
        <v>-0.1317966636609558</v>
      </c>
      <c r="I17" s="8"/>
      <c r="K17" t="s">
        <v>82</v>
      </c>
      <c r="L17" s="13">
        <v>160</v>
      </c>
      <c r="M17" s="360">
        <v>-0.20499999999999999</v>
      </c>
      <c r="N17" s="150"/>
    </row>
    <row r="18" spans="1:16" x14ac:dyDescent="0.35">
      <c r="A18" t="s">
        <v>24</v>
      </c>
      <c r="C18" s="12" t="s">
        <v>83</v>
      </c>
      <c r="D18" s="12" t="s">
        <v>84</v>
      </c>
      <c r="F18" s="13" t="s">
        <v>36</v>
      </c>
      <c r="H18" s="31">
        <f>C11/C13/10^3</f>
        <v>0.1317966636609558</v>
      </c>
      <c r="K18" t="s">
        <v>85</v>
      </c>
      <c r="L18" s="13">
        <v>140</v>
      </c>
      <c r="M18" s="360">
        <v>-0.26400000000000001</v>
      </c>
    </row>
    <row r="19" spans="1:16" x14ac:dyDescent="0.35">
      <c r="A19" s="19"/>
      <c r="B19" s="20"/>
      <c r="C19" s="21" t="s">
        <v>39</v>
      </c>
      <c r="D19" s="21" t="s">
        <v>20</v>
      </c>
      <c r="E19" s="22"/>
      <c r="F19" s="22" t="s">
        <v>21</v>
      </c>
      <c r="G19" s="22"/>
      <c r="H19" s="22" t="s">
        <v>40</v>
      </c>
      <c r="I19" s="23"/>
      <c r="J19" s="5"/>
      <c r="K19" t="s">
        <v>86</v>
      </c>
      <c r="L19" s="13">
        <v>116</v>
      </c>
      <c r="M19" s="360">
        <v>-0.23899999999999999</v>
      </c>
    </row>
    <row r="20" spans="1:16" x14ac:dyDescent="0.35">
      <c r="A20" s="24" t="s">
        <v>24</v>
      </c>
      <c r="B20" s="8"/>
      <c r="C20" s="25" t="s">
        <v>42</v>
      </c>
      <c r="D20" s="9" t="s">
        <v>43</v>
      </c>
      <c r="E20" s="10"/>
      <c r="F20" s="26" t="s">
        <v>44</v>
      </c>
      <c r="G20" s="8"/>
      <c r="H20" s="11">
        <v>1</v>
      </c>
      <c r="I20" s="8"/>
      <c r="K20" s="18" t="s">
        <v>87</v>
      </c>
      <c r="L20" s="28">
        <v>90</v>
      </c>
      <c r="M20" s="353">
        <v>-0.17799999999999999</v>
      </c>
      <c r="P20" s="211"/>
    </row>
    <row r="21" spans="1:16" x14ac:dyDescent="0.35">
      <c r="A21" s="17" t="s">
        <v>24</v>
      </c>
      <c r="B21" s="18"/>
      <c r="C21" s="14" t="s">
        <v>45</v>
      </c>
      <c r="D21" s="27" t="s">
        <v>88</v>
      </c>
      <c r="E21" s="28"/>
      <c r="F21" s="212" t="s">
        <v>46</v>
      </c>
      <c r="G21" s="18"/>
      <c r="H21" s="214">
        <f>AVERAGE(M13:M20)</f>
        <v>-0.26400000000000001</v>
      </c>
      <c r="I21" s="18"/>
    </row>
    <row r="22" spans="1:16" x14ac:dyDescent="0.35">
      <c r="A22" s="29"/>
      <c r="C22" s="30"/>
      <c r="D22" s="12"/>
      <c r="F22" s="213"/>
      <c r="H22" s="218"/>
      <c r="K22" s="5" t="s">
        <v>47</v>
      </c>
      <c r="N22" s="7" t="s">
        <v>46</v>
      </c>
    </row>
    <row r="23" spans="1:16" x14ac:dyDescent="0.35">
      <c r="H23" s="211"/>
      <c r="K23" s="8" t="s">
        <v>28</v>
      </c>
      <c r="L23" s="8"/>
      <c r="M23" s="217" t="s">
        <v>29</v>
      </c>
      <c r="N23" s="410"/>
    </row>
    <row r="24" spans="1:16" x14ac:dyDescent="0.35">
      <c r="A24" s="222" t="s">
        <v>61</v>
      </c>
      <c r="H24" s="211"/>
      <c r="K24" t="s">
        <v>32</v>
      </c>
      <c r="M24" s="150" t="s">
        <v>49</v>
      </c>
      <c r="N24" s="354"/>
    </row>
    <row r="25" spans="1:16" x14ac:dyDescent="0.35">
      <c r="A25" s="5" t="s">
        <v>18</v>
      </c>
      <c r="B25" s="5"/>
      <c r="C25" s="6" t="s">
        <v>50</v>
      </c>
      <c r="D25" s="6" t="s">
        <v>20</v>
      </c>
      <c r="E25" s="7"/>
      <c r="F25" s="7" t="s">
        <v>21</v>
      </c>
      <c r="G25" s="7"/>
      <c r="H25" s="364" t="s">
        <v>40</v>
      </c>
      <c r="I25" s="5"/>
      <c r="K25" t="s">
        <v>37</v>
      </c>
      <c r="M25" s="150" t="s">
        <v>52</v>
      </c>
      <c r="N25" s="354"/>
    </row>
    <row r="26" spans="1:16" x14ac:dyDescent="0.35">
      <c r="A26" s="8" t="s">
        <v>24</v>
      </c>
      <c r="B26" s="8"/>
      <c r="C26" s="9" t="s">
        <v>34</v>
      </c>
      <c r="D26" s="9" t="s">
        <v>35</v>
      </c>
      <c r="E26" s="10"/>
      <c r="F26" s="10" t="s">
        <v>36</v>
      </c>
      <c r="G26" s="8"/>
      <c r="H26" s="361">
        <f>M32+H17</f>
        <v>2.7405193024978347E-2</v>
      </c>
      <c r="I26" s="8"/>
      <c r="K26" s="8" t="s">
        <v>54</v>
      </c>
      <c r="L26" s="8"/>
      <c r="M26" s="407">
        <v>8.5152795212305996E-2</v>
      </c>
      <c r="N26" s="408">
        <f>M26/$M$32</f>
        <v>0.53487312890006922</v>
      </c>
    </row>
    <row r="27" spans="1:16" x14ac:dyDescent="0.35">
      <c r="A27" t="s">
        <v>24</v>
      </c>
      <c r="C27" s="12" t="s">
        <v>83</v>
      </c>
      <c r="D27" s="12" t="s">
        <v>84</v>
      </c>
      <c r="F27" s="13" t="s">
        <v>36</v>
      </c>
      <c r="H27" s="362">
        <f>H18</f>
        <v>0.1317966636609558</v>
      </c>
      <c r="K27" t="s">
        <v>55</v>
      </c>
      <c r="M27" s="211">
        <v>5.3605161078281303E-2</v>
      </c>
      <c r="N27" s="218">
        <f t="shared" ref="N27:N31" si="0">M27/$M$32</f>
        <v>0.3367119089825128</v>
      </c>
    </row>
    <row r="28" spans="1:16" x14ac:dyDescent="0.35">
      <c r="A28" s="19"/>
      <c r="B28" s="20"/>
      <c r="C28" s="21" t="s">
        <v>39</v>
      </c>
      <c r="D28" s="21" t="s">
        <v>20</v>
      </c>
      <c r="E28" s="22"/>
      <c r="F28" s="22" t="s">
        <v>21</v>
      </c>
      <c r="G28" s="22"/>
      <c r="H28" s="363" t="s">
        <v>40</v>
      </c>
      <c r="I28" s="23"/>
      <c r="K28" t="s">
        <v>57</v>
      </c>
      <c r="M28" s="411">
        <v>1.28964549408351E-5</v>
      </c>
      <c r="N28" s="218">
        <f t="shared" si="0"/>
        <v>8.1006938042667512E-5</v>
      </c>
    </row>
    <row r="29" spans="1:16" x14ac:dyDescent="0.35">
      <c r="A29" s="24" t="s">
        <v>24</v>
      </c>
      <c r="B29" s="8"/>
      <c r="C29" s="25" t="s">
        <v>42</v>
      </c>
      <c r="D29" s="9" t="s">
        <v>43</v>
      </c>
      <c r="E29" s="10"/>
      <c r="F29" s="26" t="s">
        <v>44</v>
      </c>
      <c r="G29" s="8"/>
      <c r="H29" s="323">
        <v>1</v>
      </c>
      <c r="I29" s="8"/>
      <c r="K29" t="s">
        <v>58</v>
      </c>
      <c r="M29" s="211">
        <v>2.5093000267819498E-3</v>
      </c>
      <c r="N29" s="218">
        <f t="shared" si="0"/>
        <v>1.5761751018596334E-2</v>
      </c>
    </row>
    <row r="30" spans="1:16" x14ac:dyDescent="0.35">
      <c r="A30" s="17" t="s">
        <v>24</v>
      </c>
      <c r="B30" s="18"/>
      <c r="C30" s="14" t="s">
        <v>45</v>
      </c>
      <c r="D30" s="27" t="s">
        <v>88</v>
      </c>
      <c r="E30" s="28"/>
      <c r="F30" s="212" t="s">
        <v>46</v>
      </c>
      <c r="G30" s="18"/>
      <c r="H30" s="236">
        <f>H21</f>
        <v>-0.26400000000000001</v>
      </c>
      <c r="I30" s="18"/>
      <c r="K30" t="s">
        <v>59</v>
      </c>
      <c r="M30" s="211">
        <v>3.4834144710885599E-3</v>
      </c>
      <c r="N30" s="218">
        <f t="shared" si="0"/>
        <v>2.1880488981736404E-2</v>
      </c>
    </row>
    <row r="31" spans="1:16" ht="16.5" customHeight="1" x14ac:dyDescent="0.35">
      <c r="H31" s="211"/>
      <c r="K31" s="17" t="s">
        <v>89</v>
      </c>
      <c r="L31" s="17"/>
      <c r="M31" s="409">
        <v>1.44382894425355E-2</v>
      </c>
      <c r="N31" s="214">
        <f t="shared" si="0"/>
        <v>9.0691715179042606E-2</v>
      </c>
    </row>
    <row r="32" spans="1:16" x14ac:dyDescent="0.35">
      <c r="K32" s="18" t="s">
        <v>327</v>
      </c>
      <c r="L32" s="18"/>
      <c r="M32" s="237">
        <f>SUM(M26:M31)</f>
        <v>0.15920185668593415</v>
      </c>
      <c r="N32" s="214">
        <f>SUM(N26:N31)</f>
        <v>1</v>
      </c>
    </row>
    <row r="33" spans="1:14" x14ac:dyDescent="0.35">
      <c r="N33" s="354"/>
    </row>
    <row r="34" spans="1:14" x14ac:dyDescent="0.35">
      <c r="N34" s="354"/>
    </row>
    <row r="35" spans="1:14" x14ac:dyDescent="0.35">
      <c r="A35" s="1" t="s">
        <v>90</v>
      </c>
      <c r="C35" s="30"/>
      <c r="D35" s="12"/>
      <c r="F35" s="213"/>
      <c r="H35" s="218"/>
      <c r="L35" s="5"/>
      <c r="M35" s="5"/>
      <c r="N35" s="5"/>
    </row>
    <row r="36" spans="1:14" x14ac:dyDescent="0.35">
      <c r="N36" s="42"/>
    </row>
    <row r="37" spans="1:14" x14ac:dyDescent="0.35">
      <c r="A37" s="4" t="s">
        <v>10</v>
      </c>
      <c r="B37" s="4"/>
      <c r="C37" s="4"/>
      <c r="D37" s="4"/>
      <c r="E37" s="216"/>
      <c r="F37" s="4"/>
      <c r="G37" s="4"/>
      <c r="H37" s="4"/>
      <c r="I37" s="4"/>
      <c r="J37" s="4"/>
    </row>
    <row r="38" spans="1:14" x14ac:dyDescent="0.35">
      <c r="A38" s="39" t="s">
        <v>74</v>
      </c>
      <c r="B38" s="45"/>
      <c r="C38" s="352">
        <f>AVERAGE(L40:L47)</f>
        <v>146.16249999999999</v>
      </c>
      <c r="D38" s="5"/>
      <c r="E38" s="357" t="s">
        <v>91</v>
      </c>
      <c r="F38" s="357">
        <v>0.8</v>
      </c>
      <c r="H38" s="5"/>
      <c r="I38" s="5"/>
      <c r="J38" s="5"/>
      <c r="K38" s="414"/>
      <c r="L38" s="414"/>
      <c r="M38" s="414"/>
      <c r="N38" s="414"/>
    </row>
    <row r="39" spans="1:14" ht="27" customHeight="1" x14ac:dyDescent="0.35">
      <c r="A39" s="413" t="s">
        <v>75</v>
      </c>
      <c r="B39" s="413"/>
      <c r="C39" s="240">
        <v>1</v>
      </c>
      <c r="D39" s="241"/>
      <c r="E39" s="242"/>
      <c r="H39" s="5"/>
      <c r="I39" s="5"/>
      <c r="J39" s="5"/>
      <c r="K39" s="240" t="s">
        <v>326</v>
      </c>
      <c r="L39" s="350" t="s">
        <v>76</v>
      </c>
      <c r="M39" s="350" t="s">
        <v>77</v>
      </c>
      <c r="N39" s="350"/>
    </row>
    <row r="40" spans="1:14" x14ac:dyDescent="0.35">
      <c r="A40" s="6" t="s">
        <v>16</v>
      </c>
      <c r="B40" s="6"/>
      <c r="C40" s="6">
        <v>1.109</v>
      </c>
      <c r="E40" s="7"/>
      <c r="F40" s="5"/>
      <c r="G40" s="5"/>
      <c r="H40" s="5"/>
      <c r="I40" s="5"/>
      <c r="J40" s="5"/>
      <c r="K40" s="8" t="s">
        <v>78</v>
      </c>
      <c r="L40" s="10">
        <v>176.9</v>
      </c>
      <c r="M40" s="359">
        <v>-0.28599999999999998</v>
      </c>
      <c r="N40" s="213"/>
    </row>
    <row r="41" spans="1:14" x14ac:dyDescent="0.35">
      <c r="A41" s="6"/>
      <c r="B41" s="6"/>
      <c r="C41" s="6"/>
      <c r="D41" s="6"/>
      <c r="E41" s="7"/>
      <c r="F41" s="5"/>
      <c r="G41" s="5"/>
      <c r="H41" s="5"/>
      <c r="I41" s="5"/>
      <c r="J41" s="5"/>
      <c r="K41" t="s">
        <v>79</v>
      </c>
      <c r="L41" s="13">
        <v>208</v>
      </c>
      <c r="M41" s="360">
        <v>-0.40200000000000002</v>
      </c>
      <c r="N41" s="360"/>
    </row>
    <row r="42" spans="1:14" x14ac:dyDescent="0.35">
      <c r="A42" s="222" t="s">
        <v>17</v>
      </c>
      <c r="K42" t="s">
        <v>80</v>
      </c>
      <c r="L42" s="13">
        <v>98.4</v>
      </c>
      <c r="M42" s="360">
        <v>-0.18</v>
      </c>
      <c r="N42" s="351"/>
    </row>
    <row r="43" spans="1:14" x14ac:dyDescent="0.35">
      <c r="A43" s="5" t="s">
        <v>18</v>
      </c>
      <c r="B43" s="5"/>
      <c r="C43" s="6" t="s">
        <v>19</v>
      </c>
      <c r="D43" s="6" t="s">
        <v>20</v>
      </c>
      <c r="E43" s="7"/>
      <c r="F43" s="7" t="s">
        <v>21</v>
      </c>
      <c r="G43" s="7"/>
      <c r="H43" s="7" t="s">
        <v>22</v>
      </c>
      <c r="I43" s="5"/>
      <c r="J43" s="5"/>
      <c r="K43" t="s">
        <v>81</v>
      </c>
      <c r="L43" s="13">
        <v>180</v>
      </c>
      <c r="M43" s="360">
        <v>-0.35799999999999998</v>
      </c>
    </row>
    <row r="44" spans="1:14" x14ac:dyDescent="0.35">
      <c r="A44" s="8" t="s">
        <v>24</v>
      </c>
      <c r="B44" s="8"/>
      <c r="C44" s="9" t="s">
        <v>34</v>
      </c>
      <c r="D44" s="9" t="s">
        <v>35</v>
      </c>
      <c r="E44" s="10"/>
      <c r="F44" s="10" t="s">
        <v>36</v>
      </c>
      <c r="G44" s="8"/>
      <c r="H44" s="32">
        <f>-H45*C39</f>
        <v>-0.1317966636609558</v>
      </c>
      <c r="I44" s="8"/>
      <c r="K44" t="s">
        <v>82</v>
      </c>
      <c r="L44" s="13">
        <v>160</v>
      </c>
      <c r="M44" s="360">
        <v>-0.20499999999999999</v>
      </c>
      <c r="N44" s="150"/>
    </row>
    <row r="45" spans="1:14" x14ac:dyDescent="0.35">
      <c r="A45" t="s">
        <v>24</v>
      </c>
      <c r="C45" s="12" t="s">
        <v>83</v>
      </c>
      <c r="D45" s="12" t="s">
        <v>84</v>
      </c>
      <c r="F45" s="13" t="s">
        <v>36</v>
      </c>
      <c r="H45" s="31">
        <f>C38/C40/10^3</f>
        <v>0.1317966636609558</v>
      </c>
      <c r="K45" t="s">
        <v>85</v>
      </c>
      <c r="L45" s="13">
        <v>140</v>
      </c>
      <c r="M45" s="360">
        <v>-0.26400000000000001</v>
      </c>
    </row>
    <row r="46" spans="1:14" x14ac:dyDescent="0.35">
      <c r="A46" s="19"/>
      <c r="B46" s="20"/>
      <c r="C46" s="21" t="s">
        <v>39</v>
      </c>
      <c r="D46" s="21" t="s">
        <v>20</v>
      </c>
      <c r="E46" s="22"/>
      <c r="F46" s="22" t="s">
        <v>21</v>
      </c>
      <c r="G46" s="22"/>
      <c r="H46" s="22" t="s">
        <v>40</v>
      </c>
      <c r="I46" s="23"/>
      <c r="J46" s="5"/>
      <c r="K46" t="s">
        <v>86</v>
      </c>
      <c r="L46" s="13">
        <v>116</v>
      </c>
      <c r="M46" s="360">
        <v>-0.23899999999999999</v>
      </c>
    </row>
    <row r="47" spans="1:14" x14ac:dyDescent="0.35">
      <c r="A47" s="24" t="s">
        <v>24</v>
      </c>
      <c r="B47" s="8"/>
      <c r="C47" s="25" t="s">
        <v>42</v>
      </c>
      <c r="D47" s="9" t="s">
        <v>43</v>
      </c>
      <c r="E47" s="10"/>
      <c r="F47" s="26" t="s">
        <v>44</v>
      </c>
      <c r="G47" s="8"/>
      <c r="H47" s="11">
        <v>1</v>
      </c>
      <c r="I47" s="8"/>
      <c r="K47" s="18" t="s">
        <v>87</v>
      </c>
      <c r="L47" s="28">
        <v>90</v>
      </c>
      <c r="M47" s="353">
        <v>-0.17799999999999999</v>
      </c>
    </row>
    <row r="48" spans="1:14" x14ac:dyDescent="0.35">
      <c r="A48" s="17" t="s">
        <v>24</v>
      </c>
      <c r="B48" s="18"/>
      <c r="C48" s="14" t="s">
        <v>45</v>
      </c>
      <c r="D48" s="27" t="s">
        <v>88</v>
      </c>
      <c r="E48" s="28"/>
      <c r="F48" s="212" t="s">
        <v>46</v>
      </c>
      <c r="G48" s="18"/>
      <c r="H48" s="214">
        <f>AVERAGE(M40:M47)*(1-F38)-F38</f>
        <v>-0.8528</v>
      </c>
      <c r="I48" s="18"/>
    </row>
    <row r="49" spans="1:26" x14ac:dyDescent="0.35">
      <c r="K49" s="5" t="s">
        <v>47</v>
      </c>
      <c r="N49" s="7" t="s">
        <v>46</v>
      </c>
    </row>
    <row r="50" spans="1:26" x14ac:dyDescent="0.35">
      <c r="K50" s="8" t="s">
        <v>28</v>
      </c>
      <c r="L50" s="8"/>
      <c r="M50" s="217" t="s">
        <v>29</v>
      </c>
      <c r="N50" s="8"/>
      <c r="X50" s="211"/>
      <c r="Y50" s="211"/>
      <c r="Z50" s="211"/>
    </row>
    <row r="51" spans="1:26" x14ac:dyDescent="0.35">
      <c r="A51" s="222" t="s">
        <v>61</v>
      </c>
      <c r="H51" s="211"/>
      <c r="K51" t="s">
        <v>32</v>
      </c>
      <c r="M51" s="150" t="s">
        <v>49</v>
      </c>
      <c r="X51" s="211"/>
      <c r="Y51" s="211"/>
      <c r="Z51" s="211"/>
    </row>
    <row r="52" spans="1:26" x14ac:dyDescent="0.35">
      <c r="A52" s="5" t="s">
        <v>18</v>
      </c>
      <c r="B52" s="5"/>
      <c r="C52" s="6" t="s">
        <v>50</v>
      </c>
      <c r="D52" s="6" t="s">
        <v>20</v>
      </c>
      <c r="E52" s="7"/>
      <c r="F52" s="7" t="s">
        <v>21</v>
      </c>
      <c r="G52" s="7"/>
      <c r="H52" s="364" t="s">
        <v>40</v>
      </c>
      <c r="I52" s="5"/>
      <c r="K52" t="s">
        <v>37</v>
      </c>
      <c r="M52" s="150" t="s">
        <v>52</v>
      </c>
      <c r="X52" s="211"/>
      <c r="Y52" s="211"/>
      <c r="Z52" s="211"/>
    </row>
    <row r="53" spans="1:26" x14ac:dyDescent="0.35">
      <c r="A53" s="8" t="s">
        <v>24</v>
      </c>
      <c r="B53" s="8"/>
      <c r="C53" s="9" t="s">
        <v>34</v>
      </c>
      <c r="D53" s="9" t="s">
        <v>35</v>
      </c>
      <c r="E53" s="10"/>
      <c r="F53" s="10" t="s">
        <v>36</v>
      </c>
      <c r="G53" s="8"/>
      <c r="H53" s="361">
        <f>M59+H44</f>
        <v>2.7405193024978347E-2</v>
      </c>
      <c r="I53" s="8"/>
      <c r="K53" s="8" t="s">
        <v>54</v>
      </c>
      <c r="L53" s="8"/>
      <c r="M53" s="407">
        <v>8.5152795212305996E-2</v>
      </c>
      <c r="N53" s="408">
        <f>M53/$M$59</f>
        <v>0.53487312890006922</v>
      </c>
      <c r="P53" s="211"/>
      <c r="X53" s="211"/>
      <c r="Y53" s="211"/>
      <c r="Z53" s="211"/>
    </row>
    <row r="54" spans="1:26" x14ac:dyDescent="0.35">
      <c r="A54" t="s">
        <v>24</v>
      </c>
      <c r="C54" s="12" t="s">
        <v>83</v>
      </c>
      <c r="D54" s="12" t="s">
        <v>84</v>
      </c>
      <c r="F54" s="13" t="s">
        <v>36</v>
      </c>
      <c r="H54" s="362">
        <f>H45</f>
        <v>0.1317966636609558</v>
      </c>
      <c r="K54" t="s">
        <v>55</v>
      </c>
      <c r="M54" s="211">
        <v>5.3605161078281303E-2</v>
      </c>
      <c r="N54" s="218">
        <f t="shared" ref="N54:N58" si="1">M54/$M$59</f>
        <v>0.3367119089825128</v>
      </c>
      <c r="X54" s="211"/>
      <c r="Y54" s="211"/>
      <c r="Z54" s="211"/>
    </row>
    <row r="55" spans="1:26" x14ac:dyDescent="0.35">
      <c r="A55" s="19"/>
      <c r="B55" s="20"/>
      <c r="C55" s="21" t="s">
        <v>39</v>
      </c>
      <c r="D55" s="21" t="s">
        <v>20</v>
      </c>
      <c r="E55" s="22"/>
      <c r="F55" s="22" t="s">
        <v>21</v>
      </c>
      <c r="G55" s="22"/>
      <c r="H55" s="363" t="s">
        <v>40</v>
      </c>
      <c r="I55" s="23"/>
      <c r="K55" s="29" t="s">
        <v>57</v>
      </c>
      <c r="L55" s="29"/>
      <c r="M55" s="411">
        <v>1.28964549408351E-5</v>
      </c>
      <c r="N55" s="218">
        <f t="shared" si="1"/>
        <v>8.1006938042667512E-5</v>
      </c>
      <c r="X55" s="211"/>
      <c r="Y55" s="211"/>
      <c r="Z55" s="211"/>
    </row>
    <row r="56" spans="1:26" x14ac:dyDescent="0.35">
      <c r="A56" s="24" t="s">
        <v>24</v>
      </c>
      <c r="B56" s="8"/>
      <c r="C56" s="25" t="s">
        <v>42</v>
      </c>
      <c r="D56" s="9" t="s">
        <v>43</v>
      </c>
      <c r="E56" s="10"/>
      <c r="F56" s="26" t="s">
        <v>44</v>
      </c>
      <c r="G56" s="8"/>
      <c r="H56" s="323">
        <v>1</v>
      </c>
      <c r="I56" s="8"/>
      <c r="K56" t="s">
        <v>92</v>
      </c>
      <c r="M56" s="211">
        <v>2.5093000267819498E-3</v>
      </c>
      <c r="N56" s="218">
        <f t="shared" si="1"/>
        <v>1.5761751018596334E-2</v>
      </c>
      <c r="X56" s="211"/>
    </row>
    <row r="57" spans="1:26" x14ac:dyDescent="0.35">
      <c r="A57" s="17" t="s">
        <v>24</v>
      </c>
      <c r="B57" s="18"/>
      <c r="C57" s="14" t="s">
        <v>45</v>
      </c>
      <c r="D57" s="27" t="s">
        <v>88</v>
      </c>
      <c r="E57" s="28"/>
      <c r="F57" s="212" t="s">
        <v>46</v>
      </c>
      <c r="G57" s="18"/>
      <c r="H57" s="236">
        <f>H48</f>
        <v>-0.8528</v>
      </c>
      <c r="I57" s="18"/>
      <c r="K57" t="s">
        <v>59</v>
      </c>
      <c r="M57" s="211">
        <v>3.4834144710885599E-3</v>
      </c>
      <c r="N57" s="218">
        <f t="shared" si="1"/>
        <v>2.1880488981736404E-2</v>
      </c>
      <c r="V57" s="211"/>
    </row>
    <row r="58" spans="1:26" x14ac:dyDescent="0.35">
      <c r="K58" s="18" t="s">
        <v>60</v>
      </c>
      <c r="L58" s="18"/>
      <c r="M58" s="409">
        <v>1.44382894425355E-2</v>
      </c>
      <c r="N58" s="214">
        <f t="shared" si="1"/>
        <v>9.0691715179042606E-2</v>
      </c>
    </row>
    <row r="59" spans="1:26" x14ac:dyDescent="0.35">
      <c r="K59" s="18" t="s">
        <v>327</v>
      </c>
      <c r="L59" s="18"/>
      <c r="M59" s="237">
        <f>SUM(M53:M58)</f>
        <v>0.15920185668593415</v>
      </c>
      <c r="N59" s="406">
        <f>SUM(N53:N58)</f>
        <v>1</v>
      </c>
    </row>
    <row r="60" spans="1:26" x14ac:dyDescent="0.35">
      <c r="O60" s="211"/>
      <c r="Y60" s="211"/>
    </row>
    <row r="61" spans="1:26" x14ac:dyDescent="0.35">
      <c r="Y61" s="211"/>
      <c r="Z61" s="211"/>
    </row>
    <row r="62" spans="1:26" x14ac:dyDescent="0.35">
      <c r="A62" s="1" t="s">
        <v>93</v>
      </c>
      <c r="C62" s="30"/>
      <c r="D62" s="12"/>
      <c r="F62" s="213"/>
      <c r="H62" s="218"/>
    </row>
    <row r="63" spans="1:26" x14ac:dyDescent="0.35">
      <c r="T63" s="211"/>
      <c r="U63" s="211"/>
    </row>
    <row r="64" spans="1:26" x14ac:dyDescent="0.35">
      <c r="A64" s="4" t="s">
        <v>10</v>
      </c>
      <c r="B64" s="4"/>
      <c r="C64" s="4"/>
      <c r="D64" s="4"/>
      <c r="E64" s="216"/>
      <c r="F64" s="4"/>
      <c r="G64" s="4"/>
      <c r="H64" s="4"/>
      <c r="I64" s="4"/>
      <c r="J64" s="4"/>
      <c r="T64" s="211"/>
    </row>
    <row r="65" spans="1:10" x14ac:dyDescent="0.35">
      <c r="A65" s="356" t="s">
        <v>91</v>
      </c>
      <c r="B65" s="357">
        <v>0.8</v>
      </c>
      <c r="C65" s="355"/>
      <c r="D65" s="5"/>
      <c r="H65" s="5"/>
      <c r="I65" s="5"/>
      <c r="J65" s="5"/>
    </row>
    <row r="66" spans="1:10" x14ac:dyDescent="0.35">
      <c r="A66" s="413"/>
      <c r="B66" s="413"/>
      <c r="C66" s="240"/>
      <c r="D66" s="241"/>
      <c r="E66" s="242"/>
      <c r="H66" s="5"/>
      <c r="I66" s="5"/>
      <c r="J66" s="5"/>
    </row>
    <row r="67" spans="1:10" x14ac:dyDescent="0.35">
      <c r="A67" s="222" t="s">
        <v>17</v>
      </c>
    </row>
    <row r="68" spans="1:10" x14ac:dyDescent="0.35">
      <c r="A68" s="5" t="s">
        <v>18</v>
      </c>
      <c r="B68" s="5"/>
      <c r="C68" s="6" t="s">
        <v>94</v>
      </c>
      <c r="D68" s="6" t="s">
        <v>20</v>
      </c>
      <c r="E68" s="7"/>
      <c r="F68" s="7" t="s">
        <v>21</v>
      </c>
      <c r="G68" s="7"/>
      <c r="H68" s="364" t="s">
        <v>40</v>
      </c>
      <c r="I68" s="5"/>
      <c r="J68" s="5"/>
    </row>
    <row r="69" spans="1:10" x14ac:dyDescent="0.35">
      <c r="A69" s="24" t="s">
        <v>24</v>
      </c>
      <c r="B69" s="8"/>
      <c r="C69" s="25" t="s">
        <v>42</v>
      </c>
      <c r="D69" s="9" t="s">
        <v>43</v>
      </c>
      <c r="E69" s="10"/>
      <c r="F69" s="26" t="s">
        <v>44</v>
      </c>
      <c r="G69" s="8"/>
      <c r="H69" s="323">
        <v>1</v>
      </c>
      <c r="I69" s="8"/>
    </row>
    <row r="70" spans="1:10" x14ac:dyDescent="0.35">
      <c r="A70" s="17" t="s">
        <v>24</v>
      </c>
      <c r="B70" s="18"/>
      <c r="C70" s="14" t="s">
        <v>45</v>
      </c>
      <c r="D70" s="27" t="s">
        <v>88</v>
      </c>
      <c r="E70" s="28"/>
      <c r="F70" s="212" t="s">
        <v>46</v>
      </c>
      <c r="G70" s="18"/>
      <c r="H70" s="236">
        <f>-B65</f>
        <v>-0.8</v>
      </c>
      <c r="I70" s="18"/>
    </row>
  </sheetData>
  <mergeCells count="5">
    <mergeCell ref="A12:B12"/>
    <mergeCell ref="K11:N11"/>
    <mergeCell ref="K38:N38"/>
    <mergeCell ref="A39:B39"/>
    <mergeCell ref="A66:B6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1EF9-2276-48EF-AF00-EB83BF283679}">
  <sheetPr>
    <tabColor theme="2" tint="-0.249977111117893"/>
  </sheetPr>
  <dimension ref="A1:K69"/>
  <sheetViews>
    <sheetView showGridLines="0" zoomScale="70" zoomScaleNormal="70" workbookViewId="0">
      <selection activeCell="J39" sqref="J39"/>
    </sheetView>
  </sheetViews>
  <sheetFormatPr defaultRowHeight="14.5" x14ac:dyDescent="0.35"/>
  <cols>
    <col min="1" max="1" width="38.453125" customWidth="1"/>
    <col min="2" max="2" width="9.453125" customWidth="1"/>
    <col min="3" max="3" width="23.453125" customWidth="1"/>
    <col min="4" max="4" width="39.453125" customWidth="1"/>
    <col min="5" max="5" width="18.54296875" customWidth="1"/>
    <col min="6" max="6" width="13.26953125" bestFit="1" customWidth="1"/>
    <col min="11" max="11" width="36.1796875" customWidth="1"/>
    <col min="12" max="12" width="7.54296875" customWidth="1"/>
    <col min="13" max="13" width="12.7265625" customWidth="1"/>
    <col min="14" max="14" width="12.453125" customWidth="1"/>
  </cols>
  <sheetData>
    <row r="1" spans="1:11" x14ac:dyDescent="0.35">
      <c r="A1" s="1" t="s">
        <v>328</v>
      </c>
    </row>
    <row r="2" spans="1:11" x14ac:dyDescent="0.35">
      <c r="A2" s="1"/>
    </row>
    <row r="3" spans="1:11" x14ac:dyDescent="0.35">
      <c r="A3" s="2" t="s">
        <v>95</v>
      </c>
      <c r="B3" s="3"/>
      <c r="C3" s="3"/>
      <c r="D3" s="3"/>
      <c r="E3" s="3"/>
      <c r="F3" s="3"/>
      <c r="G3" s="3"/>
      <c r="H3" s="3"/>
      <c r="I3" s="3"/>
    </row>
    <row r="4" spans="1:11" x14ac:dyDescent="0.3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11" x14ac:dyDescent="0.35">
      <c r="A5" t="s">
        <v>3</v>
      </c>
      <c r="B5" t="s">
        <v>96</v>
      </c>
    </row>
    <row r="6" spans="1:11" x14ac:dyDescent="0.35">
      <c r="A6" t="s">
        <v>5</v>
      </c>
      <c r="B6" t="s">
        <v>6</v>
      </c>
    </row>
    <row r="7" spans="1:11" x14ac:dyDescent="0.35">
      <c r="A7" t="s">
        <v>7</v>
      </c>
      <c r="B7" s="412" t="s">
        <v>180</v>
      </c>
    </row>
    <row r="8" spans="1:11" x14ac:dyDescent="0.35">
      <c r="A8" t="s">
        <v>9</v>
      </c>
      <c r="B8" s="412" t="s">
        <v>180</v>
      </c>
    </row>
    <row r="10" spans="1:11" x14ac:dyDescent="0.35">
      <c r="A10" s="4" t="s">
        <v>10</v>
      </c>
      <c r="B10" s="4"/>
      <c r="C10" s="4"/>
      <c r="D10" s="4"/>
      <c r="E10" s="4"/>
      <c r="F10" s="4"/>
      <c r="G10" s="4"/>
      <c r="H10" s="4"/>
      <c r="I10" s="4"/>
    </row>
    <row r="11" spans="1:11" x14ac:dyDescent="0.35">
      <c r="A11" s="5" t="s">
        <v>12</v>
      </c>
      <c r="B11" s="36">
        <v>1</v>
      </c>
      <c r="C11" s="5"/>
      <c r="F11" s="5"/>
      <c r="G11" s="5"/>
      <c r="H11" s="5"/>
      <c r="I11" s="5"/>
    </row>
    <row r="12" spans="1:11" x14ac:dyDescent="0.35">
      <c r="A12" s="5" t="s">
        <v>15</v>
      </c>
      <c r="B12" s="36">
        <f>1-B11</f>
        <v>0</v>
      </c>
      <c r="C12" s="5"/>
      <c r="F12" s="5"/>
      <c r="G12" s="5"/>
      <c r="H12" s="5"/>
      <c r="I12" s="5"/>
    </row>
    <row r="14" spans="1:11" x14ac:dyDescent="0.35">
      <c r="A14" s="5" t="s">
        <v>97</v>
      </c>
      <c r="B14" s="5"/>
      <c r="C14" s="6" t="s">
        <v>50</v>
      </c>
      <c r="D14" s="6" t="s">
        <v>20</v>
      </c>
      <c r="E14" s="7"/>
      <c r="F14" s="7" t="s">
        <v>21</v>
      </c>
      <c r="G14" s="7"/>
      <c r="H14" s="7" t="s">
        <v>40</v>
      </c>
      <c r="I14" s="5"/>
    </row>
    <row r="15" spans="1:11" x14ac:dyDescent="0.35">
      <c r="A15" s="8" t="s">
        <v>98</v>
      </c>
      <c r="B15" s="8"/>
      <c r="C15" s="9" t="s">
        <v>99</v>
      </c>
      <c r="D15" s="9" t="s">
        <v>100</v>
      </c>
      <c r="E15" s="8"/>
      <c r="F15" s="10" t="s">
        <v>56</v>
      </c>
      <c r="G15" s="8"/>
      <c r="H15" s="319">
        <v>1.5</v>
      </c>
      <c r="I15" s="8"/>
    </row>
    <row r="16" spans="1:11" x14ac:dyDescent="0.35">
      <c r="A16" s="419" t="s">
        <v>98</v>
      </c>
      <c r="C16" s="12" t="s">
        <v>101</v>
      </c>
      <c r="D16" s="12" t="s">
        <v>102</v>
      </c>
      <c r="F16" s="415" t="s">
        <v>103</v>
      </c>
      <c r="H16" s="417">
        <f>B68</f>
        <v>2.1189795217333861E-3</v>
      </c>
      <c r="I16" s="420"/>
      <c r="J16" s="415"/>
      <c r="K16" s="419"/>
    </row>
    <row r="17" spans="1:11" x14ac:dyDescent="0.35">
      <c r="A17" s="419"/>
      <c r="C17" s="12" t="s">
        <v>104</v>
      </c>
      <c r="D17" s="12" t="s">
        <v>105</v>
      </c>
      <c r="F17" s="415"/>
      <c r="H17" s="417"/>
      <c r="I17" s="420"/>
      <c r="J17" s="415"/>
      <c r="K17" s="419"/>
    </row>
    <row r="18" spans="1:11" ht="72.5" x14ac:dyDescent="0.35">
      <c r="A18" s="419"/>
      <c r="C18" s="30" t="s">
        <v>106</v>
      </c>
      <c r="D18" s="322" t="s">
        <v>107</v>
      </c>
      <c r="F18" s="415"/>
      <c r="H18" s="417"/>
      <c r="I18" s="420"/>
      <c r="J18" s="415"/>
      <c r="K18" s="419"/>
    </row>
    <row r="19" spans="1:11" x14ac:dyDescent="0.35">
      <c r="A19" t="s">
        <v>98</v>
      </c>
      <c r="C19" s="12" t="s">
        <v>25</v>
      </c>
      <c r="D19" s="12" t="s">
        <v>26</v>
      </c>
      <c r="F19" s="13" t="s">
        <v>53</v>
      </c>
      <c r="H19" s="335">
        <f>$B$57*B11</f>
        <v>71.248513674197383</v>
      </c>
    </row>
    <row r="20" spans="1:11" x14ac:dyDescent="0.35">
      <c r="A20" s="18" t="s">
        <v>98</v>
      </c>
      <c r="B20" s="18"/>
      <c r="C20" s="27" t="s">
        <v>30</v>
      </c>
      <c r="D20" s="27" t="s">
        <v>31</v>
      </c>
      <c r="E20" s="18"/>
      <c r="F20" s="28" t="s">
        <v>53</v>
      </c>
      <c r="G20" s="18"/>
      <c r="H20" s="239">
        <f>$B$57*B12</f>
        <v>0</v>
      </c>
      <c r="I20" s="18"/>
    </row>
    <row r="21" spans="1:11" x14ac:dyDescent="0.35">
      <c r="A21" s="19"/>
      <c r="B21" s="20"/>
      <c r="C21" s="21" t="s">
        <v>39</v>
      </c>
      <c r="D21" s="21" t="s">
        <v>20</v>
      </c>
      <c r="E21" s="22"/>
      <c r="F21" s="22" t="s">
        <v>21</v>
      </c>
      <c r="G21" s="22"/>
      <c r="H21" s="22" t="s">
        <v>40</v>
      </c>
      <c r="I21" s="23"/>
    </row>
    <row r="22" spans="1:11" x14ac:dyDescent="0.35">
      <c r="A22" s="325" t="s">
        <v>98</v>
      </c>
      <c r="B22" s="190"/>
      <c r="C22" s="326" t="s">
        <v>108</v>
      </c>
      <c r="D22" s="191" t="s">
        <v>43</v>
      </c>
      <c r="E22" s="190"/>
      <c r="F22" s="327" t="s">
        <v>56</v>
      </c>
      <c r="G22" s="190"/>
      <c r="H22" s="328">
        <f>H30</f>
        <v>1.036</v>
      </c>
      <c r="I22" s="190"/>
    </row>
    <row r="23" spans="1:11" x14ac:dyDescent="0.35">
      <c r="A23" s="18" t="s">
        <v>98</v>
      </c>
      <c r="B23" s="18"/>
      <c r="C23" s="18" t="s">
        <v>45</v>
      </c>
      <c r="D23" s="18" t="s">
        <v>45</v>
      </c>
      <c r="E23" s="18"/>
      <c r="F23" s="28" t="s">
        <v>56</v>
      </c>
      <c r="G23" s="18"/>
      <c r="H23" s="347">
        <v>0</v>
      </c>
      <c r="I23" s="18"/>
    </row>
    <row r="24" spans="1:11" x14ac:dyDescent="0.35">
      <c r="A24" s="29"/>
      <c r="C24" s="12"/>
      <c r="D24" s="12"/>
      <c r="E24" s="13"/>
      <c r="F24" s="13"/>
      <c r="G24" s="13"/>
      <c r="H24" s="33"/>
    </row>
    <row r="25" spans="1:11" x14ac:dyDescent="0.35">
      <c r="A25" s="39" t="s">
        <v>109</v>
      </c>
      <c r="B25" s="38">
        <v>0</v>
      </c>
      <c r="C25" s="5"/>
      <c r="D25" s="5"/>
      <c r="E25" s="5"/>
      <c r="F25" s="5"/>
      <c r="G25" s="5"/>
      <c r="H25" s="5"/>
      <c r="I25" s="210"/>
      <c r="J25" s="211"/>
    </row>
    <row r="26" spans="1:11" x14ac:dyDescent="0.35">
      <c r="A26" s="5" t="s">
        <v>329</v>
      </c>
      <c r="B26" s="37">
        <v>1036</v>
      </c>
      <c r="C26" s="5"/>
      <c r="D26" s="5"/>
      <c r="E26" s="5"/>
      <c r="F26" s="5"/>
      <c r="G26" s="5"/>
      <c r="H26" s="5"/>
      <c r="I26" s="210"/>
    </row>
    <row r="28" spans="1:11" x14ac:dyDescent="0.35">
      <c r="A28" s="5" t="s">
        <v>110</v>
      </c>
      <c r="B28" s="5"/>
      <c r="C28" s="6" t="s">
        <v>50</v>
      </c>
      <c r="D28" s="6" t="s">
        <v>20</v>
      </c>
      <c r="E28" s="7"/>
      <c r="F28" s="7" t="s">
        <v>21</v>
      </c>
      <c r="G28" s="7"/>
      <c r="H28" s="7" t="s">
        <v>40</v>
      </c>
      <c r="I28" s="5"/>
    </row>
    <row r="29" spans="1:11" x14ac:dyDescent="0.35">
      <c r="A29" s="8" t="s">
        <v>111</v>
      </c>
      <c r="B29" s="8"/>
      <c r="C29" s="9" t="s">
        <v>112</v>
      </c>
      <c r="D29" s="9" t="s">
        <v>113</v>
      </c>
      <c r="E29" s="8"/>
      <c r="F29" s="10" t="s">
        <v>56</v>
      </c>
      <c r="G29" s="8"/>
      <c r="H29" s="11">
        <f>B26*B25/10^3</f>
        <v>0</v>
      </c>
      <c r="I29" s="8"/>
    </row>
    <row r="30" spans="1:11" x14ac:dyDescent="0.35">
      <c r="A30" s="190" t="s">
        <v>111</v>
      </c>
      <c r="B30" s="190"/>
      <c r="C30" s="190" t="s">
        <v>108</v>
      </c>
      <c r="D30" s="190" t="s">
        <v>43</v>
      </c>
      <c r="E30" s="190"/>
      <c r="F30" s="193" t="s">
        <v>56</v>
      </c>
      <c r="G30" s="190"/>
      <c r="H30" s="324">
        <f>H41*(1-B25)*B26/10^3</f>
        <v>1.036</v>
      </c>
      <c r="I30" s="190"/>
    </row>
    <row r="31" spans="1:11" x14ac:dyDescent="0.35">
      <c r="A31" t="s">
        <v>111</v>
      </c>
      <c r="C31" s="12" t="s">
        <v>114</v>
      </c>
      <c r="D31" s="12" t="s">
        <v>115</v>
      </c>
      <c r="F31" s="13" t="s">
        <v>56</v>
      </c>
      <c r="H31" s="16">
        <f>3/10^3</f>
        <v>3.0000000000000001E-3</v>
      </c>
    </row>
    <row r="32" spans="1:11" x14ac:dyDescent="0.35">
      <c r="A32" t="s">
        <v>111</v>
      </c>
      <c r="C32" s="12" t="s">
        <v>116</v>
      </c>
      <c r="D32" s="12" t="s">
        <v>117</v>
      </c>
      <c r="F32" s="13" t="s">
        <v>56</v>
      </c>
      <c r="H32" s="31">
        <f>28/10^3</f>
        <v>2.8000000000000001E-2</v>
      </c>
    </row>
    <row r="33" spans="1:9" x14ac:dyDescent="0.35">
      <c r="A33" t="s">
        <v>111</v>
      </c>
      <c r="C33" s="12" t="s">
        <v>118</v>
      </c>
      <c r="D33" s="12" t="s">
        <v>35</v>
      </c>
      <c r="F33" s="13" t="s">
        <v>56</v>
      </c>
      <c r="H33" s="31">
        <f>21/10^3</f>
        <v>2.1000000000000001E-2</v>
      </c>
    </row>
    <row r="34" spans="1:9" x14ac:dyDescent="0.35">
      <c r="A34" t="s">
        <v>111</v>
      </c>
      <c r="C34" s="12" t="s">
        <v>119</v>
      </c>
      <c r="D34" s="12" t="s">
        <v>120</v>
      </c>
      <c r="F34" s="13" t="s">
        <v>56</v>
      </c>
      <c r="H34" s="16">
        <f>3/10^3</f>
        <v>3.0000000000000001E-3</v>
      </c>
    </row>
    <row r="35" spans="1:9" x14ac:dyDescent="0.35">
      <c r="A35" t="s">
        <v>111</v>
      </c>
      <c r="C35" s="12" t="s">
        <v>121</v>
      </c>
      <c r="D35" s="12" t="s">
        <v>122</v>
      </c>
      <c r="F35" s="13" t="s">
        <v>56</v>
      </c>
      <c r="H35" s="16">
        <f>4/10^3</f>
        <v>4.0000000000000001E-3</v>
      </c>
    </row>
    <row r="36" spans="1:9" x14ac:dyDescent="0.35">
      <c r="A36" t="s">
        <v>111</v>
      </c>
      <c r="C36" s="12" t="s">
        <v>123</v>
      </c>
      <c r="D36" s="12" t="s">
        <v>124</v>
      </c>
      <c r="F36" s="13" t="s">
        <v>56</v>
      </c>
      <c r="H36" s="31">
        <f>56/10^3</f>
        <v>5.6000000000000001E-2</v>
      </c>
    </row>
    <row r="37" spans="1:9" x14ac:dyDescent="0.35">
      <c r="A37" t="s">
        <v>111</v>
      </c>
      <c r="C37" s="12" t="s">
        <v>101</v>
      </c>
      <c r="D37" s="12" t="s">
        <v>102</v>
      </c>
      <c r="F37" s="415" t="s">
        <v>103</v>
      </c>
      <c r="H37" s="417">
        <f>393*3600/10^9</f>
        <v>1.4147999999999999E-3</v>
      </c>
    </row>
    <row r="38" spans="1:9" x14ac:dyDescent="0.35">
      <c r="A38" t="s">
        <v>111</v>
      </c>
      <c r="C38" s="12" t="s">
        <v>104</v>
      </c>
      <c r="D38" s="12" t="s">
        <v>105</v>
      </c>
      <c r="F38" s="415"/>
      <c r="H38" s="417"/>
    </row>
    <row r="39" spans="1:9" ht="72.5" x14ac:dyDescent="0.35">
      <c r="A39" s="17" t="s">
        <v>111</v>
      </c>
      <c r="B39" s="18"/>
      <c r="C39" s="14" t="s">
        <v>106</v>
      </c>
      <c r="D39" s="15" t="s">
        <v>107</v>
      </c>
      <c r="E39" s="18"/>
      <c r="F39" s="416"/>
      <c r="G39" s="18"/>
      <c r="H39" s="418"/>
      <c r="I39" s="18"/>
    </row>
    <row r="40" spans="1:9" x14ac:dyDescent="0.35">
      <c r="A40" s="19"/>
      <c r="B40" s="20"/>
      <c r="C40" s="21" t="s">
        <v>39</v>
      </c>
      <c r="D40" s="21" t="s">
        <v>20</v>
      </c>
      <c r="E40" s="22"/>
      <c r="F40" s="22" t="s">
        <v>21</v>
      </c>
      <c r="G40" s="22"/>
      <c r="H40" s="22" t="s">
        <v>40</v>
      </c>
      <c r="I40" s="23"/>
    </row>
    <row r="41" spans="1:9" x14ac:dyDescent="0.35">
      <c r="A41" s="154" t="s">
        <v>111</v>
      </c>
      <c r="B41" s="155"/>
      <c r="C41" s="156" t="s">
        <v>42</v>
      </c>
      <c r="D41" s="157" t="s">
        <v>43</v>
      </c>
      <c r="E41" s="155"/>
      <c r="F41" s="158" t="s">
        <v>56</v>
      </c>
      <c r="G41" s="155"/>
      <c r="H41" s="323">
        <v>1</v>
      </c>
      <c r="I41" s="155"/>
    </row>
    <row r="42" spans="1:9" x14ac:dyDescent="0.35">
      <c r="A42" s="29" t="s">
        <v>111</v>
      </c>
      <c r="C42" s="30" t="s">
        <v>125</v>
      </c>
      <c r="D42" s="12" t="s">
        <v>113</v>
      </c>
      <c r="F42" s="13" t="s">
        <v>56</v>
      </c>
      <c r="H42" s="31">
        <f>78/10^3</f>
        <v>7.8E-2</v>
      </c>
    </row>
    <row r="43" spans="1:9" x14ac:dyDescent="0.35">
      <c r="A43" s="17" t="s">
        <v>111</v>
      </c>
      <c r="B43" s="18"/>
      <c r="C43" s="27" t="s">
        <v>126</v>
      </c>
      <c r="D43" s="27" t="s">
        <v>45</v>
      </c>
      <c r="E43" s="28"/>
      <c r="F43" s="28" t="s">
        <v>56</v>
      </c>
      <c r="G43" s="28"/>
      <c r="H43" s="28">
        <v>0.04</v>
      </c>
      <c r="I43" s="18"/>
    </row>
    <row r="46" spans="1:9" x14ac:dyDescent="0.35">
      <c r="A46" s="34" t="s">
        <v>127</v>
      </c>
    </row>
    <row r="47" spans="1:9" x14ac:dyDescent="0.35">
      <c r="A47" s="35" t="s">
        <v>128</v>
      </c>
    </row>
    <row r="50" spans="1:4" x14ac:dyDescent="0.35">
      <c r="A50" s="5" t="s">
        <v>129</v>
      </c>
    </row>
    <row r="52" spans="1:4" x14ac:dyDescent="0.35">
      <c r="A52" t="s">
        <v>130</v>
      </c>
      <c r="B52" s="40">
        <f>[1]H2_NGSR!$H$50/[1]H2_NGSR!$H$43</f>
        <v>309.93103448275861</v>
      </c>
      <c r="C52" s="12" t="s">
        <v>131</v>
      </c>
    </row>
    <row r="53" spans="1:4" x14ac:dyDescent="0.35">
      <c r="A53" t="s">
        <v>132</v>
      </c>
      <c r="B53" s="13">
        <v>12</v>
      </c>
      <c r="C53" t="s">
        <v>133</v>
      </c>
    </row>
    <row r="54" spans="1:4" x14ac:dyDescent="0.35">
      <c r="A54" t="s">
        <v>134</v>
      </c>
      <c r="B54" s="13">
        <v>52.2</v>
      </c>
      <c r="C54" t="s">
        <v>135</v>
      </c>
    </row>
    <row r="55" spans="1:4" x14ac:dyDescent="0.35">
      <c r="A55" t="s">
        <v>136</v>
      </c>
      <c r="B55" s="40">
        <f>B53/B54</f>
        <v>0.22988505747126436</v>
      </c>
      <c r="C55" t="s">
        <v>137</v>
      </c>
    </row>
    <row r="56" spans="1:4" x14ac:dyDescent="0.35">
      <c r="B56" s="13"/>
    </row>
    <row r="57" spans="1:4" x14ac:dyDescent="0.35">
      <c r="A57" s="337" t="s">
        <v>138</v>
      </c>
      <c r="B57" s="321">
        <f>B55*B52</f>
        <v>71.248513674197383</v>
      </c>
      <c r="C57" s="337" t="s">
        <v>27</v>
      </c>
    </row>
    <row r="58" spans="1:4" x14ac:dyDescent="0.35">
      <c r="B58" s="13"/>
    </row>
    <row r="59" spans="1:4" x14ac:dyDescent="0.35">
      <c r="B59" s="13"/>
    </row>
    <row r="60" spans="1:4" x14ac:dyDescent="0.35">
      <c r="A60" s="5" t="s">
        <v>139</v>
      </c>
      <c r="B60" s="13"/>
      <c r="C60" s="13"/>
    </row>
    <row r="61" spans="1:4" x14ac:dyDescent="0.35">
      <c r="A61" s="150"/>
      <c r="B61" s="13"/>
      <c r="C61" s="13"/>
      <c r="D61" s="12"/>
    </row>
    <row r="62" spans="1:4" x14ac:dyDescent="0.35">
      <c r="A62" t="s">
        <v>140</v>
      </c>
      <c r="B62" s="13">
        <v>2.2000000000000002</v>
      </c>
      <c r="C62" t="s">
        <v>141</v>
      </c>
    </row>
    <row r="63" spans="1:4" x14ac:dyDescent="0.35">
      <c r="A63" t="s">
        <v>330</v>
      </c>
      <c r="B63" s="33">
        <f>[1]H2_NGSR!$H$22</f>
        <v>153311</v>
      </c>
      <c r="C63" t="s">
        <v>142</v>
      </c>
    </row>
    <row r="64" spans="1:4" x14ac:dyDescent="0.35">
      <c r="A64" t="s">
        <v>143</v>
      </c>
      <c r="B64" s="40">
        <f>B62/B53</f>
        <v>0.18333333333333335</v>
      </c>
      <c r="C64" t="s">
        <v>144</v>
      </c>
    </row>
    <row r="65" spans="1:10" x14ac:dyDescent="0.35">
      <c r="A65" t="s">
        <v>145</v>
      </c>
      <c r="B65" s="320">
        <f>B63/([1]H2_NGSR!$H$20*10^3*B54)</f>
        <v>6.7517065222178181E-3</v>
      </c>
      <c r="C65" t="s">
        <v>144</v>
      </c>
    </row>
    <row r="66" spans="1:10" x14ac:dyDescent="0.35">
      <c r="A66" t="s">
        <v>146</v>
      </c>
      <c r="B66" s="320">
        <f>B64-B65</f>
        <v>0.17658162681111553</v>
      </c>
      <c r="C66" t="s">
        <v>144</v>
      </c>
    </row>
    <row r="67" spans="1:10" x14ac:dyDescent="0.35">
      <c r="C67" s="43"/>
      <c r="E67" s="43"/>
      <c r="G67" s="42"/>
      <c r="J67" s="44"/>
    </row>
    <row r="68" spans="1:10" x14ac:dyDescent="0.35">
      <c r="A68" s="337" t="s">
        <v>147</v>
      </c>
      <c r="B68" s="338">
        <f>B66*B53*10^3/10^6</f>
        <v>2.1189795217333861E-3</v>
      </c>
      <c r="C68" s="337" t="s">
        <v>148</v>
      </c>
      <c r="E68" s="43"/>
      <c r="G68" s="42"/>
      <c r="J68" s="44"/>
    </row>
    <row r="69" spans="1:10" x14ac:dyDescent="0.35">
      <c r="C69" s="43"/>
      <c r="E69" s="43"/>
      <c r="G69" s="42"/>
      <c r="J69" s="44"/>
    </row>
  </sheetData>
  <mergeCells count="8">
    <mergeCell ref="F37:F39"/>
    <mergeCell ref="H37:H39"/>
    <mergeCell ref="K16:K18"/>
    <mergeCell ref="A16:A18"/>
    <mergeCell ref="F16:F18"/>
    <mergeCell ref="H16:H18"/>
    <mergeCell ref="I16:I18"/>
    <mergeCell ref="J16:J18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3F7B-3D2E-4EDF-BE64-59B1C45F97A7}">
  <sheetPr>
    <tabColor theme="9" tint="0.39997558519241921"/>
  </sheetPr>
  <dimension ref="A1:O55"/>
  <sheetViews>
    <sheetView showGridLines="0" zoomScale="70" zoomScaleNormal="70" workbookViewId="0">
      <selection activeCell="B53" sqref="B53"/>
    </sheetView>
  </sheetViews>
  <sheetFormatPr defaultRowHeight="14.5" x14ac:dyDescent="0.35"/>
  <cols>
    <col min="1" max="1" width="32.1796875" customWidth="1"/>
    <col min="2" max="2" width="13" bestFit="1" customWidth="1"/>
    <col min="3" max="3" width="23.453125" customWidth="1"/>
    <col min="4" max="4" width="41" customWidth="1"/>
    <col min="5" max="5" width="16.81640625" customWidth="1"/>
    <col min="6" max="6" width="13.26953125" bestFit="1" customWidth="1"/>
    <col min="11" max="11" width="36.1796875" customWidth="1"/>
    <col min="12" max="12" width="7.54296875" customWidth="1"/>
    <col min="13" max="13" width="12.7265625" customWidth="1"/>
    <col min="14" max="14" width="12.453125" customWidth="1"/>
  </cols>
  <sheetData>
    <row r="1" spans="1:15" x14ac:dyDescent="0.35">
      <c r="A1" s="1" t="s">
        <v>331</v>
      </c>
    </row>
    <row r="2" spans="1:15" x14ac:dyDescent="0.35">
      <c r="A2" s="1"/>
    </row>
    <row r="3" spans="1:15" x14ac:dyDescent="0.35">
      <c r="A3" s="2" t="s">
        <v>149</v>
      </c>
      <c r="B3" s="3"/>
      <c r="C3" s="3"/>
      <c r="D3" s="3"/>
      <c r="E3" s="3"/>
      <c r="F3" s="3"/>
      <c r="G3" s="3"/>
      <c r="H3" s="3"/>
      <c r="I3" s="3"/>
    </row>
    <row r="4" spans="1:15" x14ac:dyDescent="0.3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15" x14ac:dyDescent="0.35">
      <c r="A5" t="s">
        <v>3</v>
      </c>
      <c r="B5" t="s">
        <v>96</v>
      </c>
    </row>
    <row r="6" spans="1:15" x14ac:dyDescent="0.35">
      <c r="A6" t="s">
        <v>5</v>
      </c>
      <c r="B6" t="s">
        <v>6</v>
      </c>
    </row>
    <row r="7" spans="1:15" x14ac:dyDescent="0.35">
      <c r="A7" t="s">
        <v>7</v>
      </c>
      <c r="B7" s="412" t="s">
        <v>180</v>
      </c>
    </row>
    <row r="8" spans="1:15" x14ac:dyDescent="0.35">
      <c r="A8" t="s">
        <v>9</v>
      </c>
      <c r="B8" s="412" t="s">
        <v>180</v>
      </c>
      <c r="O8" s="318"/>
    </row>
    <row r="10" spans="1:15" x14ac:dyDescent="0.35">
      <c r="A10" s="4" t="s">
        <v>10</v>
      </c>
      <c r="B10" s="4"/>
      <c r="C10" s="4"/>
      <c r="D10" s="4"/>
      <c r="E10" s="4"/>
      <c r="F10" s="4"/>
      <c r="G10" s="4"/>
      <c r="H10" s="4"/>
      <c r="I10" s="4"/>
    </row>
    <row r="11" spans="1:15" x14ac:dyDescent="0.35">
      <c r="A11" s="5" t="s">
        <v>12</v>
      </c>
      <c r="B11" s="36">
        <v>0</v>
      </c>
      <c r="C11" s="5"/>
      <c r="F11" s="5"/>
      <c r="G11" s="5"/>
      <c r="H11" s="5"/>
      <c r="I11" s="5"/>
    </row>
    <row r="12" spans="1:15" x14ac:dyDescent="0.35">
      <c r="A12" s="5" t="s">
        <v>15</v>
      </c>
      <c r="B12" s="36">
        <f>1-B11</f>
        <v>1</v>
      </c>
      <c r="C12" s="5"/>
      <c r="F12" s="5"/>
      <c r="G12" s="5"/>
      <c r="H12" s="5"/>
      <c r="I12" s="5"/>
      <c r="M12" s="318"/>
    </row>
    <row r="14" spans="1:15" x14ac:dyDescent="0.35">
      <c r="A14" s="5" t="s">
        <v>97</v>
      </c>
      <c r="B14" s="5"/>
      <c r="C14" s="6" t="s">
        <v>50</v>
      </c>
      <c r="D14" s="6" t="s">
        <v>20</v>
      </c>
      <c r="E14" s="7"/>
      <c r="F14" s="7" t="s">
        <v>21</v>
      </c>
      <c r="G14" s="7"/>
      <c r="H14" s="7" t="s">
        <v>40</v>
      </c>
      <c r="I14" s="5"/>
    </row>
    <row r="15" spans="1:15" x14ac:dyDescent="0.35">
      <c r="A15" s="8" t="s">
        <v>98</v>
      </c>
      <c r="B15" s="8"/>
      <c r="C15" s="9" t="s">
        <v>99</v>
      </c>
      <c r="D15" s="9" t="s">
        <v>100</v>
      </c>
      <c r="E15" s="8"/>
      <c r="F15" s="10" t="s">
        <v>56</v>
      </c>
      <c r="G15" s="8"/>
      <c r="H15" s="32">
        <v>1.5</v>
      </c>
      <c r="I15" s="8"/>
    </row>
    <row r="16" spans="1:15" x14ac:dyDescent="0.35">
      <c r="A16" s="419" t="s">
        <v>98</v>
      </c>
      <c r="C16" s="12" t="s">
        <v>101</v>
      </c>
      <c r="D16" s="12" t="s">
        <v>102</v>
      </c>
      <c r="F16" s="415" t="s">
        <v>103</v>
      </c>
      <c r="H16" s="417">
        <f>2/10^6*10^3</f>
        <v>2E-3</v>
      </c>
    </row>
    <row r="17" spans="1:10" x14ac:dyDescent="0.35">
      <c r="A17" s="419"/>
      <c r="C17" s="12" t="s">
        <v>104</v>
      </c>
      <c r="D17" s="12" t="s">
        <v>105</v>
      </c>
      <c r="F17" s="415"/>
      <c r="H17" s="417"/>
    </row>
    <row r="18" spans="1:10" ht="72.5" x14ac:dyDescent="0.35">
      <c r="A18" s="419"/>
      <c r="C18" s="30" t="s">
        <v>106</v>
      </c>
      <c r="D18" s="322" t="s">
        <v>107</v>
      </c>
      <c r="F18" s="415"/>
      <c r="H18" s="417"/>
    </row>
    <row r="19" spans="1:10" x14ac:dyDescent="0.35">
      <c r="A19" s="30" t="s">
        <v>98</v>
      </c>
      <c r="C19" s="30" t="s">
        <v>25</v>
      </c>
      <c r="D19" s="322" t="s">
        <v>26</v>
      </c>
      <c r="F19" s="213" t="s">
        <v>53</v>
      </c>
      <c r="H19" s="33">
        <f>$B$55*B11</f>
        <v>0</v>
      </c>
    </row>
    <row r="20" spans="1:10" x14ac:dyDescent="0.35">
      <c r="A20" s="18" t="s">
        <v>98</v>
      </c>
      <c r="B20" s="18"/>
      <c r="C20" s="27" t="s">
        <v>30</v>
      </c>
      <c r="D20" s="18" t="s">
        <v>31</v>
      </c>
      <c r="E20" s="18"/>
      <c r="F20" s="28" t="s">
        <v>53</v>
      </c>
      <c r="G20" s="18"/>
      <c r="H20" s="91">
        <f>$B$55*B12</f>
        <v>89.864674372709345</v>
      </c>
      <c r="I20" s="18"/>
    </row>
    <row r="21" spans="1:10" x14ac:dyDescent="0.35">
      <c r="A21" s="29"/>
      <c r="C21" s="6" t="s">
        <v>39</v>
      </c>
      <c r="D21" s="6" t="s">
        <v>20</v>
      </c>
      <c r="E21" s="7"/>
      <c r="F21" s="7" t="s">
        <v>21</v>
      </c>
      <c r="G21" s="7"/>
      <c r="H21" s="7" t="s">
        <v>40</v>
      </c>
      <c r="I21" s="5"/>
    </row>
    <row r="22" spans="1:10" x14ac:dyDescent="0.35">
      <c r="A22" s="329" t="s">
        <v>98</v>
      </c>
      <c r="B22" s="330"/>
      <c r="C22" s="331" t="s">
        <v>108</v>
      </c>
      <c r="D22" s="332" t="s">
        <v>43</v>
      </c>
      <c r="E22" s="330"/>
      <c r="F22" s="333" t="s">
        <v>56</v>
      </c>
      <c r="G22" s="330"/>
      <c r="H22" s="334">
        <f>H30</f>
        <v>1.036</v>
      </c>
      <c r="I22" s="330"/>
    </row>
    <row r="23" spans="1:10" x14ac:dyDescent="0.35">
      <c r="A23" s="17" t="s">
        <v>98</v>
      </c>
      <c r="B23" s="18"/>
      <c r="C23" s="27" t="s">
        <v>126</v>
      </c>
      <c r="D23" s="27" t="s">
        <v>88</v>
      </c>
      <c r="E23" s="28"/>
      <c r="F23" s="28" t="s">
        <v>56</v>
      </c>
      <c r="G23" s="28"/>
      <c r="H23" s="239">
        <v>0</v>
      </c>
      <c r="I23" s="18"/>
    </row>
    <row r="24" spans="1:10" x14ac:dyDescent="0.35">
      <c r="A24" s="29"/>
      <c r="C24" s="12"/>
      <c r="D24" s="12"/>
      <c r="E24" s="13"/>
      <c r="F24" s="13"/>
      <c r="G24" s="13"/>
      <c r="H24" s="33"/>
    </row>
    <row r="25" spans="1:10" x14ac:dyDescent="0.35">
      <c r="A25" s="39" t="s">
        <v>109</v>
      </c>
      <c r="B25" s="38">
        <v>0</v>
      </c>
      <c r="C25" s="5"/>
      <c r="D25" s="5"/>
      <c r="E25" s="5"/>
      <c r="F25" s="5"/>
      <c r="G25" s="5"/>
      <c r="H25" s="5"/>
      <c r="I25" s="210"/>
      <c r="J25" s="211"/>
    </row>
    <row r="26" spans="1:10" x14ac:dyDescent="0.35">
      <c r="A26" s="5" t="s">
        <v>329</v>
      </c>
      <c r="B26" s="37">
        <v>1036</v>
      </c>
      <c r="C26" s="5"/>
      <c r="D26" s="5"/>
      <c r="E26" s="5"/>
      <c r="F26" s="5"/>
      <c r="G26" s="5"/>
      <c r="H26" s="5"/>
      <c r="I26" s="210"/>
    </row>
    <row r="28" spans="1:10" x14ac:dyDescent="0.35">
      <c r="A28" s="5" t="s">
        <v>110</v>
      </c>
      <c r="B28" s="5"/>
      <c r="C28" s="6" t="s">
        <v>50</v>
      </c>
      <c r="D28" s="6" t="s">
        <v>20</v>
      </c>
      <c r="E28" s="7"/>
      <c r="F28" s="7" t="s">
        <v>21</v>
      </c>
      <c r="G28" s="7"/>
      <c r="H28" s="7" t="s">
        <v>40</v>
      </c>
      <c r="I28" s="5"/>
    </row>
    <row r="29" spans="1:10" x14ac:dyDescent="0.35">
      <c r="A29" s="8" t="s">
        <v>111</v>
      </c>
      <c r="B29" s="8"/>
      <c r="C29" s="9" t="s">
        <v>112</v>
      </c>
      <c r="D29" s="9" t="s">
        <v>113</v>
      </c>
      <c r="E29" s="8"/>
      <c r="F29" s="10" t="s">
        <v>56</v>
      </c>
      <c r="G29" s="8"/>
      <c r="H29" s="11">
        <f>B26*B25/10^3</f>
        <v>0</v>
      </c>
      <c r="I29" s="8"/>
    </row>
    <row r="30" spans="1:10" x14ac:dyDescent="0.35">
      <c r="A30" s="190" t="s">
        <v>111</v>
      </c>
      <c r="B30" s="190"/>
      <c r="C30" s="190" t="s">
        <v>108</v>
      </c>
      <c r="D30" s="190" t="s">
        <v>43</v>
      </c>
      <c r="E30" s="190"/>
      <c r="F30" s="193" t="s">
        <v>56</v>
      </c>
      <c r="G30" s="190"/>
      <c r="H30" s="324">
        <f>(1-B25)*B26/10^3</f>
        <v>1.036</v>
      </c>
      <c r="I30" s="190"/>
    </row>
    <row r="31" spans="1:10" x14ac:dyDescent="0.35">
      <c r="A31" t="s">
        <v>111</v>
      </c>
      <c r="C31" s="12" t="s">
        <v>114</v>
      </c>
      <c r="D31" s="12" t="s">
        <v>115</v>
      </c>
      <c r="F31" s="13" t="s">
        <v>56</v>
      </c>
      <c r="H31" s="16">
        <f>3/10^3</f>
        <v>3.0000000000000001E-3</v>
      </c>
    </row>
    <row r="32" spans="1:10" x14ac:dyDescent="0.35">
      <c r="A32" t="s">
        <v>111</v>
      </c>
      <c r="C32" s="12" t="s">
        <v>116</v>
      </c>
      <c r="D32" s="12" t="s">
        <v>117</v>
      </c>
      <c r="F32" s="13" t="s">
        <v>56</v>
      </c>
      <c r="H32" s="31">
        <f>28/10^3</f>
        <v>2.8000000000000001E-2</v>
      </c>
    </row>
    <row r="33" spans="1:9" x14ac:dyDescent="0.35">
      <c r="A33" t="s">
        <v>111</v>
      </c>
      <c r="C33" s="12" t="s">
        <v>118</v>
      </c>
      <c r="D33" s="12" t="s">
        <v>35</v>
      </c>
      <c r="F33" s="13" t="s">
        <v>56</v>
      </c>
      <c r="H33" s="31">
        <f>21/10^3</f>
        <v>2.1000000000000001E-2</v>
      </c>
    </row>
    <row r="34" spans="1:9" x14ac:dyDescent="0.35">
      <c r="A34" t="s">
        <v>111</v>
      </c>
      <c r="C34" s="12" t="s">
        <v>119</v>
      </c>
      <c r="D34" s="12" t="s">
        <v>120</v>
      </c>
      <c r="F34" s="13" t="s">
        <v>56</v>
      </c>
      <c r="H34" s="16">
        <f>3/10^3</f>
        <v>3.0000000000000001E-3</v>
      </c>
    </row>
    <row r="35" spans="1:9" x14ac:dyDescent="0.35">
      <c r="A35" t="s">
        <v>111</v>
      </c>
      <c r="C35" s="12" t="s">
        <v>121</v>
      </c>
      <c r="D35" s="12" t="s">
        <v>122</v>
      </c>
      <c r="F35" s="13" t="s">
        <v>56</v>
      </c>
      <c r="H35" s="16">
        <f>4/10^3</f>
        <v>4.0000000000000001E-3</v>
      </c>
    </row>
    <row r="36" spans="1:9" x14ac:dyDescent="0.35">
      <c r="A36" t="s">
        <v>111</v>
      </c>
      <c r="C36" s="12" t="s">
        <v>123</v>
      </c>
      <c r="D36" s="12" t="s">
        <v>124</v>
      </c>
      <c r="F36" s="13" t="s">
        <v>56</v>
      </c>
      <c r="H36" s="31">
        <f>56/10^3</f>
        <v>5.6000000000000001E-2</v>
      </c>
    </row>
    <row r="37" spans="1:9" x14ac:dyDescent="0.35">
      <c r="A37" t="s">
        <v>111</v>
      </c>
      <c r="C37" s="12" t="s">
        <v>101</v>
      </c>
      <c r="D37" s="12" t="s">
        <v>102</v>
      </c>
      <c r="F37" s="415" t="s">
        <v>103</v>
      </c>
      <c r="H37" s="417">
        <f>393*3600/10^9</f>
        <v>1.4147999999999999E-3</v>
      </c>
    </row>
    <row r="38" spans="1:9" x14ac:dyDescent="0.35">
      <c r="A38" t="s">
        <v>111</v>
      </c>
      <c r="C38" s="12" t="s">
        <v>104</v>
      </c>
      <c r="D38" s="12" t="s">
        <v>105</v>
      </c>
      <c r="F38" s="415"/>
      <c r="H38" s="417"/>
    </row>
    <row r="39" spans="1:9" ht="72.5" x14ac:dyDescent="0.35">
      <c r="A39" s="17" t="s">
        <v>111</v>
      </c>
      <c r="B39" s="18"/>
      <c r="C39" s="14" t="s">
        <v>106</v>
      </c>
      <c r="D39" s="15" t="s">
        <v>107</v>
      </c>
      <c r="E39" s="18"/>
      <c r="F39" s="416"/>
      <c r="G39" s="18"/>
      <c r="H39" s="418"/>
      <c r="I39" s="18"/>
    </row>
    <row r="40" spans="1:9" x14ac:dyDescent="0.35">
      <c r="A40" s="19"/>
      <c r="B40" s="20"/>
      <c r="C40" s="21" t="s">
        <v>39</v>
      </c>
      <c r="D40" s="21" t="s">
        <v>20</v>
      </c>
      <c r="E40" s="22"/>
      <c r="F40" s="22" t="s">
        <v>21</v>
      </c>
      <c r="G40" s="22"/>
      <c r="H40" s="22" t="s">
        <v>40</v>
      </c>
      <c r="I40" s="23"/>
    </row>
    <row r="41" spans="1:9" x14ac:dyDescent="0.35">
      <c r="A41" s="154" t="s">
        <v>111</v>
      </c>
      <c r="B41" s="155"/>
      <c r="C41" s="156" t="s">
        <v>42</v>
      </c>
      <c r="D41" s="157" t="s">
        <v>43</v>
      </c>
      <c r="E41" s="155"/>
      <c r="F41" s="158" t="s">
        <v>56</v>
      </c>
      <c r="G41" s="155"/>
      <c r="H41" s="323">
        <v>1</v>
      </c>
      <c r="I41" s="155"/>
    </row>
    <row r="42" spans="1:9" x14ac:dyDescent="0.35">
      <c r="A42" s="29" t="s">
        <v>111</v>
      </c>
      <c r="C42" s="30" t="s">
        <v>125</v>
      </c>
      <c r="D42" s="12" t="s">
        <v>113</v>
      </c>
      <c r="F42" s="13" t="s">
        <v>56</v>
      </c>
      <c r="H42" s="31">
        <f>78/10^3</f>
        <v>7.8E-2</v>
      </c>
    </row>
    <row r="43" spans="1:9" x14ac:dyDescent="0.35">
      <c r="A43" s="17" t="s">
        <v>111</v>
      </c>
      <c r="B43" s="18"/>
      <c r="C43" s="27" t="s">
        <v>126</v>
      </c>
      <c r="D43" s="27" t="s">
        <v>88</v>
      </c>
      <c r="E43" s="28"/>
      <c r="F43" s="28" t="s">
        <v>56</v>
      </c>
      <c r="G43" s="28"/>
      <c r="H43" s="28">
        <v>0.04</v>
      </c>
      <c r="I43" s="18"/>
    </row>
    <row r="46" spans="1:9" x14ac:dyDescent="0.35">
      <c r="A46" s="34" t="s">
        <v>127</v>
      </c>
    </row>
    <row r="47" spans="1:9" x14ac:dyDescent="0.35">
      <c r="A47" s="35" t="s">
        <v>128</v>
      </c>
    </row>
    <row r="48" spans="1:9" ht="15" customHeight="1" x14ac:dyDescent="0.35"/>
    <row r="49" spans="1:10" x14ac:dyDescent="0.35">
      <c r="C49" s="43"/>
      <c r="E49" s="43"/>
      <c r="G49" s="42"/>
      <c r="J49" s="44"/>
    </row>
    <row r="50" spans="1:10" x14ac:dyDescent="0.35">
      <c r="A50" s="5" t="s">
        <v>150</v>
      </c>
      <c r="E50" s="43"/>
      <c r="G50" s="42"/>
      <c r="J50" s="44"/>
    </row>
    <row r="51" spans="1:10" x14ac:dyDescent="0.35">
      <c r="E51" s="43"/>
      <c r="G51" s="42"/>
      <c r="J51" s="44"/>
    </row>
    <row r="52" spans="1:10" x14ac:dyDescent="0.35">
      <c r="A52" t="s">
        <v>151</v>
      </c>
      <c r="B52" s="56">
        <f>[1]H2_ELE!$H$25*10^6</f>
        <v>166.91764705882352</v>
      </c>
      <c r="C52" s="12" t="s">
        <v>152</v>
      </c>
      <c r="E52" s="43"/>
      <c r="G52" s="42"/>
      <c r="J52" s="44"/>
    </row>
    <row r="53" spans="1:10" x14ac:dyDescent="0.35">
      <c r="A53" t="s">
        <v>153</v>
      </c>
      <c r="B53" s="13">
        <v>15</v>
      </c>
      <c r="C53" t="s">
        <v>133</v>
      </c>
      <c r="E53" s="43"/>
      <c r="G53" s="42"/>
      <c r="J53" s="44"/>
    </row>
    <row r="54" spans="1:10" x14ac:dyDescent="0.35">
      <c r="B54" s="13"/>
    </row>
    <row r="55" spans="1:10" x14ac:dyDescent="0.35">
      <c r="A55" s="337" t="s">
        <v>138</v>
      </c>
      <c r="B55" s="321">
        <f>B53/B52*10^3</f>
        <v>89.864674372709345</v>
      </c>
      <c r="C55" s="337" t="s">
        <v>27</v>
      </c>
    </row>
  </sheetData>
  <mergeCells count="5">
    <mergeCell ref="A16:A18"/>
    <mergeCell ref="F16:F18"/>
    <mergeCell ref="H16:H18"/>
    <mergeCell ref="F37:F39"/>
    <mergeCell ref="H37:H39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30F4-A4B9-4422-95B7-208656B66908}">
  <dimension ref="A1:I22"/>
  <sheetViews>
    <sheetView showGridLines="0" zoomScale="71" zoomScaleNormal="71" workbookViewId="0">
      <selection activeCell="A2" sqref="A2"/>
    </sheetView>
  </sheetViews>
  <sheetFormatPr defaultRowHeight="14.5" x14ac:dyDescent="0.35"/>
  <cols>
    <col min="2" max="2" width="67.81640625" customWidth="1"/>
    <col min="3" max="3" width="17.54296875" bestFit="1" customWidth="1"/>
    <col min="4" max="4" width="17.7265625" style="40" customWidth="1"/>
    <col min="5" max="5" width="18.7265625" style="13" customWidth="1"/>
    <col min="8" max="8" width="14.81640625" customWidth="1"/>
    <col min="10" max="10" width="69.1796875" bestFit="1" customWidth="1"/>
    <col min="12" max="12" width="8.7265625" customWidth="1"/>
  </cols>
  <sheetData>
    <row r="1" spans="1:9" x14ac:dyDescent="0.35">
      <c r="A1" s="1" t="s">
        <v>332</v>
      </c>
      <c r="F1" s="394"/>
    </row>
    <row r="2" spans="1:9" x14ac:dyDescent="0.35">
      <c r="A2" s="1"/>
    </row>
    <row r="3" spans="1:9" x14ac:dyDescent="0.35">
      <c r="A3" s="1"/>
    </row>
    <row r="4" spans="1:9" x14ac:dyDescent="0.35">
      <c r="A4" s="1"/>
      <c r="B4" t="s">
        <v>154</v>
      </c>
      <c r="D4" s="40">
        <v>0.433</v>
      </c>
    </row>
    <row r="5" spans="1:9" x14ac:dyDescent="0.35">
      <c r="A5" s="1"/>
      <c r="B5" t="s">
        <v>155</v>
      </c>
      <c r="D5" s="40">
        <f>1-D4</f>
        <v>0.56699999999999995</v>
      </c>
    </row>
    <row r="6" spans="1:9" x14ac:dyDescent="0.35">
      <c r="A6" s="1"/>
    </row>
    <row r="7" spans="1:9" x14ac:dyDescent="0.35">
      <c r="A7" s="1"/>
      <c r="B7" s="35" t="s">
        <v>156</v>
      </c>
      <c r="C7" s="35"/>
      <c r="D7" s="384"/>
    </row>
    <row r="8" spans="1:9" x14ac:dyDescent="0.35">
      <c r="A8" s="1"/>
      <c r="B8" s="342"/>
      <c r="C8" s="342" t="s">
        <v>157</v>
      </c>
      <c r="D8" s="385" t="s">
        <v>158</v>
      </c>
      <c r="E8" s="343" t="s">
        <v>159</v>
      </c>
    </row>
    <row r="9" spans="1:9" x14ac:dyDescent="0.35">
      <c r="A9" s="1"/>
      <c r="B9" s="344"/>
      <c r="C9" s="382" t="s">
        <v>160</v>
      </c>
      <c r="D9" s="386" t="s">
        <v>161</v>
      </c>
      <c r="E9" s="345" t="s">
        <v>161</v>
      </c>
    </row>
    <row r="10" spans="1:9" x14ac:dyDescent="0.35">
      <c r="B10" s="423" t="s">
        <v>162</v>
      </c>
      <c r="C10" s="421">
        <v>0</v>
      </c>
      <c r="D10" s="393">
        <v>1.8082385127813201</v>
      </c>
      <c r="E10" s="387"/>
      <c r="F10" s="190" t="s">
        <v>163</v>
      </c>
      <c r="G10" s="190"/>
      <c r="H10" s="190"/>
    </row>
    <row r="11" spans="1:9" x14ac:dyDescent="0.35">
      <c r="B11" s="419"/>
      <c r="C11" s="422"/>
      <c r="D11" s="392">
        <v>1.80787618393375</v>
      </c>
      <c r="E11" s="389"/>
      <c r="F11" s="348" t="s">
        <v>164</v>
      </c>
      <c r="G11" s="348"/>
      <c r="H11" s="348"/>
    </row>
    <row r="12" spans="1:9" x14ac:dyDescent="0.35">
      <c r="B12" s="419"/>
      <c r="C12" s="422"/>
      <c r="D12" s="390">
        <v>1.83465282833175</v>
      </c>
      <c r="E12" s="391"/>
      <c r="F12" s="349" t="s">
        <v>165</v>
      </c>
      <c r="G12" s="349"/>
      <c r="H12" s="349"/>
    </row>
    <row r="13" spans="1:9" x14ac:dyDescent="0.35">
      <c r="B13" t="s">
        <v>166</v>
      </c>
      <c r="C13" s="13">
        <v>0</v>
      </c>
      <c r="D13" s="40">
        <v>1.30914390350904</v>
      </c>
      <c r="E13" s="13">
        <v>1.4</v>
      </c>
    </row>
    <row r="14" spans="1:9" x14ac:dyDescent="0.35">
      <c r="B14" s="419" t="s">
        <v>167</v>
      </c>
      <c r="C14" s="415">
        <v>0</v>
      </c>
      <c r="D14" s="324">
        <v>0.72008166846539001</v>
      </c>
      <c r="E14" s="193"/>
      <c r="F14" s="190" t="s">
        <v>163</v>
      </c>
      <c r="G14" s="190"/>
      <c r="H14" s="190"/>
    </row>
    <row r="15" spans="1:9" x14ac:dyDescent="0.35">
      <c r="B15" s="419"/>
      <c r="C15" s="415"/>
      <c r="D15" s="388">
        <v>0.70211666082070301</v>
      </c>
      <c r="E15" s="389"/>
      <c r="F15" s="348" t="s">
        <v>164</v>
      </c>
      <c r="G15" s="348"/>
      <c r="H15" s="348"/>
      <c r="I15" s="42"/>
    </row>
    <row r="16" spans="1:9" x14ac:dyDescent="0.35">
      <c r="B16" s="419"/>
      <c r="C16" s="415"/>
      <c r="D16" s="390">
        <v>2.0297576272139302</v>
      </c>
      <c r="E16" s="391"/>
      <c r="F16" s="349" t="s">
        <v>165</v>
      </c>
      <c r="G16" s="349"/>
      <c r="H16" s="349"/>
    </row>
    <row r="17" spans="2:5" x14ac:dyDescent="0.35">
      <c r="B17" s="30" t="s">
        <v>168</v>
      </c>
      <c r="C17" s="213">
        <v>0</v>
      </c>
      <c r="D17" s="40">
        <v>1.4052127043684499</v>
      </c>
    </row>
    <row r="18" spans="2:5" x14ac:dyDescent="0.35">
      <c r="B18" s="30" t="s">
        <v>169</v>
      </c>
      <c r="C18" s="213">
        <v>0</v>
      </c>
      <c r="D18" s="40">
        <v>0.52862466518055795</v>
      </c>
    </row>
    <row r="19" spans="2:5" x14ac:dyDescent="0.35">
      <c r="B19" t="s">
        <v>170</v>
      </c>
      <c r="C19" s="213">
        <v>0</v>
      </c>
      <c r="D19" s="40">
        <v>0.63783027271856696</v>
      </c>
    </row>
    <row r="20" spans="2:5" x14ac:dyDescent="0.35">
      <c r="B20" t="s">
        <v>171</v>
      </c>
      <c r="C20" s="40">
        <f>D5</f>
        <v>0.56699999999999995</v>
      </c>
      <c r="D20" s="320">
        <v>1.82884663031082</v>
      </c>
      <c r="E20" s="13">
        <v>2</v>
      </c>
    </row>
    <row r="21" spans="2:5" x14ac:dyDescent="0.35">
      <c r="B21" s="18" t="s">
        <v>172</v>
      </c>
      <c r="C21" s="383">
        <f>D4</f>
        <v>0.433</v>
      </c>
      <c r="D21" s="383">
        <v>0.25650859989599301</v>
      </c>
      <c r="E21" s="28">
        <v>0.4</v>
      </c>
    </row>
    <row r="22" spans="2:5" x14ac:dyDescent="0.35">
      <c r="B22" s="346" t="s">
        <v>173</v>
      </c>
      <c r="C22" s="346"/>
    </row>
  </sheetData>
  <mergeCells count="4">
    <mergeCell ref="B14:B16"/>
    <mergeCell ref="C14:C16"/>
    <mergeCell ref="C10:C12"/>
    <mergeCell ref="B10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2110-C8A3-4A21-9C4F-10AFF09D1285}">
  <dimension ref="A1:K13"/>
  <sheetViews>
    <sheetView showGridLines="0" zoomScale="86" zoomScaleNormal="86" workbookViewId="0">
      <selection activeCell="D10" sqref="D10"/>
    </sheetView>
  </sheetViews>
  <sheetFormatPr defaultRowHeight="14.5" x14ac:dyDescent="0.35"/>
  <cols>
    <col min="3" max="3" width="69.1796875" bestFit="1" customWidth="1"/>
    <col min="4" max="4" width="13.54296875" style="13" bestFit="1" customWidth="1"/>
    <col min="5" max="6" width="10.1796875" customWidth="1"/>
    <col min="7" max="7" width="12.453125" bestFit="1" customWidth="1"/>
    <col min="8" max="8" width="8.453125" bestFit="1" customWidth="1"/>
    <col min="9" max="9" width="10.54296875" style="13" customWidth="1"/>
    <col min="10" max="10" width="5.453125" bestFit="1" customWidth="1"/>
    <col min="11" max="11" width="21.26953125" bestFit="1" customWidth="1"/>
  </cols>
  <sheetData>
    <row r="1" spans="1:11" x14ac:dyDescent="0.35">
      <c r="A1" s="1" t="s">
        <v>174</v>
      </c>
    </row>
    <row r="2" spans="1:11" x14ac:dyDescent="0.35">
      <c r="A2" s="1"/>
    </row>
    <row r="4" spans="1:11" x14ac:dyDescent="0.35">
      <c r="C4" s="35" t="s">
        <v>175</v>
      </c>
    </row>
    <row r="5" spans="1:11" x14ac:dyDescent="0.35">
      <c r="C5" s="396" t="s">
        <v>176</v>
      </c>
      <c r="D5" s="397" t="s">
        <v>177</v>
      </c>
      <c r="E5" s="402" t="s">
        <v>178</v>
      </c>
      <c r="F5" s="402" t="s">
        <v>179</v>
      </c>
    </row>
    <row r="6" spans="1:11" x14ac:dyDescent="0.35">
      <c r="C6" s="155" t="s">
        <v>171</v>
      </c>
      <c r="D6" s="398">
        <v>3992.4275359397102</v>
      </c>
      <c r="E6" s="403" t="s">
        <v>180</v>
      </c>
      <c r="F6" s="403" t="s">
        <v>180</v>
      </c>
      <c r="H6" s="399"/>
      <c r="I6" s="12" t="s">
        <v>181</v>
      </c>
    </row>
    <row r="7" spans="1:11" x14ac:dyDescent="0.35">
      <c r="C7" t="s">
        <v>170</v>
      </c>
      <c r="D7" s="41">
        <f>D6+I8</f>
        <v>4992.4275359397107</v>
      </c>
      <c r="E7" s="218">
        <f t="shared" ref="E7:E12" si="0">(D7-$D$6)/$D$6</f>
        <v>0.25047417667522609</v>
      </c>
      <c r="F7" s="405">
        <f>(1+E7)</f>
        <v>1.2504741766752261</v>
      </c>
    </row>
    <row r="8" spans="1:11" x14ac:dyDescent="0.35">
      <c r="C8" s="30" t="s">
        <v>168</v>
      </c>
      <c r="D8" s="41">
        <f>D6+I9</f>
        <v>4007.4275359397102</v>
      </c>
      <c r="E8" s="360">
        <f t="shared" si="0"/>
        <v>3.7571126501283894E-3</v>
      </c>
      <c r="F8" s="405">
        <f t="shared" ref="F8:F12" si="1">(1+E8)</f>
        <v>1.0037571126501283</v>
      </c>
      <c r="H8" t="s">
        <v>182</v>
      </c>
      <c r="I8" s="13">
        <v>1000</v>
      </c>
      <c r="J8" t="s">
        <v>183</v>
      </c>
    </row>
    <row r="9" spans="1:11" x14ac:dyDescent="0.35">
      <c r="C9" s="30" t="s">
        <v>169</v>
      </c>
      <c r="D9" s="41">
        <f>D6+SUM(I8:I9)</f>
        <v>5007.4275359397107</v>
      </c>
      <c r="E9" s="218">
        <f t="shared" si="0"/>
        <v>0.25423128932535444</v>
      </c>
      <c r="F9" s="405">
        <f t="shared" si="1"/>
        <v>1.2542312893253544</v>
      </c>
      <c r="H9" t="s">
        <v>184</v>
      </c>
      <c r="I9" s="13">
        <v>15</v>
      </c>
      <c r="J9" t="s">
        <v>183</v>
      </c>
    </row>
    <row r="10" spans="1:11" x14ac:dyDescent="0.35">
      <c r="C10" s="29" t="s">
        <v>162</v>
      </c>
      <c r="D10" s="41">
        <f>I12</f>
        <v>600</v>
      </c>
      <c r="E10" s="218">
        <f t="shared" si="0"/>
        <v>-0.84971549399486446</v>
      </c>
      <c r="F10" s="405">
        <f t="shared" si="1"/>
        <v>0.15028450600513554</v>
      </c>
      <c r="G10" s="44"/>
      <c r="H10" t="s">
        <v>185</v>
      </c>
      <c r="I10" s="13">
        <v>500</v>
      </c>
      <c r="J10" t="s">
        <v>183</v>
      </c>
      <c r="K10" s="424" t="s">
        <v>186</v>
      </c>
    </row>
    <row r="11" spans="1:11" x14ac:dyDescent="0.35">
      <c r="C11" t="s">
        <v>166</v>
      </c>
      <c r="D11" s="41" cm="1">
        <f t="array" ref="D11:D12">I10:I11</f>
        <v>500</v>
      </c>
      <c r="E11" s="218">
        <f t="shared" si="0"/>
        <v>-0.87476291166238707</v>
      </c>
      <c r="F11" s="405">
        <f>(1+E11)</f>
        <v>0.12523708833761293</v>
      </c>
      <c r="H11" t="s">
        <v>187</v>
      </c>
      <c r="I11" s="13">
        <v>500</v>
      </c>
      <c r="J11" t="s">
        <v>183</v>
      </c>
      <c r="K11" s="424"/>
    </row>
    <row r="12" spans="1:11" x14ac:dyDescent="0.35">
      <c r="C12" s="29" t="s">
        <v>167</v>
      </c>
      <c r="D12" s="41">
        <v>500</v>
      </c>
      <c r="E12" s="218">
        <f t="shared" si="0"/>
        <v>-0.87476291166238707</v>
      </c>
      <c r="F12" s="405">
        <f t="shared" si="1"/>
        <v>0.12523708833761293</v>
      </c>
      <c r="H12" t="s">
        <v>188</v>
      </c>
      <c r="I12" s="13">
        <v>600</v>
      </c>
      <c r="J12" t="s">
        <v>183</v>
      </c>
      <c r="K12" s="424"/>
    </row>
    <row r="13" spans="1:11" x14ac:dyDescent="0.35">
      <c r="C13" s="400" t="s">
        <v>172</v>
      </c>
      <c r="D13" s="401">
        <v>8757.9261943695801</v>
      </c>
      <c r="E13" s="404" t="s">
        <v>180</v>
      </c>
      <c r="F13" s="404" t="s">
        <v>180</v>
      </c>
    </row>
  </sheetData>
  <mergeCells count="1">
    <mergeCell ref="K10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FD05-B2A2-4376-A913-B6A62876EB64}">
  <dimension ref="A1:T181"/>
  <sheetViews>
    <sheetView zoomScale="53" zoomScaleNormal="53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R5" sqref="R5"/>
    </sheetView>
  </sheetViews>
  <sheetFormatPr defaultRowHeight="14.5" x14ac:dyDescent="0.35"/>
  <cols>
    <col min="1" max="1" width="37" customWidth="1"/>
    <col min="2" max="2" width="9.81640625" style="13" customWidth="1"/>
    <col min="3" max="4" width="8.7265625" style="13"/>
    <col min="5" max="5" width="10.453125" customWidth="1"/>
    <col min="6" max="6" width="13.453125" bestFit="1" customWidth="1"/>
    <col min="7" max="7" width="12.453125" style="48" bestFit="1" customWidth="1"/>
    <col min="8" max="14" width="13" customWidth="1"/>
    <col min="15" max="15" width="13" style="48" customWidth="1"/>
    <col min="16" max="16" width="13.453125" style="13" bestFit="1" customWidth="1"/>
    <col min="18" max="18" width="9.54296875" customWidth="1"/>
    <col min="20" max="20" width="8.7265625" style="13"/>
  </cols>
  <sheetData>
    <row r="1" spans="1:20" s="13" customFormat="1" x14ac:dyDescent="0.35">
      <c r="A1" s="254" t="s">
        <v>189</v>
      </c>
      <c r="D1" s="7" t="s">
        <v>190</v>
      </c>
      <c r="E1" s="13" t="str" cm="1">
        <f t="array" ref="E1:O1">TRANSPOSE(D4:D14)</f>
        <v>ST</v>
      </c>
      <c r="F1" s="13" t="str">
        <v>SR_H2</v>
      </c>
      <c r="G1" s="47" t="str">
        <v>ELE_H2</v>
      </c>
      <c r="H1" s="13" t="str">
        <v>H2BF_ST</v>
      </c>
      <c r="I1" s="13" t="str">
        <v>NG_ST</v>
      </c>
      <c r="J1" s="13" t="str">
        <v>H2_ST</v>
      </c>
      <c r="K1" s="13" t="str">
        <v>CH_ST</v>
      </c>
      <c r="L1" s="13" t="str">
        <v>CH_CC_ST</v>
      </c>
      <c r="M1" s="13" t="str">
        <v>CC_ST</v>
      </c>
      <c r="N1" s="13" t="str">
        <v>SR_H2_P</v>
      </c>
      <c r="O1" s="47" t="str">
        <v>ELE_H2_P</v>
      </c>
      <c r="P1" s="13" t="s">
        <v>191</v>
      </c>
    </row>
    <row r="2" spans="1:20" s="13" customFormat="1" x14ac:dyDescent="0.35">
      <c r="D2" s="7" t="s">
        <v>192</v>
      </c>
      <c r="E2" s="13" t="str" cm="1">
        <f t="array" ref="E2:O2">TRANSPOSE(B4:B14)</f>
        <v>EU27</v>
      </c>
      <c r="F2" s="13" t="str">
        <v>EU27</v>
      </c>
      <c r="G2" s="47" t="str">
        <v>EU27</v>
      </c>
      <c r="H2" s="13" t="str">
        <v>EU27</v>
      </c>
      <c r="I2" s="13" t="str">
        <v>EU27</v>
      </c>
      <c r="J2" s="13" t="str">
        <v>EU27</v>
      </c>
      <c r="K2" s="13" t="str">
        <v>EU27</v>
      </c>
      <c r="L2" s="13" t="str">
        <v>EU27</v>
      </c>
      <c r="M2" s="13" t="str">
        <v>EU27</v>
      </c>
      <c r="N2" s="13" t="str">
        <v>EU27</v>
      </c>
      <c r="O2" s="47" t="str">
        <v>EU27</v>
      </c>
      <c r="P2" s="13" t="s">
        <v>29</v>
      </c>
      <c r="T2" s="13" t="s">
        <v>193</v>
      </c>
    </row>
    <row r="3" spans="1:20" ht="15" thickBot="1" x14ac:dyDescent="0.4">
      <c r="A3" s="6" t="s">
        <v>194</v>
      </c>
      <c r="B3" s="7" t="s">
        <v>192</v>
      </c>
      <c r="C3" s="7" t="s">
        <v>195</v>
      </c>
    </row>
    <row r="4" spans="1:20" s="8" customFormat="1" x14ac:dyDescent="0.35">
      <c r="A4" s="8" t="s">
        <v>196</v>
      </c>
      <c r="B4" s="10" t="s">
        <v>29</v>
      </c>
      <c r="C4" s="10" t="s">
        <v>56</v>
      </c>
      <c r="D4" s="10" t="s">
        <v>197</v>
      </c>
      <c r="G4" s="137"/>
      <c r="H4" s="276" cm="1">
        <f t="array" ref="H4:O6">MSUT!X4:AE6</f>
        <v>0</v>
      </c>
      <c r="I4" s="276">
        <v>0</v>
      </c>
      <c r="J4" s="276">
        <v>0</v>
      </c>
      <c r="K4" s="276">
        <v>0</v>
      </c>
      <c r="L4" s="276">
        <v>0</v>
      </c>
      <c r="M4" s="276">
        <v>0</v>
      </c>
      <c r="N4" s="276">
        <v>0</v>
      </c>
      <c r="O4" s="277">
        <v>0</v>
      </c>
      <c r="P4" s="278">
        <v>6</v>
      </c>
      <c r="R4" s="209">
        <f>SUM(H4:P4)</f>
        <v>6</v>
      </c>
      <c r="T4" s="10" t="str" cm="1">
        <f t="array" ref="T4:T6">IF(R4:R6=TRANSPOSE(E89:G89),"ok","error")</f>
        <v>ok</v>
      </c>
    </row>
    <row r="5" spans="1:20" x14ac:dyDescent="0.35">
      <c r="A5" s="12" t="s">
        <v>198</v>
      </c>
      <c r="B5" s="13" t="s">
        <v>29</v>
      </c>
      <c r="C5" s="13" t="s">
        <v>53</v>
      </c>
      <c r="D5" s="13" t="s">
        <v>199</v>
      </c>
      <c r="H5" s="371">
        <v>1.8124436429215509</v>
      </c>
      <c r="I5" s="92">
        <v>71.248513674197383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134">
        <v>0</v>
      </c>
      <c r="P5" s="255">
        <v>0</v>
      </c>
      <c r="R5" s="246">
        <f>SUM(H5:P5)</f>
        <v>73.060957317118934</v>
      </c>
      <c r="T5" s="13" t="str">
        <v>ok</v>
      </c>
    </row>
    <row r="6" spans="1:20" x14ac:dyDescent="0.35">
      <c r="A6" t="s">
        <v>200</v>
      </c>
      <c r="B6" s="13" t="s">
        <v>29</v>
      </c>
      <c r="C6" s="13" t="s">
        <v>53</v>
      </c>
      <c r="D6" s="13" t="s">
        <v>201</v>
      </c>
      <c r="H6" s="371">
        <v>7.2497745716862037</v>
      </c>
      <c r="I6" s="92">
        <v>0</v>
      </c>
      <c r="J6" s="92">
        <v>89.864674372709345</v>
      </c>
      <c r="K6" s="92">
        <v>0</v>
      </c>
      <c r="L6" s="92">
        <v>0</v>
      </c>
      <c r="M6" s="92">
        <v>0</v>
      </c>
      <c r="N6" s="92">
        <v>0</v>
      </c>
      <c r="O6" s="134">
        <v>0</v>
      </c>
      <c r="P6" s="119">
        <v>0</v>
      </c>
      <c r="R6" s="246">
        <f>SUM(H6:P6)</f>
        <v>97.114448944395548</v>
      </c>
      <c r="T6" s="13" t="str">
        <v>ok</v>
      </c>
    </row>
    <row r="7" spans="1:20" s="8" customFormat="1" x14ac:dyDescent="0.35">
      <c r="A7" s="8" t="s">
        <v>202</v>
      </c>
      <c r="B7" s="10" t="s">
        <v>29</v>
      </c>
      <c r="C7" s="10" t="s">
        <v>56</v>
      </c>
      <c r="D7" s="10" t="s">
        <v>203</v>
      </c>
      <c r="E7" s="93" cm="1">
        <f t="array" ref="E7:G14">MSUT!E23:G30</f>
        <v>1</v>
      </c>
      <c r="F7" s="112">
        <v>0</v>
      </c>
      <c r="G7" s="95">
        <v>0</v>
      </c>
      <c r="H7" s="117"/>
      <c r="I7" s="117"/>
      <c r="J7" s="117"/>
      <c r="K7" s="117"/>
      <c r="L7" s="117"/>
      <c r="M7" s="117"/>
      <c r="N7" s="117"/>
      <c r="O7" s="135"/>
      <c r="P7" s="10"/>
      <c r="R7" s="283">
        <f>SUM(E7:G7)</f>
        <v>1</v>
      </c>
      <c r="T7" s="10"/>
    </row>
    <row r="8" spans="1:20" x14ac:dyDescent="0.35">
      <c r="A8" t="s">
        <v>204</v>
      </c>
      <c r="B8" s="13" t="s">
        <v>29</v>
      </c>
      <c r="C8" s="13" t="s">
        <v>56</v>
      </c>
      <c r="D8" s="13" t="s">
        <v>205</v>
      </c>
      <c r="E8" s="96">
        <v>1</v>
      </c>
      <c r="F8" s="111">
        <v>0</v>
      </c>
      <c r="G8" s="58">
        <v>0</v>
      </c>
      <c r="H8" s="54"/>
      <c r="I8" s="54"/>
      <c r="J8" s="54"/>
      <c r="K8" s="54"/>
      <c r="L8" s="54"/>
      <c r="M8" s="54"/>
      <c r="N8" s="54"/>
      <c r="O8" s="65"/>
      <c r="R8" s="246">
        <f>SUM(E8:G8)</f>
        <v>1</v>
      </c>
    </row>
    <row r="9" spans="1:20" x14ac:dyDescent="0.35">
      <c r="A9" t="s">
        <v>206</v>
      </c>
      <c r="B9" s="13" t="s">
        <v>29</v>
      </c>
      <c r="C9" s="13" t="s">
        <v>56</v>
      </c>
      <c r="D9" s="13" t="s">
        <v>207</v>
      </c>
      <c r="E9" s="96">
        <v>1</v>
      </c>
      <c r="F9" s="111">
        <v>0</v>
      </c>
      <c r="G9" s="58">
        <v>0</v>
      </c>
      <c r="H9" s="54"/>
      <c r="I9" s="54"/>
      <c r="J9" s="54"/>
      <c r="K9" s="54"/>
      <c r="L9" s="54"/>
      <c r="M9" s="54"/>
      <c r="N9" s="54"/>
      <c r="R9" s="246">
        <f>SUM(E9:G9)</f>
        <v>1</v>
      </c>
    </row>
    <row r="10" spans="1:20" x14ac:dyDescent="0.35">
      <c r="A10" t="s">
        <v>208</v>
      </c>
      <c r="B10" s="13" t="s">
        <v>29</v>
      </c>
      <c r="C10" s="13" t="s">
        <v>56</v>
      </c>
      <c r="D10" s="13" t="s">
        <v>209</v>
      </c>
      <c r="E10" s="96">
        <v>1</v>
      </c>
      <c r="F10" s="111">
        <v>0</v>
      </c>
      <c r="G10" s="58">
        <v>0</v>
      </c>
      <c r="H10" s="54"/>
      <c r="I10" s="54"/>
      <c r="J10" s="54"/>
      <c r="K10" s="54"/>
      <c r="L10" s="54"/>
      <c r="M10" s="54"/>
      <c r="N10" s="54"/>
      <c r="R10" s="246">
        <f t="shared" ref="R10:R12" si="0">SUM(E10:G10)</f>
        <v>1</v>
      </c>
    </row>
    <row r="11" spans="1:20" x14ac:dyDescent="0.35">
      <c r="A11" t="s">
        <v>210</v>
      </c>
      <c r="B11" s="13" t="s">
        <v>29</v>
      </c>
      <c r="C11" s="13" t="s">
        <v>56</v>
      </c>
      <c r="D11" s="13" t="s">
        <v>211</v>
      </c>
      <c r="E11" s="96">
        <v>1</v>
      </c>
      <c r="F11" s="111">
        <v>0</v>
      </c>
      <c r="G11" s="58">
        <v>0</v>
      </c>
      <c r="H11" s="54"/>
      <c r="I11" s="54"/>
      <c r="J11" s="54"/>
      <c r="K11" s="54"/>
      <c r="L11" s="54"/>
      <c r="M11" s="54"/>
      <c r="N11" s="54"/>
      <c r="R11" s="246">
        <f t="shared" si="0"/>
        <v>1</v>
      </c>
    </row>
    <row r="12" spans="1:20" x14ac:dyDescent="0.35">
      <c r="A12" t="s">
        <v>212</v>
      </c>
      <c r="B12" s="13" t="s">
        <v>29</v>
      </c>
      <c r="C12" s="13" t="s">
        <v>56</v>
      </c>
      <c r="D12" s="13" t="s">
        <v>213</v>
      </c>
      <c r="E12" s="96">
        <v>1</v>
      </c>
      <c r="F12" s="111">
        <v>0</v>
      </c>
      <c r="G12" s="58">
        <v>0</v>
      </c>
      <c r="H12" s="54"/>
      <c r="I12" s="54"/>
      <c r="J12" s="54"/>
      <c r="K12" s="54"/>
      <c r="L12" s="54"/>
      <c r="M12" s="54"/>
      <c r="N12" s="54"/>
      <c r="R12" s="246">
        <f t="shared" si="0"/>
        <v>1</v>
      </c>
    </row>
    <row r="13" spans="1:20" x14ac:dyDescent="0.35">
      <c r="A13" t="s">
        <v>214</v>
      </c>
      <c r="B13" s="13" t="s">
        <v>29</v>
      </c>
      <c r="C13" s="13" t="s">
        <v>53</v>
      </c>
      <c r="D13" s="13" t="s">
        <v>215</v>
      </c>
      <c r="E13" s="96">
        <v>0</v>
      </c>
      <c r="F13" s="247">
        <v>73.060957317118934</v>
      </c>
      <c r="G13" s="132">
        <v>0</v>
      </c>
      <c r="H13" s="54"/>
      <c r="I13" s="54"/>
      <c r="J13" s="54"/>
      <c r="K13" s="54"/>
      <c r="L13" s="54"/>
      <c r="M13" s="54"/>
      <c r="N13" s="54"/>
      <c r="O13" s="65"/>
      <c r="R13" s="246">
        <f>SUM(E13:G13)</f>
        <v>73.060957317118934</v>
      </c>
    </row>
    <row r="14" spans="1:20" s="18" customFormat="1" x14ac:dyDescent="0.35">
      <c r="A14" s="18" t="s">
        <v>216</v>
      </c>
      <c r="B14" s="28" t="s">
        <v>29</v>
      </c>
      <c r="C14" s="28" t="s">
        <v>53</v>
      </c>
      <c r="D14" s="28" t="s">
        <v>217</v>
      </c>
      <c r="E14" s="62">
        <v>0</v>
      </c>
      <c r="F14" s="141">
        <v>0</v>
      </c>
      <c r="G14" s="257">
        <v>97.114448944395548</v>
      </c>
      <c r="H14" s="109"/>
      <c r="I14" s="109"/>
      <c r="J14" s="109"/>
      <c r="K14" s="109"/>
      <c r="L14" s="109"/>
      <c r="M14" s="109"/>
      <c r="N14" s="109"/>
      <c r="O14" s="142"/>
      <c r="P14" s="28"/>
      <c r="R14" s="256">
        <f>SUM(E14:G14)</f>
        <v>97.114448944395548</v>
      </c>
      <c r="T14" s="28"/>
    </row>
    <row r="15" spans="1:20" x14ac:dyDescent="0.35">
      <c r="A15" t="s">
        <v>218</v>
      </c>
      <c r="B15" s="13" t="s">
        <v>29</v>
      </c>
      <c r="C15" s="13" t="s">
        <v>56</v>
      </c>
      <c r="D15" s="13" t="s">
        <v>219</v>
      </c>
      <c r="E15" s="54"/>
      <c r="F15" s="54"/>
      <c r="G15" s="65"/>
      <c r="H15" s="98" cm="1">
        <f t="array" ref="H15:O87">MSUT!X76:AE148</f>
        <v>0</v>
      </c>
      <c r="I15" s="159">
        <v>1.9500181678711294E-2</v>
      </c>
      <c r="J15" s="159">
        <v>1.9500181678711294E-2</v>
      </c>
      <c r="K15" s="98">
        <v>0</v>
      </c>
      <c r="L15" s="98">
        <v>0</v>
      </c>
      <c r="M15" s="98">
        <v>0</v>
      </c>
      <c r="N15" s="98">
        <v>0</v>
      </c>
      <c r="O15" s="376">
        <v>0</v>
      </c>
    </row>
    <row r="16" spans="1:20" s="13" customFormat="1" x14ac:dyDescent="0.35">
      <c r="A16" s="12" t="s">
        <v>220</v>
      </c>
      <c r="B16" s="13" t="s">
        <v>29</v>
      </c>
      <c r="C16" s="13" t="s">
        <v>56</v>
      </c>
      <c r="D16" s="13" t="s">
        <v>221</v>
      </c>
      <c r="E16" s="54"/>
      <c r="F16" s="54"/>
      <c r="G16" s="65"/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376">
        <v>0</v>
      </c>
      <c r="Q16"/>
      <c r="R16"/>
      <c r="S16"/>
    </row>
    <row r="17" spans="1:19" s="13" customFormat="1" x14ac:dyDescent="0.35">
      <c r="A17" t="s">
        <v>222</v>
      </c>
      <c r="B17" s="13" t="s">
        <v>29</v>
      </c>
      <c r="C17" s="13" t="s">
        <v>56</v>
      </c>
      <c r="D17" s="13" t="s">
        <v>223</v>
      </c>
      <c r="E17" s="54"/>
      <c r="F17" s="54"/>
      <c r="G17" s="65"/>
      <c r="H17" s="98">
        <v>0</v>
      </c>
      <c r="I17" s="159">
        <v>1.9404661061278542E-3</v>
      </c>
      <c r="J17" s="159">
        <v>1.9404661061278542E-3</v>
      </c>
      <c r="K17" s="98">
        <v>0</v>
      </c>
      <c r="L17" s="98">
        <v>0</v>
      </c>
      <c r="M17" s="98">
        <v>0</v>
      </c>
      <c r="N17" s="98">
        <v>0</v>
      </c>
      <c r="O17" s="376">
        <v>0</v>
      </c>
      <c r="Q17"/>
      <c r="R17"/>
      <c r="S17"/>
    </row>
    <row r="18" spans="1:19" s="13" customFormat="1" x14ac:dyDescent="0.35">
      <c r="A18" t="s">
        <v>224</v>
      </c>
      <c r="B18" s="13" t="s">
        <v>29</v>
      </c>
      <c r="C18" s="13" t="s">
        <v>56</v>
      </c>
      <c r="D18" s="13" t="s">
        <v>225</v>
      </c>
      <c r="E18" s="54"/>
      <c r="F18" s="54"/>
      <c r="G18" s="65"/>
      <c r="H18" s="98">
        <v>0</v>
      </c>
      <c r="I18" s="159">
        <v>5.8423628191201782E-3</v>
      </c>
      <c r="J18" s="159">
        <v>5.8423628191201782E-3</v>
      </c>
      <c r="K18" s="98">
        <v>0</v>
      </c>
      <c r="L18" s="98">
        <v>0</v>
      </c>
      <c r="M18" s="98">
        <v>0</v>
      </c>
      <c r="N18" s="98">
        <v>0</v>
      </c>
      <c r="O18" s="376">
        <v>0</v>
      </c>
      <c r="Q18"/>
      <c r="R18"/>
      <c r="S18"/>
    </row>
    <row r="19" spans="1:19" s="13" customFormat="1" x14ac:dyDescent="0.35">
      <c r="A19" t="s">
        <v>226</v>
      </c>
      <c r="B19" s="13" t="s">
        <v>29</v>
      </c>
      <c r="C19" s="13" t="s">
        <v>56</v>
      </c>
      <c r="D19" s="13" t="s">
        <v>227</v>
      </c>
      <c r="E19" s="54"/>
      <c r="F19" s="54"/>
      <c r="G19" s="65"/>
      <c r="H19" s="159">
        <v>7.0611384178638645E-2</v>
      </c>
      <c r="I19" s="159">
        <v>4.8981233243967828E-4</v>
      </c>
      <c r="J19" s="159">
        <v>4.8981233243967828E-4</v>
      </c>
      <c r="K19" s="159">
        <v>1.4658301341380521E-2</v>
      </c>
      <c r="L19" s="159">
        <v>1.4658301341380521E-2</v>
      </c>
      <c r="M19" s="98">
        <v>0</v>
      </c>
      <c r="N19" s="98">
        <v>0</v>
      </c>
      <c r="O19" s="376">
        <v>0</v>
      </c>
      <c r="Q19"/>
      <c r="R19"/>
      <c r="S19"/>
    </row>
    <row r="20" spans="1:19" s="13" customFormat="1" x14ac:dyDescent="0.35">
      <c r="A20" t="s">
        <v>83</v>
      </c>
      <c r="B20" s="13" t="s">
        <v>29</v>
      </c>
      <c r="C20" s="13" t="s">
        <v>56</v>
      </c>
      <c r="D20" s="13" t="s">
        <v>228</v>
      </c>
      <c r="E20" s="54"/>
      <c r="F20" s="54"/>
      <c r="G20" s="65"/>
      <c r="H20" s="98">
        <v>0</v>
      </c>
      <c r="I20" s="98">
        <v>0</v>
      </c>
      <c r="J20" s="98">
        <v>0</v>
      </c>
      <c r="K20" s="159">
        <v>3.0740776778828832E-3</v>
      </c>
      <c r="L20" s="159">
        <v>3.0740776778828832E-3</v>
      </c>
      <c r="M20" s="98">
        <v>0</v>
      </c>
      <c r="N20" s="98">
        <v>0</v>
      </c>
      <c r="O20" s="376">
        <v>0</v>
      </c>
      <c r="Q20"/>
      <c r="R20"/>
      <c r="S20"/>
    </row>
    <row r="21" spans="1:19" s="13" customFormat="1" x14ac:dyDescent="0.35">
      <c r="A21" t="s">
        <v>229</v>
      </c>
      <c r="B21" s="13" t="s">
        <v>29</v>
      </c>
      <c r="C21" s="13" t="s">
        <v>56</v>
      </c>
      <c r="D21" s="13" t="s">
        <v>230</v>
      </c>
      <c r="E21" s="54"/>
      <c r="F21" s="54"/>
      <c r="G21" s="65"/>
      <c r="H21" s="98">
        <v>0</v>
      </c>
      <c r="I21" s="159">
        <v>2.4658201215687387E-3</v>
      </c>
      <c r="J21" s="159">
        <v>2.4658201215687387E-3</v>
      </c>
      <c r="K21" s="98">
        <v>0</v>
      </c>
      <c r="L21" s="98">
        <v>0</v>
      </c>
      <c r="M21" s="98">
        <v>0</v>
      </c>
      <c r="N21" s="98">
        <v>0</v>
      </c>
      <c r="O21" s="376">
        <v>0</v>
      </c>
      <c r="Q21"/>
      <c r="R21"/>
      <c r="S21"/>
    </row>
    <row r="22" spans="1:19" s="13" customFormat="1" x14ac:dyDescent="0.35">
      <c r="A22" t="s">
        <v>231</v>
      </c>
      <c r="B22" s="13" t="s">
        <v>29</v>
      </c>
      <c r="C22" s="13" t="s">
        <v>56</v>
      </c>
      <c r="D22" s="13" t="s">
        <v>232</v>
      </c>
      <c r="E22" s="54"/>
      <c r="F22" s="54"/>
      <c r="G22" s="65"/>
      <c r="H22" s="98">
        <v>0</v>
      </c>
      <c r="I22" s="159">
        <v>4.0654829615707994E-5</v>
      </c>
      <c r="J22" s="159">
        <v>4.0654829615707994E-5</v>
      </c>
      <c r="K22" s="98">
        <v>0</v>
      </c>
      <c r="L22" s="98">
        <v>0</v>
      </c>
      <c r="M22" s="98">
        <v>0</v>
      </c>
      <c r="N22" s="98">
        <v>0</v>
      </c>
      <c r="O22" s="376">
        <v>0</v>
      </c>
      <c r="Q22"/>
      <c r="R22"/>
      <c r="S22"/>
    </row>
    <row r="23" spans="1:19" s="13" customFormat="1" x14ac:dyDescent="0.35">
      <c r="A23" t="s">
        <v>233</v>
      </c>
      <c r="B23" s="13" t="s">
        <v>29</v>
      </c>
      <c r="C23" s="13" t="s">
        <v>56</v>
      </c>
      <c r="D23" s="13" t="s">
        <v>228</v>
      </c>
      <c r="E23" s="54"/>
      <c r="F23" s="54"/>
      <c r="G23" s="65"/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376">
        <v>0</v>
      </c>
      <c r="Q23"/>
      <c r="R23"/>
      <c r="S23"/>
    </row>
    <row r="24" spans="1:19" s="13" customFormat="1" x14ac:dyDescent="0.35">
      <c r="A24" t="s">
        <v>101</v>
      </c>
      <c r="B24" s="13" t="s">
        <v>29</v>
      </c>
      <c r="C24" s="13" t="s">
        <v>103</v>
      </c>
      <c r="D24" s="13" t="s">
        <v>234</v>
      </c>
      <c r="E24" s="54"/>
      <c r="F24" s="54"/>
      <c r="G24" s="65"/>
      <c r="H24" s="98">
        <v>0</v>
      </c>
      <c r="I24" s="159">
        <v>1.4567715973119188E-3</v>
      </c>
      <c r="J24" s="159">
        <v>1.4077232662383567E-3</v>
      </c>
      <c r="K24" s="98">
        <v>0</v>
      </c>
      <c r="L24" s="98">
        <v>0</v>
      </c>
      <c r="M24" s="98">
        <v>0</v>
      </c>
      <c r="N24" s="98">
        <v>0</v>
      </c>
      <c r="O24" s="376">
        <v>0</v>
      </c>
      <c r="Q24"/>
      <c r="R24"/>
      <c r="S24"/>
    </row>
    <row r="25" spans="1:19" s="13" customFormat="1" x14ac:dyDescent="0.35">
      <c r="A25" t="s">
        <v>104</v>
      </c>
      <c r="B25" s="13" t="s">
        <v>29</v>
      </c>
      <c r="C25" s="13" t="s">
        <v>103</v>
      </c>
      <c r="D25" s="13" t="s">
        <v>235</v>
      </c>
      <c r="E25" s="54"/>
      <c r="F25" s="54"/>
      <c r="G25" s="65"/>
      <c r="H25" s="98">
        <v>0</v>
      </c>
      <c r="I25" s="159">
        <v>8.3535480890614125E-4</v>
      </c>
      <c r="J25" s="159">
        <v>8.0722908260373052E-4</v>
      </c>
      <c r="K25" s="98">
        <v>0</v>
      </c>
      <c r="L25" s="98">
        <v>0</v>
      </c>
      <c r="M25" s="98">
        <v>0</v>
      </c>
      <c r="N25" s="98">
        <v>0</v>
      </c>
      <c r="O25" s="376">
        <v>0</v>
      </c>
      <c r="Q25"/>
      <c r="R25"/>
      <c r="S25"/>
    </row>
    <row r="26" spans="1:19" s="13" customFormat="1" ht="15" thickBot="1" x14ac:dyDescent="0.4">
      <c r="A26" t="s">
        <v>106</v>
      </c>
      <c r="B26" s="13" t="s">
        <v>29</v>
      </c>
      <c r="C26" s="13" t="s">
        <v>103</v>
      </c>
      <c r="D26" s="13" t="s">
        <v>236</v>
      </c>
      <c r="E26" s="54"/>
      <c r="F26" s="54"/>
      <c r="G26" s="65"/>
      <c r="H26" s="67">
        <v>0</v>
      </c>
      <c r="I26" s="206">
        <v>1.2416531155153262E-3</v>
      </c>
      <c r="J26" s="206">
        <v>1.1998476511579127E-3</v>
      </c>
      <c r="K26" s="67">
        <v>0</v>
      </c>
      <c r="L26" s="67">
        <v>0</v>
      </c>
      <c r="M26" s="67">
        <v>0</v>
      </c>
      <c r="N26" s="67">
        <v>0</v>
      </c>
      <c r="O26" s="377">
        <v>0</v>
      </c>
      <c r="Q26"/>
      <c r="R26"/>
      <c r="S26"/>
    </row>
    <row r="27" spans="1:19" s="13" customFormat="1" x14ac:dyDescent="0.35">
      <c r="A27" t="s">
        <v>218</v>
      </c>
      <c r="B27" s="13" t="s">
        <v>237</v>
      </c>
      <c r="C27" s="13" t="s">
        <v>56</v>
      </c>
      <c r="D27" s="13" t="s">
        <v>219</v>
      </c>
      <c r="E27" s="54"/>
      <c r="F27" s="54"/>
      <c r="G27" s="65"/>
      <c r="H27" s="98">
        <v>0</v>
      </c>
      <c r="I27" s="159">
        <v>0.16108845734587587</v>
      </c>
      <c r="J27" s="159">
        <v>0.16108845734587587</v>
      </c>
      <c r="K27" s="98">
        <v>0</v>
      </c>
      <c r="L27" s="98">
        <v>0</v>
      </c>
      <c r="M27" s="98">
        <v>0</v>
      </c>
      <c r="N27" s="98">
        <v>0</v>
      </c>
      <c r="O27" s="376">
        <v>0</v>
      </c>
      <c r="Q27"/>
      <c r="R27"/>
      <c r="S27"/>
    </row>
    <row r="28" spans="1:19" s="13" customFormat="1" x14ac:dyDescent="0.35">
      <c r="A28" s="12" t="s">
        <v>220</v>
      </c>
      <c r="B28" s="13" t="s">
        <v>237</v>
      </c>
      <c r="C28" s="13" t="s">
        <v>56</v>
      </c>
      <c r="D28" s="13" t="s">
        <v>221</v>
      </c>
      <c r="E28" s="54"/>
      <c r="F28" s="54"/>
      <c r="G28" s="65"/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376">
        <v>0</v>
      </c>
      <c r="Q28"/>
      <c r="R28"/>
      <c r="S28"/>
    </row>
    <row r="29" spans="1:19" s="13" customFormat="1" x14ac:dyDescent="0.35">
      <c r="A29" t="s">
        <v>222</v>
      </c>
      <c r="B29" s="13" t="s">
        <v>237</v>
      </c>
      <c r="C29" s="13" t="s">
        <v>56</v>
      </c>
      <c r="D29" s="13" t="s">
        <v>223</v>
      </c>
      <c r="E29" s="54"/>
      <c r="F29" s="54"/>
      <c r="G29" s="65"/>
      <c r="H29" s="98">
        <v>0</v>
      </c>
      <c r="I29" s="159">
        <v>5.0558836222750793E-4</v>
      </c>
      <c r="J29" s="159">
        <v>5.0558836222750793E-4</v>
      </c>
      <c r="K29" s="98">
        <v>0</v>
      </c>
      <c r="L29" s="98">
        <v>0</v>
      </c>
      <c r="M29" s="98">
        <v>0</v>
      </c>
      <c r="N29" s="98">
        <v>0</v>
      </c>
      <c r="O29" s="376">
        <v>0</v>
      </c>
      <c r="Q29"/>
      <c r="R29"/>
      <c r="S29"/>
    </row>
    <row r="30" spans="1:19" s="13" customFormat="1" x14ac:dyDescent="0.35">
      <c r="A30" t="s">
        <v>224</v>
      </c>
      <c r="B30" s="13" t="s">
        <v>237</v>
      </c>
      <c r="C30" s="13" t="s">
        <v>56</v>
      </c>
      <c r="D30" s="13" t="s">
        <v>225</v>
      </c>
      <c r="E30" s="54"/>
      <c r="F30" s="54"/>
      <c r="G30" s="65"/>
      <c r="H30" s="98">
        <v>0</v>
      </c>
      <c r="I30" s="159">
        <v>4.8514464106651379E-3</v>
      </c>
      <c r="J30" s="159">
        <v>4.8514464106651379E-3</v>
      </c>
      <c r="K30" s="98">
        <v>0</v>
      </c>
      <c r="L30" s="98">
        <v>0</v>
      </c>
      <c r="M30" s="98">
        <v>0</v>
      </c>
      <c r="N30" s="98">
        <v>0</v>
      </c>
      <c r="O30" s="376">
        <v>0</v>
      </c>
      <c r="Q30"/>
      <c r="R30"/>
      <c r="S30"/>
    </row>
    <row r="31" spans="1:19" s="13" customFormat="1" x14ac:dyDescent="0.35">
      <c r="A31" t="s">
        <v>226</v>
      </c>
      <c r="B31" s="13" t="s">
        <v>237</v>
      </c>
      <c r="C31" s="13" t="s">
        <v>56</v>
      </c>
      <c r="D31" s="13" t="s">
        <v>227</v>
      </c>
      <c r="E31" s="54"/>
      <c r="F31" s="54"/>
      <c r="G31" s="65"/>
      <c r="H31" s="159">
        <v>4.4451090694311274E-2</v>
      </c>
      <c r="I31" s="159">
        <v>1.109418436791091E-2</v>
      </c>
      <c r="J31" s="159">
        <v>1.109418436791091E-2</v>
      </c>
      <c r="K31" s="159">
        <v>9.2276548594747033E-3</v>
      </c>
      <c r="L31" s="159">
        <v>9.2276548594747033E-3</v>
      </c>
      <c r="M31" s="98">
        <v>0</v>
      </c>
      <c r="N31" s="98">
        <v>0</v>
      </c>
      <c r="O31" s="376">
        <v>0</v>
      </c>
      <c r="Q31"/>
      <c r="R31"/>
      <c r="S31"/>
    </row>
    <row r="32" spans="1:19" s="13" customFormat="1" x14ac:dyDescent="0.35">
      <c r="A32" t="s">
        <v>83</v>
      </c>
      <c r="B32" s="13" t="s">
        <v>237</v>
      </c>
      <c r="C32" s="13" t="s">
        <v>56</v>
      </c>
      <c r="D32" s="13" t="s">
        <v>228</v>
      </c>
      <c r="E32" s="54"/>
      <c r="F32" s="54"/>
      <c r="G32" s="65"/>
      <c r="H32" s="98">
        <v>0</v>
      </c>
      <c r="I32" s="98">
        <v>0</v>
      </c>
      <c r="J32" s="98">
        <v>0</v>
      </c>
      <c r="K32" s="159">
        <v>6.9627451701437512E-2</v>
      </c>
      <c r="L32" s="159">
        <v>6.9627451701437512E-2</v>
      </c>
      <c r="M32" s="98">
        <v>0</v>
      </c>
      <c r="N32" s="98">
        <v>0</v>
      </c>
      <c r="O32" s="376">
        <v>0</v>
      </c>
      <c r="Q32"/>
      <c r="R32"/>
      <c r="S32"/>
    </row>
    <row r="33" spans="1:19" s="13" customFormat="1" x14ac:dyDescent="0.35">
      <c r="A33" t="s">
        <v>229</v>
      </c>
      <c r="B33" s="13" t="s">
        <v>237</v>
      </c>
      <c r="C33" s="13" t="s">
        <v>56</v>
      </c>
      <c r="D33" s="13" t="s">
        <v>230</v>
      </c>
      <c r="E33" s="54"/>
      <c r="F33" s="54"/>
      <c r="G33" s="65"/>
      <c r="H33" s="98">
        <v>0</v>
      </c>
      <c r="I33" s="159">
        <v>2.890870278990243E-5</v>
      </c>
      <c r="J33" s="159">
        <v>2.890870278990243E-5</v>
      </c>
      <c r="K33" s="98">
        <v>0</v>
      </c>
      <c r="L33" s="98">
        <v>0</v>
      </c>
      <c r="M33" s="98">
        <v>0</v>
      </c>
      <c r="N33" s="98">
        <v>0</v>
      </c>
      <c r="O33" s="376">
        <v>0</v>
      </c>
      <c r="Q33"/>
      <c r="R33"/>
      <c r="S33"/>
    </row>
    <row r="34" spans="1:19" s="13" customFormat="1" x14ac:dyDescent="0.35">
      <c r="A34" t="s">
        <v>231</v>
      </c>
      <c r="B34" s="13" t="s">
        <v>237</v>
      </c>
      <c r="C34" s="13" t="s">
        <v>56</v>
      </c>
      <c r="D34" s="13" t="s">
        <v>232</v>
      </c>
      <c r="E34" s="54"/>
      <c r="F34" s="54"/>
      <c r="G34" s="65"/>
      <c r="H34" s="98">
        <v>0</v>
      </c>
      <c r="I34" s="159">
        <v>2.1939759632029279E-4</v>
      </c>
      <c r="J34" s="159">
        <v>2.1939759632029279E-4</v>
      </c>
      <c r="K34" s="98">
        <v>0</v>
      </c>
      <c r="L34" s="98">
        <v>0</v>
      </c>
      <c r="M34" s="98">
        <v>0</v>
      </c>
      <c r="N34" s="98">
        <v>0</v>
      </c>
      <c r="O34" s="376">
        <v>0</v>
      </c>
      <c r="Q34"/>
      <c r="R34"/>
      <c r="S34"/>
    </row>
    <row r="35" spans="1:19" s="13" customFormat="1" x14ac:dyDescent="0.35">
      <c r="A35" t="s">
        <v>233</v>
      </c>
      <c r="B35" s="13" t="s">
        <v>237</v>
      </c>
      <c r="C35" s="13" t="s">
        <v>56</v>
      </c>
      <c r="D35" s="13" t="s">
        <v>228</v>
      </c>
      <c r="E35" s="54"/>
      <c r="F35" s="54"/>
      <c r="G35" s="65"/>
      <c r="H35" s="98">
        <v>0</v>
      </c>
      <c r="I35" s="159">
        <v>2.8514320987501449E-3</v>
      </c>
      <c r="J35" s="159">
        <v>2.8514320987501449E-3</v>
      </c>
      <c r="K35" s="98">
        <v>0</v>
      </c>
      <c r="L35" s="98">
        <v>0</v>
      </c>
      <c r="M35" s="98">
        <v>0</v>
      </c>
      <c r="N35" s="98">
        <v>0</v>
      </c>
      <c r="O35" s="376">
        <v>0</v>
      </c>
      <c r="Q35"/>
      <c r="R35"/>
      <c r="S35"/>
    </row>
    <row r="36" spans="1:19" s="13" customFormat="1" x14ac:dyDescent="0.35">
      <c r="A36" t="s">
        <v>101</v>
      </c>
      <c r="B36" s="13" t="s">
        <v>237</v>
      </c>
      <c r="C36" s="13" t="s">
        <v>103</v>
      </c>
      <c r="D36" s="13" t="s">
        <v>234</v>
      </c>
      <c r="E36" s="54"/>
      <c r="F36" s="54"/>
      <c r="G36" s="65"/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0</v>
      </c>
      <c r="O36" s="376">
        <v>0</v>
      </c>
      <c r="Q36"/>
      <c r="R36"/>
      <c r="S36"/>
    </row>
    <row r="37" spans="1:19" s="13" customFormat="1" x14ac:dyDescent="0.35">
      <c r="A37" t="s">
        <v>104</v>
      </c>
      <c r="B37" s="13" t="s">
        <v>237</v>
      </c>
      <c r="C37" s="13" t="s">
        <v>103</v>
      </c>
      <c r="D37" s="13" t="s">
        <v>235</v>
      </c>
      <c r="E37" s="54"/>
      <c r="F37" s="54"/>
      <c r="G37" s="65"/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376">
        <v>0</v>
      </c>
      <c r="Q37"/>
      <c r="R37"/>
      <c r="S37"/>
    </row>
    <row r="38" spans="1:19" s="13" customFormat="1" ht="15" thickBot="1" x14ac:dyDescent="0.4">
      <c r="A38" t="s">
        <v>106</v>
      </c>
      <c r="B38" s="13" t="s">
        <v>237</v>
      </c>
      <c r="C38" s="13" t="s">
        <v>103</v>
      </c>
      <c r="D38" s="13" t="s">
        <v>236</v>
      </c>
      <c r="E38" s="54"/>
      <c r="F38" s="54"/>
      <c r="G38" s="65"/>
      <c r="H38" s="67">
        <v>0</v>
      </c>
      <c r="I38" s="67">
        <v>0</v>
      </c>
      <c r="J38" s="67">
        <v>0</v>
      </c>
      <c r="K38" s="67">
        <v>0</v>
      </c>
      <c r="L38" s="67">
        <v>0</v>
      </c>
      <c r="M38" s="67">
        <v>0</v>
      </c>
      <c r="N38" s="67">
        <v>0</v>
      </c>
      <c r="O38" s="377">
        <v>0</v>
      </c>
      <c r="Q38"/>
      <c r="R38"/>
      <c r="S38"/>
    </row>
    <row r="39" spans="1:19" s="13" customFormat="1" x14ac:dyDescent="0.35">
      <c r="A39" t="s">
        <v>218</v>
      </c>
      <c r="B39" s="13" t="s">
        <v>238</v>
      </c>
      <c r="C39" s="13" t="s">
        <v>56</v>
      </c>
      <c r="D39" s="13" t="s">
        <v>219</v>
      </c>
      <c r="E39" s="54"/>
      <c r="F39" s="54"/>
      <c r="G39" s="65"/>
      <c r="H39" s="98">
        <v>0</v>
      </c>
      <c r="I39" s="159">
        <v>2.949251079979006E-2</v>
      </c>
      <c r="J39" s="159">
        <v>2.949251079979006E-2</v>
      </c>
      <c r="K39" s="98">
        <v>0</v>
      </c>
      <c r="L39" s="98">
        <v>0</v>
      </c>
      <c r="M39" s="98">
        <v>0</v>
      </c>
      <c r="N39" s="98">
        <v>0</v>
      </c>
      <c r="O39" s="376">
        <v>0</v>
      </c>
      <c r="Q39"/>
      <c r="R39"/>
      <c r="S39"/>
    </row>
    <row r="40" spans="1:19" s="13" customFormat="1" x14ac:dyDescent="0.35">
      <c r="A40" s="12" t="s">
        <v>220</v>
      </c>
      <c r="B40" s="13" t="s">
        <v>238</v>
      </c>
      <c r="C40" s="13" t="s">
        <v>56</v>
      </c>
      <c r="D40" s="13" t="s">
        <v>221</v>
      </c>
      <c r="E40" s="54"/>
      <c r="F40" s="54"/>
      <c r="G40" s="65"/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376">
        <v>0</v>
      </c>
      <c r="Q40"/>
      <c r="R40"/>
      <c r="S40"/>
    </row>
    <row r="41" spans="1:19" s="13" customFormat="1" x14ac:dyDescent="0.35">
      <c r="A41" t="s">
        <v>222</v>
      </c>
      <c r="B41" s="13" t="s">
        <v>238</v>
      </c>
      <c r="C41" s="13" t="s">
        <v>56</v>
      </c>
      <c r="D41" s="13" t="s">
        <v>223</v>
      </c>
      <c r="E41" s="54"/>
      <c r="F41" s="54"/>
      <c r="G41" s="65"/>
      <c r="H41" s="98">
        <v>0</v>
      </c>
      <c r="I41" s="159">
        <v>2.1047443073980527E-5</v>
      </c>
      <c r="J41" s="159">
        <v>2.1047443073980527E-5</v>
      </c>
      <c r="K41" s="98">
        <v>0</v>
      </c>
      <c r="L41" s="98">
        <v>0</v>
      </c>
      <c r="M41" s="98">
        <v>0</v>
      </c>
      <c r="N41" s="98">
        <v>0</v>
      </c>
      <c r="O41" s="376">
        <v>0</v>
      </c>
      <c r="Q41"/>
      <c r="R41"/>
      <c r="S41"/>
    </row>
    <row r="42" spans="1:19" s="13" customFormat="1" x14ac:dyDescent="0.35">
      <c r="A42" t="s">
        <v>224</v>
      </c>
      <c r="B42" s="13" t="s">
        <v>238</v>
      </c>
      <c r="C42" s="13" t="s">
        <v>56</v>
      </c>
      <c r="D42" s="13" t="s">
        <v>225</v>
      </c>
      <c r="E42" s="54"/>
      <c r="F42" s="54"/>
      <c r="G42" s="65"/>
      <c r="H42" s="98">
        <v>0</v>
      </c>
      <c r="I42" s="159">
        <v>5.8414015621608938E-3</v>
      </c>
      <c r="J42" s="159">
        <v>5.8414015621608938E-3</v>
      </c>
      <c r="K42" s="98">
        <v>0</v>
      </c>
      <c r="L42" s="98">
        <v>0</v>
      </c>
      <c r="M42" s="98">
        <v>0</v>
      </c>
      <c r="N42" s="98">
        <v>0</v>
      </c>
      <c r="O42" s="376">
        <v>0</v>
      </c>
      <c r="Q42"/>
      <c r="R42"/>
      <c r="S42"/>
    </row>
    <row r="43" spans="1:19" s="13" customFormat="1" x14ac:dyDescent="0.35">
      <c r="A43" t="s">
        <v>226</v>
      </c>
      <c r="B43" s="13" t="s">
        <v>238</v>
      </c>
      <c r="C43" s="13" t="s">
        <v>56</v>
      </c>
      <c r="D43" s="13" t="s">
        <v>227</v>
      </c>
      <c r="E43" s="54"/>
      <c r="F43" s="54"/>
      <c r="G43" s="65"/>
      <c r="H43" s="159">
        <v>1.0694147292515508E-5</v>
      </c>
      <c r="I43" s="159">
        <v>1.4521138379047227E-3</v>
      </c>
      <c r="J43" s="159">
        <v>1.4521138379047227E-3</v>
      </c>
      <c r="K43" s="159">
        <v>2.2200107734217647E-6</v>
      </c>
      <c r="L43" s="159">
        <v>2.2200107734217647E-6</v>
      </c>
      <c r="M43" s="98">
        <v>0</v>
      </c>
      <c r="N43" s="98">
        <v>0</v>
      </c>
      <c r="O43" s="376">
        <v>0</v>
      </c>
      <c r="Q43"/>
      <c r="R43"/>
      <c r="S43"/>
    </row>
    <row r="44" spans="1:19" s="13" customFormat="1" x14ac:dyDescent="0.35">
      <c r="A44" t="s">
        <v>83</v>
      </c>
      <c r="B44" s="13" t="s">
        <v>238</v>
      </c>
      <c r="C44" s="13" t="s">
        <v>56</v>
      </c>
      <c r="D44" s="13" t="s">
        <v>228</v>
      </c>
      <c r="E44" s="54"/>
      <c r="F44" s="54"/>
      <c r="G44" s="65"/>
      <c r="H44" s="98">
        <v>0</v>
      </c>
      <c r="I44" s="98">
        <v>0</v>
      </c>
      <c r="J44" s="98">
        <v>0</v>
      </c>
      <c r="K44" s="159">
        <v>9.1135123377023061E-3</v>
      </c>
      <c r="L44" s="159">
        <v>9.1135123377023061E-3</v>
      </c>
      <c r="M44" s="98">
        <v>0</v>
      </c>
      <c r="N44" s="98">
        <v>0</v>
      </c>
      <c r="O44" s="376">
        <v>0</v>
      </c>
      <c r="Q44"/>
      <c r="R44"/>
      <c r="S44"/>
    </row>
    <row r="45" spans="1:19" s="13" customFormat="1" x14ac:dyDescent="0.35">
      <c r="A45" t="s">
        <v>229</v>
      </c>
      <c r="B45" s="13" t="s">
        <v>238</v>
      </c>
      <c r="C45" s="13" t="s">
        <v>56</v>
      </c>
      <c r="D45" s="13" t="s">
        <v>230</v>
      </c>
      <c r="E45" s="54"/>
      <c r="F45" s="54"/>
      <c r="G45" s="65"/>
      <c r="H45" s="98">
        <v>0</v>
      </c>
      <c r="I45" s="159">
        <v>6.5130870114372285E-5</v>
      </c>
      <c r="J45" s="159">
        <v>6.5130870114372285E-5</v>
      </c>
      <c r="K45" s="98">
        <v>0</v>
      </c>
      <c r="L45" s="98">
        <v>0</v>
      </c>
      <c r="M45" s="98">
        <v>0</v>
      </c>
      <c r="N45" s="98">
        <v>0</v>
      </c>
      <c r="O45" s="376">
        <v>0</v>
      </c>
      <c r="Q45"/>
      <c r="R45"/>
      <c r="S45"/>
    </row>
    <row r="46" spans="1:19" s="13" customFormat="1" x14ac:dyDescent="0.35">
      <c r="A46" t="s">
        <v>231</v>
      </c>
      <c r="B46" s="13" t="s">
        <v>238</v>
      </c>
      <c r="C46" s="13" t="s">
        <v>56</v>
      </c>
      <c r="D46" s="13" t="s">
        <v>232</v>
      </c>
      <c r="E46" s="54"/>
      <c r="F46" s="54"/>
      <c r="G46" s="65"/>
      <c r="H46" s="98">
        <v>0</v>
      </c>
      <c r="I46" s="159">
        <v>9.6800039566744163E-4</v>
      </c>
      <c r="J46" s="159">
        <v>9.6800039566744163E-4</v>
      </c>
      <c r="K46" s="98">
        <v>0</v>
      </c>
      <c r="L46" s="98">
        <v>0</v>
      </c>
      <c r="M46" s="98">
        <v>0</v>
      </c>
      <c r="N46" s="98">
        <v>0</v>
      </c>
      <c r="O46" s="376">
        <v>0</v>
      </c>
      <c r="Q46"/>
      <c r="R46"/>
      <c r="S46"/>
    </row>
    <row r="47" spans="1:19" s="13" customFormat="1" x14ac:dyDescent="0.35">
      <c r="A47" t="s">
        <v>233</v>
      </c>
      <c r="B47" s="13" t="s">
        <v>238</v>
      </c>
      <c r="C47" s="13" t="s">
        <v>56</v>
      </c>
      <c r="D47" s="13" t="s">
        <v>228</v>
      </c>
      <c r="E47" s="54"/>
      <c r="F47" s="54"/>
      <c r="G47" s="65"/>
      <c r="H47" s="98">
        <v>0</v>
      </c>
      <c r="I47" s="159">
        <v>8.4821183458843076E-3</v>
      </c>
      <c r="J47" s="159">
        <v>8.4821183458843076E-3</v>
      </c>
      <c r="K47" s="98">
        <v>0</v>
      </c>
      <c r="L47" s="98">
        <v>0</v>
      </c>
      <c r="M47" s="98">
        <v>0</v>
      </c>
      <c r="N47" s="98">
        <v>0</v>
      </c>
      <c r="O47" s="376">
        <v>0</v>
      </c>
      <c r="Q47"/>
      <c r="R47"/>
      <c r="S47"/>
    </row>
    <row r="48" spans="1:19" s="13" customFormat="1" x14ac:dyDescent="0.35">
      <c r="A48" t="s">
        <v>101</v>
      </c>
      <c r="B48" s="13" t="s">
        <v>238</v>
      </c>
      <c r="C48" s="13" t="s">
        <v>103</v>
      </c>
      <c r="D48" s="13" t="s">
        <v>234</v>
      </c>
      <c r="E48" s="54"/>
      <c r="F48" s="54"/>
      <c r="G48" s="65"/>
      <c r="H48" s="98">
        <v>0</v>
      </c>
      <c r="I48" s="98">
        <v>0</v>
      </c>
      <c r="J48" s="98">
        <v>0</v>
      </c>
      <c r="K48" s="98">
        <v>0</v>
      </c>
      <c r="L48" s="98">
        <v>0</v>
      </c>
      <c r="M48" s="98">
        <v>0</v>
      </c>
      <c r="N48" s="98">
        <v>0</v>
      </c>
      <c r="O48" s="376">
        <v>0</v>
      </c>
      <c r="Q48"/>
      <c r="R48"/>
      <c r="S48"/>
    </row>
    <row r="49" spans="1:19" s="13" customFormat="1" x14ac:dyDescent="0.35">
      <c r="A49" t="s">
        <v>104</v>
      </c>
      <c r="B49" s="13" t="s">
        <v>238</v>
      </c>
      <c r="C49" s="13" t="s">
        <v>103</v>
      </c>
      <c r="D49" s="13" t="s">
        <v>235</v>
      </c>
      <c r="E49" s="54"/>
      <c r="F49" s="54"/>
      <c r="G49" s="65"/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0</v>
      </c>
      <c r="N49" s="98">
        <v>0</v>
      </c>
      <c r="O49" s="376">
        <v>0</v>
      </c>
      <c r="Q49"/>
      <c r="R49"/>
      <c r="S49"/>
    </row>
    <row r="50" spans="1:19" s="13" customFormat="1" ht="15" thickBot="1" x14ac:dyDescent="0.4">
      <c r="A50" t="s">
        <v>106</v>
      </c>
      <c r="B50" s="13" t="s">
        <v>238</v>
      </c>
      <c r="C50" s="13" t="s">
        <v>103</v>
      </c>
      <c r="D50" s="13" t="s">
        <v>236</v>
      </c>
      <c r="E50" s="54"/>
      <c r="F50" s="54"/>
      <c r="G50" s="65"/>
      <c r="H50" s="67">
        <v>0</v>
      </c>
      <c r="I50" s="67">
        <v>0</v>
      </c>
      <c r="J50" s="67">
        <v>0</v>
      </c>
      <c r="K50" s="67">
        <v>0</v>
      </c>
      <c r="L50" s="67">
        <v>0</v>
      </c>
      <c r="M50" s="67">
        <v>0</v>
      </c>
      <c r="N50" s="67">
        <v>0</v>
      </c>
      <c r="O50" s="377">
        <v>0</v>
      </c>
      <c r="Q50"/>
      <c r="R50"/>
      <c r="S50"/>
    </row>
    <row r="51" spans="1:19" s="13" customFormat="1" x14ac:dyDescent="0.35">
      <c r="A51" t="s">
        <v>218</v>
      </c>
      <c r="B51" s="13" t="s">
        <v>239</v>
      </c>
      <c r="C51" s="13" t="s">
        <v>56</v>
      </c>
      <c r="D51" s="13" t="s">
        <v>219</v>
      </c>
      <c r="E51" s="54"/>
      <c r="F51" s="54"/>
      <c r="G51" s="65"/>
      <c r="H51" s="98">
        <v>0</v>
      </c>
      <c r="I51" s="159">
        <v>0.15097500908393557</v>
      </c>
      <c r="J51" s="159">
        <v>0.15097500908393557</v>
      </c>
      <c r="K51" s="98">
        <v>0</v>
      </c>
      <c r="L51" s="98">
        <v>0</v>
      </c>
      <c r="M51" s="98">
        <v>0</v>
      </c>
      <c r="N51" s="98">
        <v>0</v>
      </c>
      <c r="O51" s="376">
        <v>0</v>
      </c>
      <c r="Q51"/>
      <c r="R51"/>
      <c r="S51"/>
    </row>
    <row r="52" spans="1:19" s="13" customFormat="1" x14ac:dyDescent="0.35">
      <c r="A52" s="12" t="s">
        <v>220</v>
      </c>
      <c r="B52" s="13" t="s">
        <v>239</v>
      </c>
      <c r="C52" s="13" t="s">
        <v>56</v>
      </c>
      <c r="D52" s="13" t="s">
        <v>221</v>
      </c>
      <c r="E52" s="54"/>
      <c r="F52" s="54"/>
      <c r="G52" s="65"/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0</v>
      </c>
      <c r="N52" s="98">
        <v>0</v>
      </c>
      <c r="O52" s="376">
        <v>0</v>
      </c>
      <c r="Q52"/>
      <c r="R52"/>
      <c r="S52"/>
    </row>
    <row r="53" spans="1:19" s="13" customFormat="1" x14ac:dyDescent="0.35">
      <c r="A53" t="s">
        <v>222</v>
      </c>
      <c r="B53" s="13" t="s">
        <v>239</v>
      </c>
      <c r="C53" s="13" t="s">
        <v>56</v>
      </c>
      <c r="D53" s="13" t="s">
        <v>223</v>
      </c>
      <c r="E53" s="54"/>
      <c r="F53" s="54"/>
      <c r="G53" s="65"/>
      <c r="H53" s="98">
        <v>0</v>
      </c>
      <c r="I53" s="159">
        <v>6.7728942399646885E-5</v>
      </c>
      <c r="J53" s="159">
        <v>6.7728942399646885E-5</v>
      </c>
      <c r="K53" s="98">
        <v>0</v>
      </c>
      <c r="L53" s="98">
        <v>0</v>
      </c>
      <c r="M53" s="98">
        <v>0</v>
      </c>
      <c r="N53" s="98">
        <v>0</v>
      </c>
      <c r="O53" s="376">
        <v>0</v>
      </c>
      <c r="Q53"/>
      <c r="R53"/>
      <c r="S53"/>
    </row>
    <row r="54" spans="1:19" s="13" customFormat="1" x14ac:dyDescent="0.35">
      <c r="A54" t="s">
        <v>224</v>
      </c>
      <c r="B54" s="13" t="s">
        <v>239</v>
      </c>
      <c r="C54" s="13" t="s">
        <v>56</v>
      </c>
      <c r="D54" s="13" t="s">
        <v>225</v>
      </c>
      <c r="E54" s="54"/>
      <c r="F54" s="54"/>
      <c r="G54" s="65"/>
      <c r="H54" s="98">
        <v>0</v>
      </c>
      <c r="I54" s="159">
        <v>5.6233849622410815E-3</v>
      </c>
      <c r="J54" s="159">
        <v>5.6233849622410815E-3</v>
      </c>
      <c r="K54" s="98">
        <v>0</v>
      </c>
      <c r="L54" s="98">
        <v>0</v>
      </c>
      <c r="M54" s="98">
        <v>0</v>
      </c>
      <c r="N54" s="98">
        <v>0</v>
      </c>
      <c r="O54" s="376">
        <v>0</v>
      </c>
      <c r="Q54"/>
      <c r="R54"/>
      <c r="S54"/>
    </row>
    <row r="55" spans="1:19" s="13" customFormat="1" x14ac:dyDescent="0.35">
      <c r="A55" t="s">
        <v>226</v>
      </c>
      <c r="B55" s="13" t="s">
        <v>239</v>
      </c>
      <c r="C55" s="13" t="s">
        <v>56</v>
      </c>
      <c r="D55" s="13" t="s">
        <v>227</v>
      </c>
      <c r="E55" s="54"/>
      <c r="F55" s="54"/>
      <c r="G55" s="65"/>
      <c r="H55" s="159">
        <v>2.0807907452574416E-3</v>
      </c>
      <c r="I55" s="159">
        <v>1.8068055269127655E-3</v>
      </c>
      <c r="J55" s="159">
        <v>1.8068055269127655E-3</v>
      </c>
      <c r="K55" s="159">
        <v>4.3195382907628159E-4</v>
      </c>
      <c r="L55" s="159">
        <v>4.3195382907628159E-4</v>
      </c>
      <c r="M55" s="98">
        <v>0</v>
      </c>
      <c r="N55" s="98">
        <v>0</v>
      </c>
      <c r="O55" s="376">
        <v>0</v>
      </c>
      <c r="Q55"/>
      <c r="R55"/>
      <c r="S55"/>
    </row>
    <row r="56" spans="1:19" s="13" customFormat="1" x14ac:dyDescent="0.35">
      <c r="A56" t="s">
        <v>83</v>
      </c>
      <c r="B56" s="13" t="s">
        <v>239</v>
      </c>
      <c r="C56" s="13" t="s">
        <v>56</v>
      </c>
      <c r="D56" s="13" t="s">
        <v>228</v>
      </c>
      <c r="E56" s="54"/>
      <c r="F56" s="54"/>
      <c r="G56" s="65"/>
      <c r="H56" s="98">
        <v>0</v>
      </c>
      <c r="I56" s="98">
        <v>0</v>
      </c>
      <c r="J56" s="98">
        <v>0</v>
      </c>
      <c r="K56" s="159">
        <v>1.1339568587203704E-2</v>
      </c>
      <c r="L56" s="159">
        <v>1.1339568587203704E-2</v>
      </c>
      <c r="M56" s="98">
        <v>0</v>
      </c>
      <c r="N56" s="98">
        <v>0</v>
      </c>
      <c r="O56" s="376">
        <v>0</v>
      </c>
      <c r="Q56"/>
      <c r="R56"/>
      <c r="S56"/>
    </row>
    <row r="57" spans="1:19" s="13" customFormat="1" x14ac:dyDescent="0.35">
      <c r="A57" t="s">
        <v>229</v>
      </c>
      <c r="B57" s="13" t="s">
        <v>239</v>
      </c>
      <c r="C57" s="13" t="s">
        <v>56</v>
      </c>
      <c r="D57" s="13" t="s">
        <v>230</v>
      </c>
      <c r="E57" s="54"/>
      <c r="F57" s="54"/>
      <c r="G57" s="65"/>
      <c r="H57" s="98">
        <v>0</v>
      </c>
      <c r="I57" s="159">
        <v>5.6492118062760293E-6</v>
      </c>
      <c r="J57" s="159">
        <v>5.6492118062760293E-6</v>
      </c>
      <c r="K57" s="98">
        <v>0</v>
      </c>
      <c r="L57" s="98">
        <v>0</v>
      </c>
      <c r="M57" s="98">
        <v>0</v>
      </c>
      <c r="N57" s="98">
        <v>0</v>
      </c>
      <c r="O57" s="376">
        <v>0</v>
      </c>
      <c r="Q57"/>
      <c r="R57"/>
      <c r="S57"/>
    </row>
    <row r="58" spans="1:19" s="13" customFormat="1" x14ac:dyDescent="0.35">
      <c r="A58" t="s">
        <v>231</v>
      </c>
      <c r="B58" s="13" t="s">
        <v>239</v>
      </c>
      <c r="C58" s="13" t="s">
        <v>56</v>
      </c>
      <c r="D58" s="13" t="s">
        <v>232</v>
      </c>
      <c r="E58" s="54"/>
      <c r="F58" s="54"/>
      <c r="G58" s="65"/>
      <c r="H58" s="98">
        <v>0</v>
      </c>
      <c r="I58" s="159">
        <v>2.9477224392897769E-5</v>
      </c>
      <c r="J58" s="159">
        <v>2.9477224392897769E-5</v>
      </c>
      <c r="K58" s="98">
        <v>0</v>
      </c>
      <c r="L58" s="98">
        <v>0</v>
      </c>
      <c r="M58" s="98">
        <v>0</v>
      </c>
      <c r="N58" s="98">
        <v>0</v>
      </c>
      <c r="O58" s="376">
        <v>0</v>
      </c>
      <c r="Q58"/>
      <c r="R58"/>
      <c r="S58"/>
    </row>
    <row r="59" spans="1:19" s="13" customFormat="1" x14ac:dyDescent="0.35">
      <c r="A59" t="s">
        <v>233</v>
      </c>
      <c r="B59" s="13" t="s">
        <v>239</v>
      </c>
      <c r="C59" s="13" t="s">
        <v>56</v>
      </c>
      <c r="D59" s="13" t="s">
        <v>228</v>
      </c>
      <c r="E59" s="54"/>
      <c r="F59" s="54"/>
      <c r="G59" s="65"/>
      <c r="H59" s="98">
        <v>0</v>
      </c>
      <c r="I59" s="159">
        <v>8.1093795177776388E-4</v>
      </c>
      <c r="J59" s="159">
        <v>8.1093795177776388E-4</v>
      </c>
      <c r="K59" s="98">
        <v>0</v>
      </c>
      <c r="L59" s="98">
        <v>0</v>
      </c>
      <c r="M59" s="98">
        <v>0</v>
      </c>
      <c r="N59" s="98">
        <v>0</v>
      </c>
      <c r="O59" s="376">
        <v>0</v>
      </c>
      <c r="Q59"/>
      <c r="R59"/>
      <c r="S59"/>
    </row>
    <row r="60" spans="1:19" s="13" customFormat="1" x14ac:dyDescent="0.35">
      <c r="A60" t="s">
        <v>101</v>
      </c>
      <c r="B60" s="13" t="s">
        <v>239</v>
      </c>
      <c r="C60" s="13" t="s">
        <v>103</v>
      </c>
      <c r="D60" s="13" t="s">
        <v>234</v>
      </c>
      <c r="E60" s="54"/>
      <c r="F60" s="54"/>
      <c r="G60" s="65"/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376">
        <v>0</v>
      </c>
      <c r="Q60"/>
      <c r="R60"/>
      <c r="S60"/>
    </row>
    <row r="61" spans="1:19" s="13" customFormat="1" x14ac:dyDescent="0.35">
      <c r="A61" t="s">
        <v>104</v>
      </c>
      <c r="B61" s="13" t="s">
        <v>239</v>
      </c>
      <c r="C61" s="13" t="s">
        <v>103</v>
      </c>
      <c r="D61" s="13" t="s">
        <v>235</v>
      </c>
      <c r="E61" s="54"/>
      <c r="F61" s="54"/>
      <c r="G61" s="65"/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376">
        <v>0</v>
      </c>
      <c r="Q61"/>
      <c r="R61"/>
      <c r="S61"/>
    </row>
    <row r="62" spans="1:19" s="13" customFormat="1" ht="15" thickBot="1" x14ac:dyDescent="0.4">
      <c r="A62" t="s">
        <v>106</v>
      </c>
      <c r="B62" s="13" t="s">
        <v>239</v>
      </c>
      <c r="C62" s="13" t="s">
        <v>103</v>
      </c>
      <c r="D62" s="13" t="s">
        <v>236</v>
      </c>
      <c r="E62" s="54"/>
      <c r="F62" s="54"/>
      <c r="G62" s="65"/>
      <c r="H62" s="67">
        <v>0</v>
      </c>
      <c r="I62" s="67">
        <v>0</v>
      </c>
      <c r="J62" s="67">
        <v>0</v>
      </c>
      <c r="K62" s="67">
        <v>0</v>
      </c>
      <c r="L62" s="67">
        <v>0</v>
      </c>
      <c r="M62" s="67">
        <v>0</v>
      </c>
      <c r="N62" s="67">
        <v>0</v>
      </c>
      <c r="O62" s="377">
        <v>0</v>
      </c>
      <c r="Q62"/>
      <c r="R62"/>
      <c r="S62"/>
    </row>
    <row r="63" spans="1:19" s="13" customFormat="1" x14ac:dyDescent="0.35">
      <c r="A63" t="s">
        <v>218</v>
      </c>
      <c r="B63" s="13" t="s">
        <v>240</v>
      </c>
      <c r="C63" s="13" t="s">
        <v>56</v>
      </c>
      <c r="D63" s="13" t="s">
        <v>219</v>
      </c>
      <c r="E63" s="54"/>
      <c r="F63" s="54"/>
      <c r="G63" s="65"/>
      <c r="H63" s="98">
        <v>0</v>
      </c>
      <c r="I63" s="159">
        <v>0.13886309499777949</v>
      </c>
      <c r="J63" s="159">
        <v>0.13886309499777949</v>
      </c>
      <c r="K63" s="98">
        <v>0</v>
      </c>
      <c r="L63" s="98">
        <v>0</v>
      </c>
      <c r="M63" s="98">
        <v>0</v>
      </c>
      <c r="N63" s="98">
        <v>0</v>
      </c>
      <c r="O63" s="376">
        <v>0</v>
      </c>
      <c r="Q63"/>
      <c r="R63"/>
      <c r="S63"/>
    </row>
    <row r="64" spans="1:19" s="13" customFormat="1" x14ac:dyDescent="0.35">
      <c r="A64" s="12" t="s">
        <v>220</v>
      </c>
      <c r="B64" s="13" t="s">
        <v>240</v>
      </c>
      <c r="C64" s="13" t="s">
        <v>56</v>
      </c>
      <c r="D64" s="13" t="s">
        <v>221</v>
      </c>
      <c r="E64" s="54"/>
      <c r="F64" s="54"/>
      <c r="G64" s="65"/>
      <c r="H64" s="98">
        <v>0</v>
      </c>
      <c r="I64" s="98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376">
        <v>0</v>
      </c>
      <c r="Q64"/>
      <c r="R64"/>
      <c r="S64"/>
    </row>
    <row r="65" spans="1:19" s="13" customFormat="1" x14ac:dyDescent="0.35">
      <c r="A65" t="s">
        <v>222</v>
      </c>
      <c r="B65" s="13" t="s">
        <v>240</v>
      </c>
      <c r="C65" s="13" t="s">
        <v>56</v>
      </c>
      <c r="D65" s="13" t="s">
        <v>223</v>
      </c>
      <c r="E65" s="54"/>
      <c r="F65" s="54"/>
      <c r="G65" s="65"/>
      <c r="H65" s="98">
        <v>0</v>
      </c>
      <c r="I65" s="159">
        <v>9.2968907089085616E-5</v>
      </c>
      <c r="J65" s="159">
        <v>9.2968907089085616E-5</v>
      </c>
      <c r="K65" s="98">
        <v>0</v>
      </c>
      <c r="L65" s="98">
        <v>0</v>
      </c>
      <c r="M65" s="98">
        <v>0</v>
      </c>
      <c r="N65" s="98">
        <v>0</v>
      </c>
      <c r="O65" s="376">
        <v>0</v>
      </c>
      <c r="Q65"/>
      <c r="R65"/>
      <c r="S65"/>
    </row>
    <row r="66" spans="1:19" s="13" customFormat="1" x14ac:dyDescent="0.35">
      <c r="A66" t="s">
        <v>224</v>
      </c>
      <c r="B66" s="13" t="s">
        <v>240</v>
      </c>
      <c r="C66" s="13" t="s">
        <v>56</v>
      </c>
      <c r="D66" s="13" t="s">
        <v>225</v>
      </c>
      <c r="E66" s="54"/>
      <c r="F66" s="54"/>
      <c r="G66" s="65"/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376">
        <v>0</v>
      </c>
      <c r="Q66"/>
      <c r="R66"/>
      <c r="S66"/>
    </row>
    <row r="67" spans="1:19" s="13" customFormat="1" x14ac:dyDescent="0.35">
      <c r="A67" t="s">
        <v>226</v>
      </c>
      <c r="B67" s="13" t="s">
        <v>240</v>
      </c>
      <c r="C67" s="13" t="s">
        <v>56</v>
      </c>
      <c r="D67" s="13" t="s">
        <v>227</v>
      </c>
      <c r="E67" s="54"/>
      <c r="F67" s="54"/>
      <c r="G67" s="65"/>
      <c r="H67" s="159">
        <v>2.8885571737041122E-3</v>
      </c>
      <c r="I67" s="159">
        <v>1.1251392039595793E-3</v>
      </c>
      <c r="J67" s="159">
        <v>1.1251392039595793E-3</v>
      </c>
      <c r="K67" s="159">
        <v>5.9963902402539811E-4</v>
      </c>
      <c r="L67" s="159">
        <v>5.9963902402539811E-4</v>
      </c>
      <c r="M67" s="98">
        <v>0</v>
      </c>
      <c r="N67" s="98">
        <v>0</v>
      </c>
      <c r="O67" s="376">
        <v>0</v>
      </c>
      <c r="Q67"/>
      <c r="R67"/>
      <c r="S67"/>
    </row>
    <row r="68" spans="1:19" s="13" customFormat="1" x14ac:dyDescent="0.35">
      <c r="A68" t="s">
        <v>83</v>
      </c>
      <c r="B68" s="13" t="s">
        <v>240</v>
      </c>
      <c r="C68" s="13" t="s">
        <v>56</v>
      </c>
      <c r="D68" s="13" t="s">
        <v>228</v>
      </c>
      <c r="E68" s="54"/>
      <c r="F68" s="54"/>
      <c r="G68" s="65"/>
      <c r="H68" s="98">
        <v>0</v>
      </c>
      <c r="I68" s="98">
        <v>0</v>
      </c>
      <c r="J68" s="98">
        <v>0</v>
      </c>
      <c r="K68" s="159">
        <v>7.0614092017150581E-3</v>
      </c>
      <c r="L68" s="159">
        <v>7.0614092017150581E-3</v>
      </c>
      <c r="M68" s="98">
        <v>0</v>
      </c>
      <c r="N68" s="98">
        <v>0</v>
      </c>
      <c r="O68" s="376">
        <v>0</v>
      </c>
      <c r="Q68"/>
      <c r="R68"/>
      <c r="S68"/>
    </row>
    <row r="69" spans="1:19" s="13" customFormat="1" x14ac:dyDescent="0.35">
      <c r="A69" t="s">
        <v>229</v>
      </c>
      <c r="B69" s="13" t="s">
        <v>240</v>
      </c>
      <c r="C69" s="13" t="s">
        <v>56</v>
      </c>
      <c r="D69" s="13" t="s">
        <v>230</v>
      </c>
      <c r="E69" s="54"/>
      <c r="F69" s="54"/>
      <c r="G69" s="65"/>
      <c r="H69" s="98">
        <v>0</v>
      </c>
      <c r="I69" s="159">
        <v>5.0048817841215026E-7</v>
      </c>
      <c r="J69" s="159">
        <v>5.0048817841215026E-7</v>
      </c>
      <c r="K69" s="98">
        <v>0</v>
      </c>
      <c r="L69" s="98">
        <v>0</v>
      </c>
      <c r="M69" s="98">
        <v>0</v>
      </c>
      <c r="N69" s="98">
        <v>0</v>
      </c>
      <c r="O69" s="376">
        <v>0</v>
      </c>
      <c r="Q69"/>
      <c r="R69"/>
      <c r="S69"/>
    </row>
    <row r="70" spans="1:19" s="13" customFormat="1" x14ac:dyDescent="0.35">
      <c r="A70" t="s">
        <v>231</v>
      </c>
      <c r="B70" s="13" t="s">
        <v>240</v>
      </c>
      <c r="C70" s="13" t="s">
        <v>56</v>
      </c>
      <c r="D70" s="13" t="s">
        <v>232</v>
      </c>
      <c r="E70" s="54"/>
      <c r="F70" s="54"/>
      <c r="G70" s="65"/>
      <c r="H70" s="98">
        <v>0</v>
      </c>
      <c r="I70" s="159">
        <v>6.1170186458281818E-4</v>
      </c>
      <c r="J70" s="159">
        <v>6.1170186458281818E-4</v>
      </c>
      <c r="K70" s="98">
        <v>0</v>
      </c>
      <c r="L70" s="98">
        <v>0</v>
      </c>
      <c r="M70" s="98">
        <v>0</v>
      </c>
      <c r="N70" s="98">
        <v>0</v>
      </c>
      <c r="O70" s="376">
        <v>0</v>
      </c>
      <c r="Q70"/>
      <c r="R70"/>
      <c r="S70"/>
    </row>
    <row r="71" spans="1:19" s="13" customFormat="1" x14ac:dyDescent="0.35">
      <c r="A71" t="s">
        <v>233</v>
      </c>
      <c r="B71" s="13" t="s">
        <v>240</v>
      </c>
      <c r="C71" s="13" t="s">
        <v>56</v>
      </c>
      <c r="D71" s="13" t="s">
        <v>228</v>
      </c>
      <c r="E71" s="54"/>
      <c r="F71" s="54"/>
      <c r="G71" s="65"/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376">
        <v>0</v>
      </c>
      <c r="Q71"/>
      <c r="R71"/>
      <c r="S71"/>
    </row>
    <row r="72" spans="1:19" s="13" customFormat="1" x14ac:dyDescent="0.35">
      <c r="A72" t="s">
        <v>101</v>
      </c>
      <c r="B72" s="13" t="s">
        <v>240</v>
      </c>
      <c r="C72" s="13" t="s">
        <v>103</v>
      </c>
      <c r="D72" s="13" t="s">
        <v>234</v>
      </c>
      <c r="E72" s="54"/>
      <c r="F72" s="54"/>
      <c r="G72" s="65"/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98">
        <v>0</v>
      </c>
      <c r="N72" s="98">
        <v>0</v>
      </c>
      <c r="O72" s="376">
        <v>0</v>
      </c>
      <c r="Q72"/>
      <c r="R72"/>
      <c r="S72"/>
    </row>
    <row r="73" spans="1:19" s="13" customFormat="1" x14ac:dyDescent="0.35">
      <c r="A73" t="s">
        <v>104</v>
      </c>
      <c r="B73" s="13" t="s">
        <v>240</v>
      </c>
      <c r="C73" s="13" t="s">
        <v>103</v>
      </c>
      <c r="D73" s="13" t="s">
        <v>235</v>
      </c>
      <c r="E73" s="54"/>
      <c r="F73" s="54"/>
      <c r="G73" s="65"/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376">
        <v>0</v>
      </c>
      <c r="Q73"/>
      <c r="R73"/>
      <c r="S73"/>
    </row>
    <row r="74" spans="1:19" s="13" customFormat="1" ht="15" thickBot="1" x14ac:dyDescent="0.4">
      <c r="A74" t="s">
        <v>106</v>
      </c>
      <c r="B74" s="13" t="s">
        <v>240</v>
      </c>
      <c r="C74" s="13" t="s">
        <v>103</v>
      </c>
      <c r="D74" s="13" t="s">
        <v>236</v>
      </c>
      <c r="E74" s="54"/>
      <c r="F74" s="54"/>
      <c r="G74" s="65"/>
      <c r="H74" s="67">
        <v>0</v>
      </c>
      <c r="I74" s="67">
        <v>0</v>
      </c>
      <c r="J74" s="67">
        <v>0</v>
      </c>
      <c r="K74" s="67">
        <v>0</v>
      </c>
      <c r="L74" s="67">
        <v>0</v>
      </c>
      <c r="M74" s="67">
        <v>0</v>
      </c>
      <c r="N74" s="67">
        <v>0</v>
      </c>
      <c r="O74" s="377">
        <v>0</v>
      </c>
      <c r="Q74"/>
      <c r="R74"/>
      <c r="S74"/>
    </row>
    <row r="75" spans="1:19" s="13" customFormat="1" x14ac:dyDescent="0.35">
      <c r="A75" t="s">
        <v>218</v>
      </c>
      <c r="B75" s="13" t="s">
        <v>241</v>
      </c>
      <c r="C75" s="13" t="s">
        <v>56</v>
      </c>
      <c r="D75" s="13" t="s">
        <v>219</v>
      </c>
      <c r="E75" s="54"/>
      <c r="F75" s="54"/>
      <c r="G75" s="65"/>
      <c r="H75" s="98">
        <v>0</v>
      </c>
      <c r="I75" s="159">
        <v>1.0000807460939076</v>
      </c>
      <c r="J75" s="159">
        <v>1.0000807460939076</v>
      </c>
      <c r="K75" s="98">
        <v>0</v>
      </c>
      <c r="L75" s="98">
        <v>0</v>
      </c>
      <c r="M75" s="98">
        <v>0</v>
      </c>
      <c r="N75" s="98">
        <v>0</v>
      </c>
      <c r="O75" s="376">
        <v>0</v>
      </c>
      <c r="Q75"/>
      <c r="R75"/>
      <c r="S75"/>
    </row>
    <row r="76" spans="1:19" s="13" customFormat="1" x14ac:dyDescent="0.35">
      <c r="A76" s="12" t="s">
        <v>220</v>
      </c>
      <c r="B76" s="13" t="s">
        <v>241</v>
      </c>
      <c r="C76" s="13" t="s">
        <v>56</v>
      </c>
      <c r="D76" s="13" t="s">
        <v>221</v>
      </c>
      <c r="E76" s="54"/>
      <c r="F76" s="54"/>
      <c r="G76" s="65"/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376">
        <v>0</v>
      </c>
      <c r="Q76"/>
      <c r="R76"/>
      <c r="S76"/>
    </row>
    <row r="77" spans="1:19" s="13" customFormat="1" x14ac:dyDescent="0.35">
      <c r="A77" t="s">
        <v>222</v>
      </c>
      <c r="B77" s="13" t="s">
        <v>241</v>
      </c>
      <c r="C77" s="13" t="s">
        <v>56</v>
      </c>
      <c r="D77" s="13" t="s">
        <v>223</v>
      </c>
      <c r="E77" s="54"/>
      <c r="F77" s="54"/>
      <c r="G77" s="65"/>
      <c r="H77" s="98">
        <v>0</v>
      </c>
      <c r="I77" s="159">
        <v>3.7052409430862396E-4</v>
      </c>
      <c r="J77" s="159">
        <v>3.7052409430862396E-4</v>
      </c>
      <c r="K77" s="98">
        <v>0</v>
      </c>
      <c r="L77" s="98">
        <v>0</v>
      </c>
      <c r="M77" s="98">
        <v>0</v>
      </c>
      <c r="N77" s="98">
        <v>0</v>
      </c>
      <c r="O77" s="376">
        <v>0</v>
      </c>
      <c r="Q77"/>
      <c r="R77"/>
      <c r="S77"/>
    </row>
    <row r="78" spans="1:19" s="13" customFormat="1" x14ac:dyDescent="0.35">
      <c r="A78" t="s">
        <v>224</v>
      </c>
      <c r="B78" s="13" t="s">
        <v>241</v>
      </c>
      <c r="C78" s="13" t="s">
        <v>56</v>
      </c>
      <c r="D78" s="13" t="s">
        <v>225</v>
      </c>
      <c r="E78" s="54"/>
      <c r="F78" s="54"/>
      <c r="G78" s="65"/>
      <c r="H78" s="98">
        <v>0</v>
      </c>
      <c r="I78" s="159">
        <v>5.8414042458127093E-3</v>
      </c>
      <c r="J78" s="159">
        <v>5.8414042458127093E-3</v>
      </c>
      <c r="K78" s="98">
        <v>0</v>
      </c>
      <c r="L78" s="98">
        <v>0</v>
      </c>
      <c r="M78" s="98">
        <v>0</v>
      </c>
      <c r="N78" s="98">
        <v>0</v>
      </c>
      <c r="O78" s="376">
        <v>0</v>
      </c>
      <c r="Q78"/>
      <c r="R78"/>
      <c r="S78"/>
    </row>
    <row r="79" spans="1:19" s="13" customFormat="1" x14ac:dyDescent="0.35">
      <c r="A79" t="s">
        <v>226</v>
      </c>
      <c r="B79" s="13" t="s">
        <v>241</v>
      </c>
      <c r="C79" s="13" t="s">
        <v>56</v>
      </c>
      <c r="D79" s="13" t="s">
        <v>227</v>
      </c>
      <c r="E79" s="54"/>
      <c r="F79" s="54"/>
      <c r="G79" s="65"/>
      <c r="H79" s="159">
        <v>1.1972685102906883E-2</v>
      </c>
      <c r="I79" s="159">
        <v>5.0319447308723453E-3</v>
      </c>
      <c r="J79" s="159">
        <v>5.0319447308723453E-3</v>
      </c>
      <c r="K79" s="159">
        <v>2.4854239602480213E-3</v>
      </c>
      <c r="L79" s="159">
        <v>2.4854239602480213E-3</v>
      </c>
      <c r="M79" s="98">
        <v>0</v>
      </c>
      <c r="N79" s="98">
        <v>0</v>
      </c>
      <c r="O79" s="376">
        <v>0</v>
      </c>
      <c r="Q79"/>
      <c r="R79"/>
      <c r="S79"/>
    </row>
    <row r="80" spans="1:19" s="13" customFormat="1" x14ac:dyDescent="0.35">
      <c r="A80" t="s">
        <v>83</v>
      </c>
      <c r="B80" s="13" t="s">
        <v>241</v>
      </c>
      <c r="C80" s="13" t="s">
        <v>56</v>
      </c>
      <c r="D80" s="13" t="s">
        <v>228</v>
      </c>
      <c r="E80" s="54"/>
      <c r="F80" s="54"/>
      <c r="G80" s="65"/>
      <c r="H80" s="98">
        <v>0</v>
      </c>
      <c r="I80" s="98">
        <v>0</v>
      </c>
      <c r="J80" s="98">
        <v>0</v>
      </c>
      <c r="K80" s="159">
        <v>3.1580644155014347E-2</v>
      </c>
      <c r="L80" s="159">
        <v>3.1580644155014347E-2</v>
      </c>
      <c r="M80" s="98">
        <v>0</v>
      </c>
      <c r="N80" s="98">
        <v>0</v>
      </c>
      <c r="O80" s="376">
        <v>0</v>
      </c>
      <c r="Q80"/>
      <c r="R80"/>
      <c r="S80"/>
    </row>
    <row r="81" spans="1:20" s="13" customFormat="1" x14ac:dyDescent="0.35">
      <c r="A81" t="s">
        <v>229</v>
      </c>
      <c r="B81" s="13" t="s">
        <v>241</v>
      </c>
      <c r="C81" s="13" t="s">
        <v>56</v>
      </c>
      <c r="D81" s="13" t="s">
        <v>230</v>
      </c>
      <c r="E81" s="53"/>
      <c r="F81" s="53"/>
      <c r="G81" s="65"/>
      <c r="H81" s="98">
        <v>0</v>
      </c>
      <c r="I81" s="159">
        <v>4.336096678710085E-4</v>
      </c>
      <c r="J81" s="159">
        <v>4.336096678710085E-4</v>
      </c>
      <c r="K81" s="98">
        <v>0</v>
      </c>
      <c r="L81" s="98">
        <v>0</v>
      </c>
      <c r="M81" s="98">
        <v>0</v>
      </c>
      <c r="N81" s="98">
        <v>0</v>
      </c>
      <c r="O81" s="376">
        <v>0</v>
      </c>
      <c r="Q81"/>
      <c r="R81"/>
      <c r="S81"/>
    </row>
    <row r="82" spans="1:20" s="13" customFormat="1" x14ac:dyDescent="0.35">
      <c r="A82" t="s">
        <v>231</v>
      </c>
      <c r="B82" s="13" t="s">
        <v>241</v>
      </c>
      <c r="C82" s="13" t="s">
        <v>56</v>
      </c>
      <c r="D82" s="13" t="s">
        <v>232</v>
      </c>
      <c r="E82" s="53"/>
      <c r="F82" s="53"/>
      <c r="G82" s="65"/>
      <c r="H82" s="98">
        <v>0</v>
      </c>
      <c r="I82" s="159">
        <v>2.1307680894208417E-3</v>
      </c>
      <c r="J82" s="159">
        <v>2.1307680894208417E-3</v>
      </c>
      <c r="K82" s="98">
        <v>0</v>
      </c>
      <c r="L82" s="98">
        <v>0</v>
      </c>
      <c r="M82" s="98">
        <v>0</v>
      </c>
      <c r="N82" s="98">
        <v>0</v>
      </c>
      <c r="O82" s="376">
        <v>0</v>
      </c>
      <c r="Q82"/>
      <c r="R82"/>
      <c r="S82"/>
    </row>
    <row r="83" spans="1:20" s="13" customFormat="1" x14ac:dyDescent="0.35">
      <c r="A83" t="s">
        <v>233</v>
      </c>
      <c r="B83" s="13" t="s">
        <v>241</v>
      </c>
      <c r="C83" s="13" t="s">
        <v>56</v>
      </c>
      <c r="D83" s="13" t="s">
        <v>228</v>
      </c>
      <c r="E83" s="53"/>
      <c r="F83" s="53"/>
      <c r="G83" s="65"/>
      <c r="H83" s="98">
        <v>0</v>
      </c>
      <c r="I83" s="159">
        <v>4.3855511603587784E-2</v>
      </c>
      <c r="J83" s="159">
        <v>4.3855511603587784E-2</v>
      </c>
      <c r="K83" s="98">
        <v>0</v>
      </c>
      <c r="L83" s="98">
        <v>0</v>
      </c>
      <c r="M83" s="98">
        <v>0</v>
      </c>
      <c r="N83" s="98">
        <v>0</v>
      </c>
      <c r="O83" s="376">
        <v>0</v>
      </c>
      <c r="Q83"/>
      <c r="R83"/>
      <c r="S83"/>
    </row>
    <row r="84" spans="1:20" s="13" customFormat="1" x14ac:dyDescent="0.35">
      <c r="A84" t="s">
        <v>101</v>
      </c>
      <c r="B84" s="13" t="s">
        <v>241</v>
      </c>
      <c r="C84" s="13" t="s">
        <v>103</v>
      </c>
      <c r="D84" s="13" t="s">
        <v>234</v>
      </c>
      <c r="E84" s="53"/>
      <c r="F84" s="53"/>
      <c r="G84" s="65"/>
      <c r="H84" s="98">
        <v>0</v>
      </c>
      <c r="I84" s="98">
        <v>0</v>
      </c>
      <c r="J84" s="98">
        <v>0</v>
      </c>
      <c r="K84" s="98">
        <v>0</v>
      </c>
      <c r="L84" s="98">
        <v>0</v>
      </c>
      <c r="M84" s="98">
        <v>0</v>
      </c>
      <c r="N84" s="98">
        <v>0</v>
      </c>
      <c r="O84" s="376">
        <v>0</v>
      </c>
      <c r="Q84"/>
      <c r="R84"/>
      <c r="S84"/>
    </row>
    <row r="85" spans="1:20" s="13" customFormat="1" x14ac:dyDescent="0.35">
      <c r="A85" t="s">
        <v>104</v>
      </c>
      <c r="B85" s="13" t="s">
        <v>241</v>
      </c>
      <c r="C85" s="13" t="s">
        <v>103</v>
      </c>
      <c r="D85" s="13" t="s">
        <v>235</v>
      </c>
      <c r="E85" s="53"/>
      <c r="F85" s="53"/>
      <c r="G85" s="65"/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  <c r="O85" s="376">
        <v>0</v>
      </c>
      <c r="Q85"/>
      <c r="R85"/>
      <c r="S85"/>
    </row>
    <row r="86" spans="1:20" ht="15" thickBot="1" x14ac:dyDescent="0.4">
      <c r="A86" t="s">
        <v>106</v>
      </c>
      <c r="B86" s="13" t="s">
        <v>241</v>
      </c>
      <c r="C86" s="13" t="s">
        <v>103</v>
      </c>
      <c r="D86" s="13" t="s">
        <v>236</v>
      </c>
      <c r="E86" s="53"/>
      <c r="F86" s="53"/>
      <c r="G86" s="65"/>
      <c r="H86" s="67">
        <v>0</v>
      </c>
      <c r="I86" s="67">
        <v>0</v>
      </c>
      <c r="J86" s="67">
        <v>0</v>
      </c>
      <c r="K86" s="67">
        <v>0</v>
      </c>
      <c r="L86" s="67">
        <v>0</v>
      </c>
      <c r="M86" s="67">
        <v>0</v>
      </c>
      <c r="N86" s="67">
        <v>0</v>
      </c>
      <c r="O86" s="377">
        <v>0</v>
      </c>
    </row>
    <row r="87" spans="1:20" x14ac:dyDescent="0.35">
      <c r="A87" t="s">
        <v>88</v>
      </c>
      <c r="B87" s="13" t="s">
        <v>29</v>
      </c>
      <c r="C87" s="13" t="s">
        <v>56</v>
      </c>
      <c r="D87" s="13" t="s">
        <v>45</v>
      </c>
      <c r="E87" s="53"/>
      <c r="F87" s="53"/>
      <c r="G87" s="65"/>
      <c r="H87" s="368">
        <v>-5.2256119372476872E-2</v>
      </c>
      <c r="I87" s="207">
        <v>0.04</v>
      </c>
      <c r="J87" s="207">
        <v>0.04</v>
      </c>
      <c r="K87" s="367">
        <v>-0.26400000000000001</v>
      </c>
      <c r="L87" s="367">
        <v>-0.8528</v>
      </c>
      <c r="M87" s="367">
        <v>-0.8</v>
      </c>
      <c r="N87" s="97">
        <v>0</v>
      </c>
      <c r="O87" s="378">
        <v>0</v>
      </c>
    </row>
    <row r="88" spans="1:20" ht="15" thickBot="1" x14ac:dyDescent="0.4"/>
    <row r="89" spans="1:20" ht="15" thickBot="1" x14ac:dyDescent="0.4">
      <c r="E89" s="73">
        <f>SUM(E7:E14)</f>
        <v>6</v>
      </c>
      <c r="F89" s="250">
        <f>SUM(F7:F14)</f>
        <v>73.060957317118934</v>
      </c>
      <c r="G89" s="258">
        <f>SUM(G7:G14)</f>
        <v>97.114448944395548</v>
      </c>
      <c r="H89" s="54"/>
      <c r="I89" s="54"/>
      <c r="J89" s="54"/>
      <c r="K89" s="54"/>
      <c r="L89" s="54"/>
      <c r="M89" s="54"/>
      <c r="N89" s="54"/>
      <c r="O89" s="65"/>
    </row>
    <row r="90" spans="1:20" x14ac:dyDescent="0.35">
      <c r="E90" s="53"/>
      <c r="F90" s="53"/>
      <c r="G90" s="65"/>
    </row>
    <row r="91" spans="1:20" s="13" customFormat="1" x14ac:dyDescent="0.35">
      <c r="A91" s="254" t="s">
        <v>189</v>
      </c>
      <c r="D91" s="7" t="s">
        <v>190</v>
      </c>
      <c r="E91" s="54" t="str" cm="1">
        <f t="array" ref="E91:O91">TRANSPOSE(D94:D104)</f>
        <v>ST</v>
      </c>
      <c r="F91" s="54" t="str">
        <v>SR_H2</v>
      </c>
      <c r="G91" s="65" t="str">
        <v>ELE_H2</v>
      </c>
      <c r="H91" s="13" t="str">
        <v>H2BF_ST</v>
      </c>
      <c r="I91" s="13" t="str">
        <v>NG_ST</v>
      </c>
      <c r="J91" s="13" t="str">
        <v>H2_ST</v>
      </c>
      <c r="K91" s="13" t="str">
        <v>CH_ST</v>
      </c>
      <c r="L91" s="13" t="str">
        <v>CH_CC_ST</v>
      </c>
      <c r="M91" s="13" t="str">
        <v>CC_ST</v>
      </c>
      <c r="N91" s="13" t="str">
        <v>SR_H2_P</v>
      </c>
      <c r="O91" s="47" t="str">
        <v>ELE_H2_P</v>
      </c>
      <c r="P91" s="13" t="s">
        <v>191</v>
      </c>
    </row>
    <row r="92" spans="1:20" s="13" customFormat="1" x14ac:dyDescent="0.35">
      <c r="D92" s="7" t="s">
        <v>192</v>
      </c>
      <c r="E92" s="54" t="str" cm="1">
        <f t="array" ref="E92:O92">TRANSPOSE(B94:B104)</f>
        <v>EU27</v>
      </c>
      <c r="F92" s="54" t="str">
        <v>EU27</v>
      </c>
      <c r="G92" s="65" t="str">
        <v>EU27</v>
      </c>
      <c r="H92" s="13" t="str">
        <v>EU27</v>
      </c>
      <c r="I92" s="13" t="str">
        <v>EU27</v>
      </c>
      <c r="J92" s="13" t="str">
        <v>EU27</v>
      </c>
      <c r="K92" s="13" t="str">
        <v>EU27</v>
      </c>
      <c r="L92" s="13" t="str">
        <v>EU27</v>
      </c>
      <c r="M92" s="13" t="str">
        <v>EU27</v>
      </c>
      <c r="N92" s="13" t="str">
        <v>EU27</v>
      </c>
      <c r="O92" s="47" t="str">
        <v>EU27</v>
      </c>
      <c r="P92" s="13" t="s">
        <v>29</v>
      </c>
    </row>
    <row r="93" spans="1:20" s="13" customFormat="1" x14ac:dyDescent="0.35">
      <c r="A93" s="6" t="s">
        <v>194</v>
      </c>
      <c r="B93" s="7" t="s">
        <v>192</v>
      </c>
      <c r="C93" s="7" t="s">
        <v>195</v>
      </c>
      <c r="E93" s="54" t="str" cm="1">
        <f t="array" ref="E93:O93">TRANSPOSE(C94:C104)</f>
        <v>ton</v>
      </c>
      <c r="F93" s="54" t="str">
        <v>kgH2</v>
      </c>
      <c r="G93" s="65" t="str">
        <v>kgH2</v>
      </c>
      <c r="H93" s="13" t="str">
        <v>ton</v>
      </c>
      <c r="I93" s="13" t="str">
        <v>ton</v>
      </c>
      <c r="J93" s="13" t="str">
        <v>ton</v>
      </c>
      <c r="K93" s="13" t="str">
        <v>ton</v>
      </c>
      <c r="L93" s="13" t="str">
        <v>ton</v>
      </c>
      <c r="M93" s="13" t="str">
        <v>ton</v>
      </c>
      <c r="N93" s="13" t="str">
        <v>kgH2</v>
      </c>
      <c r="O93" s="47" t="str">
        <v>kgH2</v>
      </c>
    </row>
    <row r="94" spans="1:20" x14ac:dyDescent="0.35">
      <c r="A94" t="s">
        <v>196</v>
      </c>
      <c r="B94" s="13" t="s">
        <v>29</v>
      </c>
      <c r="C94" s="13" t="s">
        <v>56</v>
      </c>
      <c r="D94" s="13" t="s">
        <v>197</v>
      </c>
      <c r="E94" s="53"/>
      <c r="F94" s="53"/>
      <c r="G94" s="65"/>
      <c r="H94" s="99" cm="1">
        <f t="array" ref="H94:O96">MMULT(H4:O6,MINVERSE(_xlfn.MUNIT(8)*R7:R14))</f>
        <v>0</v>
      </c>
      <c r="I94" s="99">
        <v>0</v>
      </c>
      <c r="J94" s="99">
        <v>0</v>
      </c>
      <c r="K94" s="99">
        <v>0</v>
      </c>
      <c r="L94" s="99">
        <v>0</v>
      </c>
      <c r="M94" s="99">
        <v>0</v>
      </c>
      <c r="N94" s="99">
        <v>0</v>
      </c>
      <c r="O94" s="136">
        <v>0</v>
      </c>
      <c r="P94" s="119" cm="1">
        <f t="array" ref="P94:P96">P4:P6</f>
        <v>6</v>
      </c>
    </row>
    <row r="95" spans="1:20" x14ac:dyDescent="0.35">
      <c r="A95" s="12" t="s">
        <v>198</v>
      </c>
      <c r="B95" s="13" t="s">
        <v>29</v>
      </c>
      <c r="C95" s="13" t="s">
        <v>53</v>
      </c>
      <c r="D95" s="13" t="s">
        <v>199</v>
      </c>
      <c r="E95" s="53"/>
      <c r="F95" s="53"/>
      <c r="G95" s="65"/>
      <c r="H95" s="373">
        <v>1.8124436429215509</v>
      </c>
      <c r="I95" s="99">
        <v>71.248513674197383</v>
      </c>
      <c r="J95" s="99">
        <v>0</v>
      </c>
      <c r="K95" s="99">
        <v>0</v>
      </c>
      <c r="L95" s="99">
        <v>0</v>
      </c>
      <c r="M95" s="99">
        <v>0</v>
      </c>
      <c r="N95" s="99">
        <v>0</v>
      </c>
      <c r="O95" s="136">
        <v>0</v>
      </c>
      <c r="P95" s="255">
        <v>0</v>
      </c>
    </row>
    <row r="96" spans="1:20" s="18" customFormat="1" x14ac:dyDescent="0.35">
      <c r="A96" s="18" t="s">
        <v>200</v>
      </c>
      <c r="B96" s="28" t="s">
        <v>29</v>
      </c>
      <c r="C96" s="28" t="s">
        <v>53</v>
      </c>
      <c r="D96" s="28" t="s">
        <v>201</v>
      </c>
      <c r="E96" s="280"/>
      <c r="F96" s="280"/>
      <c r="G96" s="281"/>
      <c r="H96" s="336">
        <v>7.2497745716862037</v>
      </c>
      <c r="I96" s="282">
        <v>0</v>
      </c>
      <c r="J96" s="282">
        <v>89.864674372709345</v>
      </c>
      <c r="K96" s="282">
        <v>0</v>
      </c>
      <c r="L96" s="282">
        <v>0</v>
      </c>
      <c r="M96" s="282">
        <v>0</v>
      </c>
      <c r="N96" s="282">
        <v>0</v>
      </c>
      <c r="O96" s="317">
        <v>0</v>
      </c>
      <c r="P96" s="279">
        <v>0</v>
      </c>
      <c r="T96" s="28"/>
    </row>
    <row r="97" spans="1:20" x14ac:dyDescent="0.35">
      <c r="A97" s="8" t="s">
        <v>202</v>
      </c>
      <c r="B97" s="10" t="s">
        <v>29</v>
      </c>
      <c r="C97" s="10" t="s">
        <v>56</v>
      </c>
      <c r="D97" s="10" t="s">
        <v>203</v>
      </c>
      <c r="E97" s="125" cm="1">
        <f t="array" ref="E97:G104">MMULT(E7:G14,MINVERSE(_xlfn.MUNIT(3)*R4:R6))</f>
        <v>0.16666666666666666</v>
      </c>
      <c r="F97" s="125">
        <v>0</v>
      </c>
      <c r="G97" s="129">
        <v>0</v>
      </c>
      <c r="O97" s="65"/>
    </row>
    <row r="98" spans="1:20" x14ac:dyDescent="0.35">
      <c r="A98" t="s">
        <v>204</v>
      </c>
      <c r="B98" s="13" t="s">
        <v>29</v>
      </c>
      <c r="C98" s="13" t="s">
        <v>56</v>
      </c>
      <c r="D98" s="13" t="s">
        <v>205</v>
      </c>
      <c r="E98" s="125">
        <v>0.16666666666666666</v>
      </c>
      <c r="F98" s="125">
        <v>0</v>
      </c>
      <c r="G98" s="129">
        <v>0</v>
      </c>
      <c r="O98" s="65"/>
    </row>
    <row r="99" spans="1:20" x14ac:dyDescent="0.35">
      <c r="A99" t="s">
        <v>206</v>
      </c>
      <c r="B99" s="13" t="s">
        <v>29</v>
      </c>
      <c r="C99" s="13" t="s">
        <v>56</v>
      </c>
      <c r="D99" s="13" t="s">
        <v>207</v>
      </c>
      <c r="E99" s="125">
        <v>0.16666666666666666</v>
      </c>
      <c r="F99" s="125">
        <v>0</v>
      </c>
      <c r="G99" s="129">
        <v>0</v>
      </c>
    </row>
    <row r="100" spans="1:20" x14ac:dyDescent="0.35">
      <c r="A100" t="s">
        <v>208</v>
      </c>
      <c r="B100" s="13" t="s">
        <v>29</v>
      </c>
      <c r="C100" s="13" t="s">
        <v>56</v>
      </c>
      <c r="D100" s="13" t="s">
        <v>209</v>
      </c>
      <c r="E100" s="125">
        <v>0.16666666666666666</v>
      </c>
      <c r="F100" s="125">
        <v>0</v>
      </c>
      <c r="G100" s="129">
        <v>0</v>
      </c>
    </row>
    <row r="101" spans="1:20" x14ac:dyDescent="0.35">
      <c r="A101" t="s">
        <v>210</v>
      </c>
      <c r="B101" s="13" t="s">
        <v>29</v>
      </c>
      <c r="C101" s="13" t="s">
        <v>56</v>
      </c>
      <c r="D101" s="13" t="s">
        <v>211</v>
      </c>
      <c r="E101" s="125">
        <v>0.16666666666666666</v>
      </c>
      <c r="F101" s="125">
        <v>0</v>
      </c>
      <c r="G101" s="129">
        <v>0</v>
      </c>
    </row>
    <row r="102" spans="1:20" x14ac:dyDescent="0.35">
      <c r="A102" t="s">
        <v>212</v>
      </c>
      <c r="B102" s="13" t="s">
        <v>29</v>
      </c>
      <c r="C102" s="13" t="s">
        <v>56</v>
      </c>
      <c r="D102" s="13" t="s">
        <v>213</v>
      </c>
      <c r="E102" s="125">
        <v>0.16666666666666666</v>
      </c>
      <c r="F102" s="125">
        <v>0</v>
      </c>
      <c r="G102" s="129">
        <v>0</v>
      </c>
    </row>
    <row r="103" spans="1:20" x14ac:dyDescent="0.35">
      <c r="A103" t="s">
        <v>214</v>
      </c>
      <c r="B103" s="13" t="s">
        <v>29</v>
      </c>
      <c r="C103" s="13" t="s">
        <v>53</v>
      </c>
      <c r="D103" s="13" t="s">
        <v>215</v>
      </c>
      <c r="E103" s="122">
        <v>0</v>
      </c>
      <c r="F103" s="252">
        <v>1</v>
      </c>
      <c r="G103" s="133">
        <v>0</v>
      </c>
    </row>
    <row r="104" spans="1:20" s="18" customFormat="1" x14ac:dyDescent="0.35">
      <c r="A104" s="18" t="s">
        <v>216</v>
      </c>
      <c r="B104" s="28" t="s">
        <v>29</v>
      </c>
      <c r="C104" s="28" t="s">
        <v>53</v>
      </c>
      <c r="D104" s="28" t="s">
        <v>217</v>
      </c>
      <c r="E104" s="107">
        <v>0</v>
      </c>
      <c r="F104" s="138">
        <v>0</v>
      </c>
      <c r="G104" s="259">
        <v>1</v>
      </c>
      <c r="O104" s="139"/>
      <c r="P104" s="28"/>
      <c r="T104" s="28"/>
    </row>
    <row r="105" spans="1:20" x14ac:dyDescent="0.35">
      <c r="A105" t="s">
        <v>218</v>
      </c>
      <c r="B105" s="13" t="s">
        <v>29</v>
      </c>
      <c r="C105" s="13" t="s">
        <v>56</v>
      </c>
      <c r="D105" s="13" t="s">
        <v>219</v>
      </c>
      <c r="H105" s="101" cm="1">
        <f t="array" ref="H105:O176">MMULT(H15:O86,MINVERSE(_xlfn.MUNIT(8)*R7:R14))</f>
        <v>0</v>
      </c>
      <c r="I105" s="100">
        <v>1.9500181678711294E-2</v>
      </c>
      <c r="J105" s="100">
        <v>1.9500181678711294E-2</v>
      </c>
      <c r="K105" s="101">
        <v>0</v>
      </c>
      <c r="L105" s="101">
        <v>0</v>
      </c>
      <c r="M105" s="101">
        <v>0</v>
      </c>
      <c r="N105" s="101">
        <v>0</v>
      </c>
      <c r="O105" s="379">
        <v>0</v>
      </c>
    </row>
    <row r="106" spans="1:20" x14ac:dyDescent="0.35">
      <c r="A106" s="12" t="s">
        <v>220</v>
      </c>
      <c r="B106" s="13" t="s">
        <v>29</v>
      </c>
      <c r="C106" s="13" t="s">
        <v>56</v>
      </c>
      <c r="D106" s="13" t="s">
        <v>221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0</v>
      </c>
      <c r="N106" s="101">
        <v>0</v>
      </c>
      <c r="O106" s="379">
        <v>0</v>
      </c>
    </row>
    <row r="107" spans="1:20" x14ac:dyDescent="0.35">
      <c r="A107" t="s">
        <v>222</v>
      </c>
      <c r="B107" s="13" t="s">
        <v>29</v>
      </c>
      <c r="C107" s="13" t="s">
        <v>56</v>
      </c>
      <c r="D107" s="13" t="s">
        <v>223</v>
      </c>
      <c r="H107" s="101">
        <v>0</v>
      </c>
      <c r="I107" s="100">
        <v>1.9404661061278542E-3</v>
      </c>
      <c r="J107" s="100">
        <v>1.9404661061278542E-3</v>
      </c>
      <c r="K107" s="101">
        <v>0</v>
      </c>
      <c r="L107" s="101">
        <v>0</v>
      </c>
      <c r="M107" s="101">
        <v>0</v>
      </c>
      <c r="N107" s="101">
        <v>0</v>
      </c>
      <c r="O107" s="379">
        <v>0</v>
      </c>
    </row>
    <row r="108" spans="1:20" x14ac:dyDescent="0.35">
      <c r="A108" t="s">
        <v>224</v>
      </c>
      <c r="B108" s="13" t="s">
        <v>29</v>
      </c>
      <c r="C108" s="13" t="s">
        <v>56</v>
      </c>
      <c r="D108" s="13" t="s">
        <v>225</v>
      </c>
      <c r="H108" s="101">
        <v>0</v>
      </c>
      <c r="I108" s="100">
        <v>5.8423628191201782E-3</v>
      </c>
      <c r="J108" s="100">
        <v>5.8423628191201782E-3</v>
      </c>
      <c r="K108" s="101">
        <v>0</v>
      </c>
      <c r="L108" s="101">
        <v>0</v>
      </c>
      <c r="M108" s="101">
        <v>0</v>
      </c>
      <c r="N108" s="101">
        <v>0</v>
      </c>
      <c r="O108" s="379">
        <v>0</v>
      </c>
    </row>
    <row r="109" spans="1:20" x14ac:dyDescent="0.35">
      <c r="A109" t="s">
        <v>226</v>
      </c>
      <c r="B109" s="13" t="s">
        <v>29</v>
      </c>
      <c r="C109" s="13" t="s">
        <v>56</v>
      </c>
      <c r="D109" s="13" t="s">
        <v>227</v>
      </c>
      <c r="H109" s="100">
        <v>7.0611384178638645E-2</v>
      </c>
      <c r="I109" s="100">
        <v>4.8981233243967828E-4</v>
      </c>
      <c r="J109" s="100">
        <v>4.8981233243967828E-4</v>
      </c>
      <c r="K109" s="100">
        <v>1.4658301341380521E-2</v>
      </c>
      <c r="L109" s="100">
        <v>1.4658301341380521E-2</v>
      </c>
      <c r="M109" s="101">
        <v>0</v>
      </c>
      <c r="N109" s="101">
        <v>0</v>
      </c>
      <c r="O109" s="379">
        <v>0</v>
      </c>
    </row>
    <row r="110" spans="1:20" x14ac:dyDescent="0.35">
      <c r="A110" t="s">
        <v>83</v>
      </c>
      <c r="B110" s="13" t="s">
        <v>29</v>
      </c>
      <c r="C110" s="13" t="s">
        <v>56</v>
      </c>
      <c r="D110" s="13" t="s">
        <v>228</v>
      </c>
      <c r="H110" s="101">
        <v>0</v>
      </c>
      <c r="I110" s="101">
        <v>0</v>
      </c>
      <c r="J110" s="101">
        <v>0</v>
      </c>
      <c r="K110" s="100">
        <v>3.0740776778828832E-3</v>
      </c>
      <c r="L110" s="100">
        <v>3.0740776778828832E-3</v>
      </c>
      <c r="M110" s="101">
        <v>0</v>
      </c>
      <c r="N110" s="101">
        <v>0</v>
      </c>
      <c r="O110" s="379">
        <v>0</v>
      </c>
    </row>
    <row r="111" spans="1:20" x14ac:dyDescent="0.35">
      <c r="A111" t="s">
        <v>229</v>
      </c>
      <c r="B111" s="13" t="s">
        <v>29</v>
      </c>
      <c r="C111" s="13" t="s">
        <v>56</v>
      </c>
      <c r="D111" s="13" t="s">
        <v>230</v>
      </c>
      <c r="H111" s="101">
        <v>0</v>
      </c>
      <c r="I111" s="100">
        <v>2.4658201215687387E-3</v>
      </c>
      <c r="J111" s="100">
        <v>2.4658201215687387E-3</v>
      </c>
      <c r="K111" s="101">
        <v>0</v>
      </c>
      <c r="L111" s="101">
        <v>0</v>
      </c>
      <c r="M111" s="101">
        <v>0</v>
      </c>
      <c r="N111" s="101">
        <v>0</v>
      </c>
      <c r="O111" s="379">
        <v>0</v>
      </c>
    </row>
    <row r="112" spans="1:20" x14ac:dyDescent="0.35">
      <c r="A112" t="s">
        <v>231</v>
      </c>
      <c r="B112" s="13" t="s">
        <v>29</v>
      </c>
      <c r="C112" s="13" t="s">
        <v>56</v>
      </c>
      <c r="D112" s="13" t="s">
        <v>232</v>
      </c>
      <c r="H112" s="101">
        <v>0</v>
      </c>
      <c r="I112" s="100">
        <v>4.0654829615707994E-5</v>
      </c>
      <c r="J112" s="100">
        <v>4.0654829615707994E-5</v>
      </c>
      <c r="K112" s="101">
        <v>0</v>
      </c>
      <c r="L112" s="101">
        <v>0</v>
      </c>
      <c r="M112" s="101">
        <v>0</v>
      </c>
      <c r="N112" s="101">
        <v>0</v>
      </c>
      <c r="O112" s="379">
        <v>0</v>
      </c>
    </row>
    <row r="113" spans="1:19" x14ac:dyDescent="0.35">
      <c r="A113" t="s">
        <v>233</v>
      </c>
      <c r="B113" s="13" t="s">
        <v>29</v>
      </c>
      <c r="C113" s="13" t="s">
        <v>56</v>
      </c>
      <c r="D113" s="13" t="s">
        <v>228</v>
      </c>
      <c r="H113" s="101">
        <v>0</v>
      </c>
      <c r="I113" s="101">
        <v>0</v>
      </c>
      <c r="J113" s="101">
        <v>0</v>
      </c>
      <c r="K113" s="101">
        <v>0</v>
      </c>
      <c r="L113" s="101">
        <v>0</v>
      </c>
      <c r="M113" s="101">
        <v>0</v>
      </c>
      <c r="N113" s="101">
        <v>0</v>
      </c>
      <c r="O113" s="379">
        <v>0</v>
      </c>
    </row>
    <row r="114" spans="1:19" x14ac:dyDescent="0.35">
      <c r="A114" t="s">
        <v>101</v>
      </c>
      <c r="B114" s="13" t="s">
        <v>29</v>
      </c>
      <c r="C114" s="13" t="s">
        <v>103</v>
      </c>
      <c r="D114" s="13" t="s">
        <v>234</v>
      </c>
      <c r="H114" s="101">
        <v>0</v>
      </c>
      <c r="I114" s="100">
        <v>1.4567715973119188E-3</v>
      </c>
      <c r="J114" s="100">
        <v>1.4077232662383567E-3</v>
      </c>
      <c r="K114" s="101">
        <v>0</v>
      </c>
      <c r="L114" s="101">
        <v>0</v>
      </c>
      <c r="M114" s="101">
        <v>0</v>
      </c>
      <c r="N114" s="101">
        <v>0</v>
      </c>
      <c r="O114" s="379">
        <v>0</v>
      </c>
    </row>
    <row r="115" spans="1:19" x14ac:dyDescent="0.35">
      <c r="A115" t="s">
        <v>104</v>
      </c>
      <c r="B115" s="13" t="s">
        <v>29</v>
      </c>
      <c r="C115" s="13" t="s">
        <v>103</v>
      </c>
      <c r="D115" s="13" t="s">
        <v>235</v>
      </c>
      <c r="H115" s="101">
        <v>0</v>
      </c>
      <c r="I115" s="100">
        <v>8.3535480890614125E-4</v>
      </c>
      <c r="J115" s="100">
        <v>8.0722908260373052E-4</v>
      </c>
      <c r="K115" s="101">
        <v>0</v>
      </c>
      <c r="L115" s="101">
        <v>0</v>
      </c>
      <c r="M115" s="101">
        <v>0</v>
      </c>
      <c r="N115" s="101">
        <v>0</v>
      </c>
      <c r="O115" s="379">
        <v>0</v>
      </c>
    </row>
    <row r="116" spans="1:19" ht="15" thickBot="1" x14ac:dyDescent="0.4">
      <c r="A116" t="s">
        <v>106</v>
      </c>
      <c r="B116" s="13" t="s">
        <v>29</v>
      </c>
      <c r="C116" s="13" t="s">
        <v>103</v>
      </c>
      <c r="D116" s="13" t="s">
        <v>236</v>
      </c>
      <c r="H116" s="87">
        <v>0</v>
      </c>
      <c r="I116" s="88">
        <v>1.2416531155153262E-3</v>
      </c>
      <c r="J116" s="88">
        <v>1.1998476511579127E-3</v>
      </c>
      <c r="K116" s="87">
        <v>0</v>
      </c>
      <c r="L116" s="87">
        <v>0</v>
      </c>
      <c r="M116" s="87">
        <v>0</v>
      </c>
      <c r="N116" s="87">
        <v>0</v>
      </c>
      <c r="O116" s="380">
        <v>0</v>
      </c>
    </row>
    <row r="117" spans="1:19" x14ac:dyDescent="0.35">
      <c r="A117" t="s">
        <v>218</v>
      </c>
      <c r="B117" s="13" t="s">
        <v>237</v>
      </c>
      <c r="C117" s="13" t="s">
        <v>56</v>
      </c>
      <c r="D117" s="13" t="s">
        <v>219</v>
      </c>
      <c r="H117" s="101">
        <v>0</v>
      </c>
      <c r="I117" s="100">
        <v>0.16108845734587587</v>
      </c>
      <c r="J117" s="100">
        <v>0.16108845734587587</v>
      </c>
      <c r="K117" s="101">
        <v>0</v>
      </c>
      <c r="L117" s="101">
        <v>0</v>
      </c>
      <c r="M117" s="101">
        <v>0</v>
      </c>
      <c r="N117" s="101">
        <v>0</v>
      </c>
      <c r="O117" s="379">
        <v>0</v>
      </c>
    </row>
    <row r="118" spans="1:19" s="13" customFormat="1" x14ac:dyDescent="0.35">
      <c r="A118" s="12" t="s">
        <v>220</v>
      </c>
      <c r="B118" s="13" t="s">
        <v>237</v>
      </c>
      <c r="C118" s="13" t="s">
        <v>56</v>
      </c>
      <c r="D118" s="13" t="s">
        <v>221</v>
      </c>
      <c r="E118"/>
      <c r="F118"/>
      <c r="G118" s="48"/>
      <c r="H118" s="101">
        <v>0</v>
      </c>
      <c r="I118" s="101">
        <v>0</v>
      </c>
      <c r="J118" s="101">
        <v>0</v>
      </c>
      <c r="K118" s="101">
        <v>0</v>
      </c>
      <c r="L118" s="101">
        <v>0</v>
      </c>
      <c r="M118" s="101">
        <v>0</v>
      </c>
      <c r="N118" s="101">
        <v>0</v>
      </c>
      <c r="O118" s="379">
        <v>0</v>
      </c>
      <c r="Q118"/>
      <c r="R118"/>
      <c r="S118"/>
    </row>
    <row r="119" spans="1:19" s="13" customFormat="1" x14ac:dyDescent="0.35">
      <c r="A119" t="s">
        <v>222</v>
      </c>
      <c r="B119" s="13" t="s">
        <v>237</v>
      </c>
      <c r="C119" s="13" t="s">
        <v>56</v>
      </c>
      <c r="D119" s="13" t="s">
        <v>223</v>
      </c>
      <c r="E119"/>
      <c r="F119"/>
      <c r="G119" s="48"/>
      <c r="H119" s="101">
        <v>0</v>
      </c>
      <c r="I119" s="100">
        <v>5.0558836222750793E-4</v>
      </c>
      <c r="J119" s="100">
        <v>5.0558836222750793E-4</v>
      </c>
      <c r="K119" s="101">
        <v>0</v>
      </c>
      <c r="L119" s="101">
        <v>0</v>
      </c>
      <c r="M119" s="101">
        <v>0</v>
      </c>
      <c r="N119" s="101">
        <v>0</v>
      </c>
      <c r="O119" s="379">
        <v>0</v>
      </c>
      <c r="Q119"/>
      <c r="R119"/>
      <c r="S119"/>
    </row>
    <row r="120" spans="1:19" s="13" customFormat="1" x14ac:dyDescent="0.35">
      <c r="A120" t="s">
        <v>224</v>
      </c>
      <c r="B120" s="13" t="s">
        <v>237</v>
      </c>
      <c r="C120" s="13" t="s">
        <v>56</v>
      </c>
      <c r="D120" s="13" t="s">
        <v>225</v>
      </c>
      <c r="E120"/>
      <c r="F120"/>
      <c r="G120" s="48"/>
      <c r="H120" s="101">
        <v>0</v>
      </c>
      <c r="I120" s="100">
        <v>4.8514464106651379E-3</v>
      </c>
      <c r="J120" s="100">
        <v>4.8514464106651379E-3</v>
      </c>
      <c r="K120" s="101">
        <v>0</v>
      </c>
      <c r="L120" s="101">
        <v>0</v>
      </c>
      <c r="M120" s="101">
        <v>0</v>
      </c>
      <c r="N120" s="101">
        <v>0</v>
      </c>
      <c r="O120" s="379">
        <v>0</v>
      </c>
      <c r="Q120"/>
      <c r="R120"/>
      <c r="S120"/>
    </row>
    <row r="121" spans="1:19" s="13" customFormat="1" x14ac:dyDescent="0.35">
      <c r="A121" t="s">
        <v>226</v>
      </c>
      <c r="B121" s="13" t="s">
        <v>237</v>
      </c>
      <c r="C121" s="13" t="s">
        <v>56</v>
      </c>
      <c r="D121" s="13" t="s">
        <v>227</v>
      </c>
      <c r="E121"/>
      <c r="F121"/>
      <c r="G121" s="48"/>
      <c r="H121" s="100">
        <v>4.4451090694311274E-2</v>
      </c>
      <c r="I121" s="100">
        <v>1.109418436791091E-2</v>
      </c>
      <c r="J121" s="100">
        <v>1.109418436791091E-2</v>
      </c>
      <c r="K121" s="100">
        <v>9.2276548594747033E-3</v>
      </c>
      <c r="L121" s="100">
        <v>9.2276548594747033E-3</v>
      </c>
      <c r="M121" s="101">
        <v>0</v>
      </c>
      <c r="N121" s="101">
        <v>0</v>
      </c>
      <c r="O121" s="379">
        <v>0</v>
      </c>
      <c r="Q121"/>
      <c r="R121"/>
      <c r="S121"/>
    </row>
    <row r="122" spans="1:19" s="13" customFormat="1" x14ac:dyDescent="0.35">
      <c r="A122" t="s">
        <v>83</v>
      </c>
      <c r="B122" s="13" t="s">
        <v>237</v>
      </c>
      <c r="C122" s="13" t="s">
        <v>56</v>
      </c>
      <c r="D122" s="13" t="s">
        <v>228</v>
      </c>
      <c r="E122"/>
      <c r="F122"/>
      <c r="G122" s="48"/>
      <c r="H122" s="101">
        <v>0</v>
      </c>
      <c r="I122" s="101">
        <v>0</v>
      </c>
      <c r="J122" s="101">
        <v>0</v>
      </c>
      <c r="K122" s="100">
        <v>6.9627451701437512E-2</v>
      </c>
      <c r="L122" s="100">
        <v>6.9627451701437512E-2</v>
      </c>
      <c r="M122" s="101">
        <v>0</v>
      </c>
      <c r="N122" s="101">
        <v>0</v>
      </c>
      <c r="O122" s="379">
        <v>0</v>
      </c>
      <c r="Q122"/>
      <c r="R122"/>
      <c r="S122"/>
    </row>
    <row r="123" spans="1:19" s="13" customFormat="1" x14ac:dyDescent="0.35">
      <c r="A123" t="s">
        <v>229</v>
      </c>
      <c r="B123" s="13" t="s">
        <v>237</v>
      </c>
      <c r="C123" s="13" t="s">
        <v>56</v>
      </c>
      <c r="D123" s="13" t="s">
        <v>230</v>
      </c>
      <c r="E123"/>
      <c r="F123"/>
      <c r="G123" s="48"/>
      <c r="H123" s="101">
        <v>0</v>
      </c>
      <c r="I123" s="100">
        <v>2.890870278990243E-5</v>
      </c>
      <c r="J123" s="100">
        <v>2.890870278990243E-5</v>
      </c>
      <c r="K123" s="101">
        <v>0</v>
      </c>
      <c r="L123" s="101">
        <v>0</v>
      </c>
      <c r="M123" s="101">
        <v>0</v>
      </c>
      <c r="N123" s="101">
        <v>0</v>
      </c>
      <c r="O123" s="379">
        <v>0</v>
      </c>
      <c r="Q123"/>
      <c r="R123"/>
      <c r="S123"/>
    </row>
    <row r="124" spans="1:19" s="13" customFormat="1" x14ac:dyDescent="0.35">
      <c r="A124" t="s">
        <v>231</v>
      </c>
      <c r="B124" s="13" t="s">
        <v>237</v>
      </c>
      <c r="C124" s="13" t="s">
        <v>56</v>
      </c>
      <c r="D124" s="13" t="s">
        <v>232</v>
      </c>
      <c r="E124"/>
      <c r="F124"/>
      <c r="G124" s="48"/>
      <c r="H124" s="101">
        <v>0</v>
      </c>
      <c r="I124" s="100">
        <v>2.1939759632029279E-4</v>
      </c>
      <c r="J124" s="100">
        <v>2.1939759632029279E-4</v>
      </c>
      <c r="K124" s="101">
        <v>0</v>
      </c>
      <c r="L124" s="101">
        <v>0</v>
      </c>
      <c r="M124" s="101">
        <v>0</v>
      </c>
      <c r="N124" s="101">
        <v>0</v>
      </c>
      <c r="O124" s="379">
        <v>0</v>
      </c>
      <c r="Q124"/>
      <c r="R124"/>
      <c r="S124"/>
    </row>
    <row r="125" spans="1:19" s="13" customFormat="1" x14ac:dyDescent="0.35">
      <c r="A125" t="s">
        <v>233</v>
      </c>
      <c r="B125" s="13" t="s">
        <v>237</v>
      </c>
      <c r="C125" s="13" t="s">
        <v>56</v>
      </c>
      <c r="D125" s="13" t="s">
        <v>228</v>
      </c>
      <c r="E125"/>
      <c r="F125"/>
      <c r="G125" s="48"/>
      <c r="H125" s="101">
        <v>0</v>
      </c>
      <c r="I125" s="100">
        <v>2.8514320987501449E-3</v>
      </c>
      <c r="J125" s="100">
        <v>2.8514320987501449E-3</v>
      </c>
      <c r="K125" s="101">
        <v>0</v>
      </c>
      <c r="L125" s="101">
        <v>0</v>
      </c>
      <c r="M125" s="101">
        <v>0</v>
      </c>
      <c r="N125" s="101">
        <v>0</v>
      </c>
      <c r="O125" s="379">
        <v>0</v>
      </c>
      <c r="Q125"/>
      <c r="R125"/>
      <c r="S125"/>
    </row>
    <row r="126" spans="1:19" s="13" customFormat="1" x14ac:dyDescent="0.35">
      <c r="A126" t="s">
        <v>101</v>
      </c>
      <c r="B126" s="13" t="s">
        <v>237</v>
      </c>
      <c r="C126" s="13" t="s">
        <v>103</v>
      </c>
      <c r="D126" s="13" t="s">
        <v>234</v>
      </c>
      <c r="E126"/>
      <c r="F126"/>
      <c r="G126" s="48"/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0</v>
      </c>
      <c r="N126" s="101">
        <v>0</v>
      </c>
      <c r="O126" s="379">
        <v>0</v>
      </c>
      <c r="Q126"/>
      <c r="R126"/>
      <c r="S126"/>
    </row>
    <row r="127" spans="1:19" s="13" customFormat="1" x14ac:dyDescent="0.35">
      <c r="A127" t="s">
        <v>104</v>
      </c>
      <c r="B127" s="13" t="s">
        <v>237</v>
      </c>
      <c r="C127" s="13" t="s">
        <v>103</v>
      </c>
      <c r="D127" s="13" t="s">
        <v>235</v>
      </c>
      <c r="E127"/>
      <c r="F127"/>
      <c r="G127" s="48"/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0</v>
      </c>
      <c r="O127" s="379">
        <v>0</v>
      </c>
      <c r="Q127"/>
      <c r="R127"/>
      <c r="S127"/>
    </row>
    <row r="128" spans="1:19" s="13" customFormat="1" ht="15" thickBot="1" x14ac:dyDescent="0.4">
      <c r="A128" t="s">
        <v>106</v>
      </c>
      <c r="B128" s="13" t="s">
        <v>237</v>
      </c>
      <c r="C128" s="13" t="s">
        <v>103</v>
      </c>
      <c r="D128" s="13" t="s">
        <v>236</v>
      </c>
      <c r="E128"/>
      <c r="F128"/>
      <c r="G128" s="48"/>
      <c r="H128" s="87">
        <v>0</v>
      </c>
      <c r="I128" s="87">
        <v>0</v>
      </c>
      <c r="J128" s="87">
        <v>0</v>
      </c>
      <c r="K128" s="87">
        <v>0</v>
      </c>
      <c r="L128" s="87">
        <v>0</v>
      </c>
      <c r="M128" s="87">
        <v>0</v>
      </c>
      <c r="N128" s="87">
        <v>0</v>
      </c>
      <c r="O128" s="380">
        <v>0</v>
      </c>
      <c r="Q128"/>
      <c r="R128"/>
      <c r="S128"/>
    </row>
    <row r="129" spans="1:19" s="13" customFormat="1" x14ac:dyDescent="0.35">
      <c r="A129" t="s">
        <v>218</v>
      </c>
      <c r="B129" s="13" t="s">
        <v>238</v>
      </c>
      <c r="C129" s="13" t="s">
        <v>56</v>
      </c>
      <c r="D129" s="13" t="s">
        <v>219</v>
      </c>
      <c r="E129"/>
      <c r="F129"/>
      <c r="G129" s="48"/>
      <c r="H129" s="101">
        <v>0</v>
      </c>
      <c r="I129" s="100">
        <v>2.949251079979006E-2</v>
      </c>
      <c r="J129" s="100">
        <v>2.949251079979006E-2</v>
      </c>
      <c r="K129" s="101">
        <v>0</v>
      </c>
      <c r="L129" s="101">
        <v>0</v>
      </c>
      <c r="M129" s="101">
        <v>0</v>
      </c>
      <c r="N129" s="101">
        <v>0</v>
      </c>
      <c r="O129" s="379">
        <v>0</v>
      </c>
      <c r="Q129"/>
      <c r="R129"/>
      <c r="S129"/>
    </row>
    <row r="130" spans="1:19" s="13" customFormat="1" x14ac:dyDescent="0.35">
      <c r="A130" s="12" t="s">
        <v>220</v>
      </c>
      <c r="B130" s="13" t="s">
        <v>238</v>
      </c>
      <c r="C130" s="13" t="s">
        <v>56</v>
      </c>
      <c r="D130" s="13" t="s">
        <v>221</v>
      </c>
      <c r="E130"/>
      <c r="F130"/>
      <c r="G130" s="48"/>
      <c r="H130" s="101">
        <v>0</v>
      </c>
      <c r="I130" s="101">
        <v>0</v>
      </c>
      <c r="J130" s="101">
        <v>0</v>
      </c>
      <c r="K130" s="101">
        <v>0</v>
      </c>
      <c r="L130" s="101">
        <v>0</v>
      </c>
      <c r="M130" s="101">
        <v>0</v>
      </c>
      <c r="N130" s="101">
        <v>0</v>
      </c>
      <c r="O130" s="379">
        <v>0</v>
      </c>
      <c r="Q130"/>
      <c r="R130"/>
      <c r="S130"/>
    </row>
    <row r="131" spans="1:19" s="13" customFormat="1" x14ac:dyDescent="0.35">
      <c r="A131" t="s">
        <v>222</v>
      </c>
      <c r="B131" s="13" t="s">
        <v>238</v>
      </c>
      <c r="C131" s="13" t="s">
        <v>56</v>
      </c>
      <c r="D131" s="13" t="s">
        <v>223</v>
      </c>
      <c r="E131"/>
      <c r="F131"/>
      <c r="G131" s="48"/>
      <c r="H131" s="101">
        <v>0</v>
      </c>
      <c r="I131" s="100">
        <v>2.1047443073980527E-5</v>
      </c>
      <c r="J131" s="100">
        <v>2.1047443073980527E-5</v>
      </c>
      <c r="K131" s="101">
        <v>0</v>
      </c>
      <c r="L131" s="101">
        <v>0</v>
      </c>
      <c r="M131" s="101">
        <v>0</v>
      </c>
      <c r="N131" s="101">
        <v>0</v>
      </c>
      <c r="O131" s="379">
        <v>0</v>
      </c>
      <c r="Q131"/>
      <c r="R131"/>
      <c r="S131"/>
    </row>
    <row r="132" spans="1:19" s="13" customFormat="1" x14ac:dyDescent="0.35">
      <c r="A132" t="s">
        <v>224</v>
      </c>
      <c r="B132" s="13" t="s">
        <v>238</v>
      </c>
      <c r="C132" s="13" t="s">
        <v>56</v>
      </c>
      <c r="D132" s="13" t="s">
        <v>225</v>
      </c>
      <c r="E132"/>
      <c r="F132"/>
      <c r="G132" s="48"/>
      <c r="H132" s="101">
        <v>0</v>
      </c>
      <c r="I132" s="100">
        <v>5.8414015621608938E-3</v>
      </c>
      <c r="J132" s="100">
        <v>5.8414015621608938E-3</v>
      </c>
      <c r="K132" s="101">
        <v>0</v>
      </c>
      <c r="L132" s="101">
        <v>0</v>
      </c>
      <c r="M132" s="101">
        <v>0</v>
      </c>
      <c r="N132" s="101">
        <v>0</v>
      </c>
      <c r="O132" s="379">
        <v>0</v>
      </c>
      <c r="Q132"/>
      <c r="R132"/>
      <c r="S132"/>
    </row>
    <row r="133" spans="1:19" s="13" customFormat="1" x14ac:dyDescent="0.35">
      <c r="A133" t="s">
        <v>226</v>
      </c>
      <c r="B133" s="13" t="s">
        <v>238</v>
      </c>
      <c r="C133" s="13" t="s">
        <v>56</v>
      </c>
      <c r="D133" s="13" t="s">
        <v>227</v>
      </c>
      <c r="E133"/>
      <c r="F133"/>
      <c r="G133" s="48"/>
      <c r="H133" s="100">
        <v>1.0694147292515508E-5</v>
      </c>
      <c r="I133" s="100">
        <v>1.4521138379047227E-3</v>
      </c>
      <c r="J133" s="100">
        <v>1.4521138379047227E-3</v>
      </c>
      <c r="K133" s="100">
        <v>2.2200107734217647E-6</v>
      </c>
      <c r="L133" s="100">
        <v>2.2200107734217647E-6</v>
      </c>
      <c r="M133" s="101">
        <v>0</v>
      </c>
      <c r="N133" s="101">
        <v>0</v>
      </c>
      <c r="O133" s="379">
        <v>0</v>
      </c>
      <c r="Q133"/>
      <c r="R133"/>
      <c r="S133"/>
    </row>
    <row r="134" spans="1:19" s="13" customFormat="1" x14ac:dyDescent="0.35">
      <c r="A134" t="s">
        <v>83</v>
      </c>
      <c r="B134" s="13" t="s">
        <v>238</v>
      </c>
      <c r="C134" s="13" t="s">
        <v>56</v>
      </c>
      <c r="D134" s="13" t="s">
        <v>228</v>
      </c>
      <c r="E134"/>
      <c r="F134"/>
      <c r="G134" s="48"/>
      <c r="H134" s="101">
        <v>0</v>
      </c>
      <c r="I134" s="101">
        <v>0</v>
      </c>
      <c r="J134" s="101">
        <v>0</v>
      </c>
      <c r="K134" s="100">
        <v>9.1135123377023061E-3</v>
      </c>
      <c r="L134" s="100">
        <v>9.1135123377023061E-3</v>
      </c>
      <c r="M134" s="101">
        <v>0</v>
      </c>
      <c r="N134" s="101">
        <v>0</v>
      </c>
      <c r="O134" s="379">
        <v>0</v>
      </c>
      <c r="Q134"/>
      <c r="R134"/>
      <c r="S134"/>
    </row>
    <row r="135" spans="1:19" s="13" customFormat="1" x14ac:dyDescent="0.35">
      <c r="A135" t="s">
        <v>229</v>
      </c>
      <c r="B135" s="13" t="s">
        <v>238</v>
      </c>
      <c r="C135" s="13" t="s">
        <v>56</v>
      </c>
      <c r="D135" s="13" t="s">
        <v>230</v>
      </c>
      <c r="E135"/>
      <c r="F135"/>
      <c r="G135" s="48"/>
      <c r="H135" s="101">
        <v>0</v>
      </c>
      <c r="I135" s="100">
        <v>6.5130870114372285E-5</v>
      </c>
      <c r="J135" s="100">
        <v>6.5130870114372285E-5</v>
      </c>
      <c r="K135" s="101">
        <v>0</v>
      </c>
      <c r="L135" s="101">
        <v>0</v>
      </c>
      <c r="M135" s="101">
        <v>0</v>
      </c>
      <c r="N135" s="101">
        <v>0</v>
      </c>
      <c r="O135" s="379">
        <v>0</v>
      </c>
      <c r="Q135"/>
      <c r="R135"/>
      <c r="S135"/>
    </row>
    <row r="136" spans="1:19" s="13" customFormat="1" x14ac:dyDescent="0.35">
      <c r="A136" t="s">
        <v>231</v>
      </c>
      <c r="B136" s="13" t="s">
        <v>238</v>
      </c>
      <c r="C136" s="13" t="s">
        <v>56</v>
      </c>
      <c r="D136" s="13" t="s">
        <v>232</v>
      </c>
      <c r="E136"/>
      <c r="F136"/>
      <c r="G136" s="48"/>
      <c r="H136" s="101">
        <v>0</v>
      </c>
      <c r="I136" s="100">
        <v>9.6800039566744163E-4</v>
      </c>
      <c r="J136" s="100">
        <v>9.6800039566744163E-4</v>
      </c>
      <c r="K136" s="101">
        <v>0</v>
      </c>
      <c r="L136" s="101">
        <v>0</v>
      </c>
      <c r="M136" s="101">
        <v>0</v>
      </c>
      <c r="N136" s="101">
        <v>0</v>
      </c>
      <c r="O136" s="379">
        <v>0</v>
      </c>
      <c r="Q136"/>
      <c r="R136"/>
      <c r="S136"/>
    </row>
    <row r="137" spans="1:19" s="13" customFormat="1" x14ac:dyDescent="0.35">
      <c r="A137" t="s">
        <v>233</v>
      </c>
      <c r="B137" s="13" t="s">
        <v>238</v>
      </c>
      <c r="C137" s="13" t="s">
        <v>56</v>
      </c>
      <c r="D137" s="13" t="s">
        <v>228</v>
      </c>
      <c r="E137"/>
      <c r="F137"/>
      <c r="G137" s="48"/>
      <c r="H137" s="101">
        <v>0</v>
      </c>
      <c r="I137" s="100">
        <v>8.4821183458843076E-3</v>
      </c>
      <c r="J137" s="100">
        <v>8.4821183458843076E-3</v>
      </c>
      <c r="K137" s="101">
        <v>0</v>
      </c>
      <c r="L137" s="101">
        <v>0</v>
      </c>
      <c r="M137" s="101">
        <v>0</v>
      </c>
      <c r="N137" s="101">
        <v>0</v>
      </c>
      <c r="O137" s="379">
        <v>0</v>
      </c>
      <c r="Q137"/>
      <c r="R137"/>
      <c r="S137"/>
    </row>
    <row r="138" spans="1:19" s="13" customFormat="1" x14ac:dyDescent="0.35">
      <c r="A138" t="s">
        <v>101</v>
      </c>
      <c r="B138" s="13" t="s">
        <v>238</v>
      </c>
      <c r="C138" s="13" t="s">
        <v>103</v>
      </c>
      <c r="D138" s="13" t="s">
        <v>234</v>
      </c>
      <c r="E138"/>
      <c r="F138"/>
      <c r="G138" s="48"/>
      <c r="H138" s="101">
        <v>0</v>
      </c>
      <c r="I138" s="101">
        <v>0</v>
      </c>
      <c r="J138" s="101">
        <v>0</v>
      </c>
      <c r="K138" s="101">
        <v>0</v>
      </c>
      <c r="L138" s="101">
        <v>0</v>
      </c>
      <c r="M138" s="101">
        <v>0</v>
      </c>
      <c r="N138" s="101">
        <v>0</v>
      </c>
      <c r="O138" s="379">
        <v>0</v>
      </c>
      <c r="Q138"/>
      <c r="R138"/>
      <c r="S138"/>
    </row>
    <row r="139" spans="1:19" s="13" customFormat="1" x14ac:dyDescent="0.35">
      <c r="A139" t="s">
        <v>104</v>
      </c>
      <c r="B139" s="13" t="s">
        <v>238</v>
      </c>
      <c r="C139" s="13" t="s">
        <v>103</v>
      </c>
      <c r="D139" s="13" t="s">
        <v>235</v>
      </c>
      <c r="E139"/>
      <c r="F139"/>
      <c r="G139" s="48"/>
      <c r="H139" s="101">
        <v>0</v>
      </c>
      <c r="I139" s="101">
        <v>0</v>
      </c>
      <c r="J139" s="101">
        <v>0</v>
      </c>
      <c r="K139" s="101">
        <v>0</v>
      </c>
      <c r="L139" s="101">
        <v>0</v>
      </c>
      <c r="M139" s="101">
        <v>0</v>
      </c>
      <c r="N139" s="101">
        <v>0</v>
      </c>
      <c r="O139" s="379">
        <v>0</v>
      </c>
      <c r="Q139"/>
      <c r="R139"/>
      <c r="S139"/>
    </row>
    <row r="140" spans="1:19" s="13" customFormat="1" ht="15" thickBot="1" x14ac:dyDescent="0.4">
      <c r="A140" t="s">
        <v>106</v>
      </c>
      <c r="B140" s="13" t="s">
        <v>238</v>
      </c>
      <c r="C140" s="13" t="s">
        <v>103</v>
      </c>
      <c r="D140" s="13" t="s">
        <v>236</v>
      </c>
      <c r="E140"/>
      <c r="F140"/>
      <c r="G140" s="48"/>
      <c r="H140" s="87">
        <v>0</v>
      </c>
      <c r="I140" s="87">
        <v>0</v>
      </c>
      <c r="J140" s="87">
        <v>0</v>
      </c>
      <c r="K140" s="87">
        <v>0</v>
      </c>
      <c r="L140" s="87">
        <v>0</v>
      </c>
      <c r="M140" s="87">
        <v>0</v>
      </c>
      <c r="N140" s="87">
        <v>0</v>
      </c>
      <c r="O140" s="380">
        <v>0</v>
      </c>
      <c r="Q140"/>
      <c r="R140"/>
      <c r="S140"/>
    </row>
    <row r="141" spans="1:19" s="13" customFormat="1" x14ac:dyDescent="0.35">
      <c r="A141" t="s">
        <v>218</v>
      </c>
      <c r="B141" s="13" t="s">
        <v>239</v>
      </c>
      <c r="C141" s="13" t="s">
        <v>56</v>
      </c>
      <c r="D141" s="13" t="s">
        <v>219</v>
      </c>
      <c r="E141"/>
      <c r="F141"/>
      <c r="G141" s="48"/>
      <c r="H141" s="101">
        <v>0</v>
      </c>
      <c r="I141" s="100">
        <v>0.15097500908393557</v>
      </c>
      <c r="J141" s="100">
        <v>0.15097500908393557</v>
      </c>
      <c r="K141" s="101">
        <v>0</v>
      </c>
      <c r="L141" s="101">
        <v>0</v>
      </c>
      <c r="M141" s="101">
        <v>0</v>
      </c>
      <c r="N141" s="101">
        <v>0</v>
      </c>
      <c r="O141" s="379">
        <v>0</v>
      </c>
      <c r="Q141"/>
      <c r="R141"/>
      <c r="S141"/>
    </row>
    <row r="142" spans="1:19" s="13" customFormat="1" x14ac:dyDescent="0.35">
      <c r="A142" s="12" t="s">
        <v>220</v>
      </c>
      <c r="B142" s="13" t="s">
        <v>239</v>
      </c>
      <c r="C142" s="13" t="s">
        <v>56</v>
      </c>
      <c r="D142" s="13" t="s">
        <v>221</v>
      </c>
      <c r="E142"/>
      <c r="F142"/>
      <c r="G142" s="48"/>
      <c r="H142" s="101">
        <v>0</v>
      </c>
      <c r="I142" s="101">
        <v>0</v>
      </c>
      <c r="J142" s="101">
        <v>0</v>
      </c>
      <c r="K142" s="101">
        <v>0</v>
      </c>
      <c r="L142" s="101">
        <v>0</v>
      </c>
      <c r="M142" s="101">
        <v>0</v>
      </c>
      <c r="N142" s="101">
        <v>0</v>
      </c>
      <c r="O142" s="379">
        <v>0</v>
      </c>
      <c r="Q142"/>
      <c r="R142"/>
      <c r="S142"/>
    </row>
    <row r="143" spans="1:19" s="13" customFormat="1" x14ac:dyDescent="0.35">
      <c r="A143" t="s">
        <v>222</v>
      </c>
      <c r="B143" s="13" t="s">
        <v>239</v>
      </c>
      <c r="C143" s="13" t="s">
        <v>56</v>
      </c>
      <c r="D143" s="13" t="s">
        <v>223</v>
      </c>
      <c r="E143"/>
      <c r="F143"/>
      <c r="G143" s="48"/>
      <c r="H143" s="101">
        <v>0</v>
      </c>
      <c r="I143" s="100">
        <v>6.7728942399646885E-5</v>
      </c>
      <c r="J143" s="100">
        <v>6.7728942399646885E-5</v>
      </c>
      <c r="K143" s="101">
        <v>0</v>
      </c>
      <c r="L143" s="101">
        <v>0</v>
      </c>
      <c r="M143" s="101">
        <v>0</v>
      </c>
      <c r="N143" s="101">
        <v>0</v>
      </c>
      <c r="O143" s="379">
        <v>0</v>
      </c>
      <c r="Q143"/>
      <c r="R143"/>
      <c r="S143"/>
    </row>
    <row r="144" spans="1:19" s="13" customFormat="1" x14ac:dyDescent="0.35">
      <c r="A144" t="s">
        <v>224</v>
      </c>
      <c r="B144" s="13" t="s">
        <v>239</v>
      </c>
      <c r="C144" s="13" t="s">
        <v>56</v>
      </c>
      <c r="D144" s="13" t="s">
        <v>225</v>
      </c>
      <c r="E144"/>
      <c r="F144"/>
      <c r="G144" s="48"/>
      <c r="H144" s="101">
        <v>0</v>
      </c>
      <c r="I144" s="100">
        <v>5.6233849622410815E-3</v>
      </c>
      <c r="J144" s="100">
        <v>5.6233849622410815E-3</v>
      </c>
      <c r="K144" s="101">
        <v>0</v>
      </c>
      <c r="L144" s="101">
        <v>0</v>
      </c>
      <c r="M144" s="101">
        <v>0</v>
      </c>
      <c r="N144" s="101">
        <v>0</v>
      </c>
      <c r="O144" s="379">
        <v>0</v>
      </c>
      <c r="Q144"/>
      <c r="R144"/>
      <c r="S144"/>
    </row>
    <row r="145" spans="1:19" s="13" customFormat="1" x14ac:dyDescent="0.35">
      <c r="A145" t="s">
        <v>226</v>
      </c>
      <c r="B145" s="13" t="s">
        <v>239</v>
      </c>
      <c r="C145" s="13" t="s">
        <v>56</v>
      </c>
      <c r="D145" s="13" t="s">
        <v>227</v>
      </c>
      <c r="E145"/>
      <c r="F145"/>
      <c r="G145" s="48"/>
      <c r="H145" s="100">
        <v>2.0807907452574416E-3</v>
      </c>
      <c r="I145" s="100">
        <v>1.8068055269127655E-3</v>
      </c>
      <c r="J145" s="100">
        <v>1.8068055269127655E-3</v>
      </c>
      <c r="K145" s="100">
        <v>4.3195382907628159E-4</v>
      </c>
      <c r="L145" s="100">
        <v>4.3195382907628159E-4</v>
      </c>
      <c r="M145" s="101">
        <v>0</v>
      </c>
      <c r="N145" s="101">
        <v>0</v>
      </c>
      <c r="O145" s="379">
        <v>0</v>
      </c>
      <c r="Q145"/>
      <c r="R145"/>
      <c r="S145"/>
    </row>
    <row r="146" spans="1:19" s="13" customFormat="1" x14ac:dyDescent="0.35">
      <c r="A146" t="s">
        <v>83</v>
      </c>
      <c r="B146" s="13" t="s">
        <v>239</v>
      </c>
      <c r="C146" s="13" t="s">
        <v>56</v>
      </c>
      <c r="D146" s="13" t="s">
        <v>228</v>
      </c>
      <c r="E146"/>
      <c r="F146"/>
      <c r="G146" s="48"/>
      <c r="H146" s="101">
        <v>0</v>
      </c>
      <c r="I146" s="101">
        <v>0</v>
      </c>
      <c r="J146" s="101">
        <v>0</v>
      </c>
      <c r="K146" s="100">
        <v>1.1339568587203704E-2</v>
      </c>
      <c r="L146" s="100">
        <v>1.1339568587203704E-2</v>
      </c>
      <c r="M146" s="101">
        <v>0</v>
      </c>
      <c r="N146" s="101">
        <v>0</v>
      </c>
      <c r="O146" s="379">
        <v>0</v>
      </c>
      <c r="Q146"/>
      <c r="R146"/>
      <c r="S146"/>
    </row>
    <row r="147" spans="1:19" s="13" customFormat="1" x14ac:dyDescent="0.35">
      <c r="A147" t="s">
        <v>229</v>
      </c>
      <c r="B147" s="13" t="s">
        <v>239</v>
      </c>
      <c r="C147" s="13" t="s">
        <v>56</v>
      </c>
      <c r="D147" s="13" t="s">
        <v>230</v>
      </c>
      <c r="E147"/>
      <c r="F147"/>
      <c r="G147" s="48"/>
      <c r="H147" s="101">
        <v>0</v>
      </c>
      <c r="I147" s="100">
        <v>5.6492118062760293E-6</v>
      </c>
      <c r="J147" s="100">
        <v>5.6492118062760293E-6</v>
      </c>
      <c r="K147" s="101">
        <v>0</v>
      </c>
      <c r="L147" s="101">
        <v>0</v>
      </c>
      <c r="M147" s="101">
        <v>0</v>
      </c>
      <c r="N147" s="101">
        <v>0</v>
      </c>
      <c r="O147" s="379">
        <v>0</v>
      </c>
      <c r="Q147"/>
      <c r="R147"/>
      <c r="S147"/>
    </row>
    <row r="148" spans="1:19" s="13" customFormat="1" x14ac:dyDescent="0.35">
      <c r="A148" t="s">
        <v>231</v>
      </c>
      <c r="B148" s="13" t="s">
        <v>239</v>
      </c>
      <c r="C148" s="13" t="s">
        <v>56</v>
      </c>
      <c r="D148" s="13" t="s">
        <v>232</v>
      </c>
      <c r="E148"/>
      <c r="F148"/>
      <c r="G148" s="48"/>
      <c r="H148" s="101">
        <v>0</v>
      </c>
      <c r="I148" s="100">
        <v>2.9477224392897769E-5</v>
      </c>
      <c r="J148" s="100">
        <v>2.9477224392897769E-5</v>
      </c>
      <c r="K148" s="101">
        <v>0</v>
      </c>
      <c r="L148" s="101">
        <v>0</v>
      </c>
      <c r="M148" s="101">
        <v>0</v>
      </c>
      <c r="N148" s="101">
        <v>0</v>
      </c>
      <c r="O148" s="379">
        <v>0</v>
      </c>
      <c r="Q148"/>
      <c r="R148"/>
      <c r="S148"/>
    </row>
    <row r="149" spans="1:19" s="13" customFormat="1" x14ac:dyDescent="0.35">
      <c r="A149" t="s">
        <v>233</v>
      </c>
      <c r="B149" s="13" t="s">
        <v>239</v>
      </c>
      <c r="C149" s="13" t="s">
        <v>56</v>
      </c>
      <c r="D149" s="13" t="s">
        <v>228</v>
      </c>
      <c r="E149"/>
      <c r="F149"/>
      <c r="G149" s="48"/>
      <c r="H149" s="101">
        <v>0</v>
      </c>
      <c r="I149" s="100">
        <v>8.1093795177776388E-4</v>
      </c>
      <c r="J149" s="100">
        <v>8.1093795177776388E-4</v>
      </c>
      <c r="K149" s="101">
        <v>0</v>
      </c>
      <c r="L149" s="101">
        <v>0</v>
      </c>
      <c r="M149" s="101">
        <v>0</v>
      </c>
      <c r="N149" s="101">
        <v>0</v>
      </c>
      <c r="O149" s="379">
        <v>0</v>
      </c>
      <c r="Q149"/>
      <c r="R149"/>
      <c r="S149"/>
    </row>
    <row r="150" spans="1:19" s="13" customFormat="1" x14ac:dyDescent="0.35">
      <c r="A150" t="s">
        <v>101</v>
      </c>
      <c r="B150" s="13" t="s">
        <v>239</v>
      </c>
      <c r="C150" s="13" t="s">
        <v>103</v>
      </c>
      <c r="D150" s="13" t="s">
        <v>234</v>
      </c>
      <c r="E150"/>
      <c r="F150"/>
      <c r="G150" s="48"/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01">
        <v>0</v>
      </c>
      <c r="N150" s="101">
        <v>0</v>
      </c>
      <c r="O150" s="379">
        <v>0</v>
      </c>
      <c r="Q150"/>
      <c r="R150"/>
      <c r="S150"/>
    </row>
    <row r="151" spans="1:19" s="13" customFormat="1" x14ac:dyDescent="0.35">
      <c r="A151" t="s">
        <v>104</v>
      </c>
      <c r="B151" s="13" t="s">
        <v>239</v>
      </c>
      <c r="C151" s="13" t="s">
        <v>103</v>
      </c>
      <c r="D151" s="13" t="s">
        <v>235</v>
      </c>
      <c r="E151"/>
      <c r="F151"/>
      <c r="G151" s="48"/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01">
        <v>0</v>
      </c>
      <c r="N151" s="101">
        <v>0</v>
      </c>
      <c r="O151" s="379">
        <v>0</v>
      </c>
      <c r="Q151"/>
      <c r="R151"/>
      <c r="S151"/>
    </row>
    <row r="152" spans="1:19" s="13" customFormat="1" ht="15" thickBot="1" x14ac:dyDescent="0.4">
      <c r="A152" t="s">
        <v>106</v>
      </c>
      <c r="B152" s="13" t="s">
        <v>239</v>
      </c>
      <c r="C152" s="13" t="s">
        <v>103</v>
      </c>
      <c r="D152" s="13" t="s">
        <v>236</v>
      </c>
      <c r="E152"/>
      <c r="F152"/>
      <c r="G152" s="48"/>
      <c r="H152" s="87">
        <v>0</v>
      </c>
      <c r="I152" s="87">
        <v>0</v>
      </c>
      <c r="J152" s="87">
        <v>0</v>
      </c>
      <c r="K152" s="87">
        <v>0</v>
      </c>
      <c r="L152" s="87">
        <v>0</v>
      </c>
      <c r="M152" s="87">
        <v>0</v>
      </c>
      <c r="N152" s="87">
        <v>0</v>
      </c>
      <c r="O152" s="380">
        <v>0</v>
      </c>
      <c r="Q152"/>
      <c r="R152"/>
      <c r="S152"/>
    </row>
    <row r="153" spans="1:19" s="13" customFormat="1" x14ac:dyDescent="0.35">
      <c r="A153" t="s">
        <v>218</v>
      </c>
      <c r="B153" s="13" t="s">
        <v>240</v>
      </c>
      <c r="C153" s="13" t="s">
        <v>56</v>
      </c>
      <c r="D153" s="13" t="s">
        <v>219</v>
      </c>
      <c r="E153"/>
      <c r="F153"/>
      <c r="G153" s="48"/>
      <c r="H153" s="101">
        <v>0</v>
      </c>
      <c r="I153" s="100">
        <v>0.13886309499777949</v>
      </c>
      <c r="J153" s="100">
        <v>0.13886309499777949</v>
      </c>
      <c r="K153" s="101">
        <v>0</v>
      </c>
      <c r="L153" s="101">
        <v>0</v>
      </c>
      <c r="M153" s="101">
        <v>0</v>
      </c>
      <c r="N153" s="101">
        <v>0</v>
      </c>
      <c r="O153" s="379">
        <v>0</v>
      </c>
      <c r="Q153"/>
      <c r="R153"/>
      <c r="S153"/>
    </row>
    <row r="154" spans="1:19" s="13" customFormat="1" x14ac:dyDescent="0.35">
      <c r="A154" s="12" t="s">
        <v>220</v>
      </c>
      <c r="B154" s="13" t="s">
        <v>240</v>
      </c>
      <c r="C154" s="13" t="s">
        <v>56</v>
      </c>
      <c r="D154" s="13" t="s">
        <v>221</v>
      </c>
      <c r="E154"/>
      <c r="F154"/>
      <c r="G154" s="48"/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s="101">
        <v>0</v>
      </c>
      <c r="N154" s="101">
        <v>0</v>
      </c>
      <c r="O154" s="379">
        <v>0</v>
      </c>
      <c r="Q154"/>
      <c r="R154"/>
      <c r="S154"/>
    </row>
    <row r="155" spans="1:19" s="13" customFormat="1" x14ac:dyDescent="0.35">
      <c r="A155" t="s">
        <v>222</v>
      </c>
      <c r="B155" s="13" t="s">
        <v>240</v>
      </c>
      <c r="C155" s="13" t="s">
        <v>56</v>
      </c>
      <c r="D155" s="13" t="s">
        <v>223</v>
      </c>
      <c r="E155"/>
      <c r="F155"/>
      <c r="G155" s="48"/>
      <c r="H155" s="101">
        <v>0</v>
      </c>
      <c r="I155" s="100">
        <v>9.2968907089085616E-5</v>
      </c>
      <c r="J155" s="100">
        <v>9.2968907089085616E-5</v>
      </c>
      <c r="K155" s="101">
        <v>0</v>
      </c>
      <c r="L155" s="101">
        <v>0</v>
      </c>
      <c r="M155" s="101">
        <v>0</v>
      </c>
      <c r="N155" s="101">
        <v>0</v>
      </c>
      <c r="O155" s="379">
        <v>0</v>
      </c>
      <c r="Q155"/>
      <c r="R155"/>
      <c r="S155"/>
    </row>
    <row r="156" spans="1:19" s="13" customFormat="1" x14ac:dyDescent="0.35">
      <c r="A156" t="s">
        <v>224</v>
      </c>
      <c r="B156" s="13" t="s">
        <v>240</v>
      </c>
      <c r="C156" s="13" t="s">
        <v>56</v>
      </c>
      <c r="D156" s="13" t="s">
        <v>225</v>
      </c>
      <c r="E156"/>
      <c r="F156"/>
      <c r="G156" s="48"/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s="101">
        <v>0</v>
      </c>
      <c r="N156" s="101">
        <v>0</v>
      </c>
      <c r="O156" s="379">
        <v>0</v>
      </c>
      <c r="Q156"/>
      <c r="R156"/>
      <c r="S156"/>
    </row>
    <row r="157" spans="1:19" s="13" customFormat="1" x14ac:dyDescent="0.35">
      <c r="A157" t="s">
        <v>226</v>
      </c>
      <c r="B157" s="13" t="s">
        <v>240</v>
      </c>
      <c r="C157" s="13" t="s">
        <v>56</v>
      </c>
      <c r="D157" s="13" t="s">
        <v>227</v>
      </c>
      <c r="E157"/>
      <c r="F157"/>
      <c r="G157" s="48"/>
      <c r="H157" s="100">
        <v>2.8885571737041122E-3</v>
      </c>
      <c r="I157" s="100">
        <v>1.1251392039595793E-3</v>
      </c>
      <c r="J157" s="100">
        <v>1.1251392039595793E-3</v>
      </c>
      <c r="K157" s="100">
        <v>5.9963902402539811E-4</v>
      </c>
      <c r="L157" s="100">
        <v>5.9963902402539811E-4</v>
      </c>
      <c r="M157" s="101">
        <v>0</v>
      </c>
      <c r="N157" s="101">
        <v>0</v>
      </c>
      <c r="O157" s="379">
        <v>0</v>
      </c>
      <c r="Q157"/>
      <c r="R157"/>
      <c r="S157"/>
    </row>
    <row r="158" spans="1:19" s="13" customFormat="1" x14ac:dyDescent="0.35">
      <c r="A158" t="s">
        <v>83</v>
      </c>
      <c r="B158" s="13" t="s">
        <v>240</v>
      </c>
      <c r="C158" s="13" t="s">
        <v>56</v>
      </c>
      <c r="D158" s="13" t="s">
        <v>228</v>
      </c>
      <c r="E158"/>
      <c r="F158"/>
      <c r="G158" s="48"/>
      <c r="H158" s="101">
        <v>0</v>
      </c>
      <c r="I158" s="101">
        <v>0</v>
      </c>
      <c r="J158" s="101">
        <v>0</v>
      </c>
      <c r="K158" s="100">
        <v>7.0614092017150581E-3</v>
      </c>
      <c r="L158" s="100">
        <v>7.0614092017150581E-3</v>
      </c>
      <c r="M158" s="101">
        <v>0</v>
      </c>
      <c r="N158" s="101">
        <v>0</v>
      </c>
      <c r="O158" s="379">
        <v>0</v>
      </c>
      <c r="Q158"/>
      <c r="R158"/>
      <c r="S158"/>
    </row>
    <row r="159" spans="1:19" s="13" customFormat="1" x14ac:dyDescent="0.35">
      <c r="A159" t="s">
        <v>229</v>
      </c>
      <c r="B159" s="13" t="s">
        <v>240</v>
      </c>
      <c r="C159" s="13" t="s">
        <v>56</v>
      </c>
      <c r="D159" s="13" t="s">
        <v>230</v>
      </c>
      <c r="E159"/>
      <c r="F159"/>
      <c r="G159" s="48"/>
      <c r="H159" s="101">
        <v>0</v>
      </c>
      <c r="I159" s="100">
        <v>5.0048817841215026E-7</v>
      </c>
      <c r="J159" s="100">
        <v>5.0048817841215026E-7</v>
      </c>
      <c r="K159" s="101">
        <v>0</v>
      </c>
      <c r="L159" s="101">
        <v>0</v>
      </c>
      <c r="M159" s="101">
        <v>0</v>
      </c>
      <c r="N159" s="101">
        <v>0</v>
      </c>
      <c r="O159" s="379">
        <v>0</v>
      </c>
      <c r="Q159"/>
      <c r="R159"/>
      <c r="S159"/>
    </row>
    <row r="160" spans="1:19" s="13" customFormat="1" x14ac:dyDescent="0.35">
      <c r="A160" t="s">
        <v>231</v>
      </c>
      <c r="B160" s="13" t="s">
        <v>240</v>
      </c>
      <c r="C160" s="13" t="s">
        <v>56</v>
      </c>
      <c r="D160" s="13" t="s">
        <v>232</v>
      </c>
      <c r="E160"/>
      <c r="F160"/>
      <c r="G160" s="48"/>
      <c r="H160" s="101">
        <v>0</v>
      </c>
      <c r="I160" s="100">
        <v>6.1170186458281818E-4</v>
      </c>
      <c r="J160" s="100">
        <v>6.1170186458281818E-4</v>
      </c>
      <c r="K160" s="101">
        <v>0</v>
      </c>
      <c r="L160" s="101">
        <v>0</v>
      </c>
      <c r="M160" s="101">
        <v>0</v>
      </c>
      <c r="N160" s="101">
        <v>0</v>
      </c>
      <c r="O160" s="379">
        <v>0</v>
      </c>
      <c r="Q160"/>
      <c r="R160"/>
      <c r="S160"/>
    </row>
    <row r="161" spans="1:19" s="13" customFormat="1" x14ac:dyDescent="0.35">
      <c r="A161" t="s">
        <v>233</v>
      </c>
      <c r="B161" s="13" t="s">
        <v>240</v>
      </c>
      <c r="C161" s="13" t="s">
        <v>56</v>
      </c>
      <c r="D161" s="13" t="s">
        <v>228</v>
      </c>
      <c r="E161"/>
      <c r="F161"/>
      <c r="G161" s="48"/>
      <c r="H161" s="101">
        <v>0</v>
      </c>
      <c r="I161" s="101">
        <v>0</v>
      </c>
      <c r="J161" s="101">
        <v>0</v>
      </c>
      <c r="K161" s="101">
        <v>0</v>
      </c>
      <c r="L161" s="101">
        <v>0</v>
      </c>
      <c r="M161" s="101">
        <v>0</v>
      </c>
      <c r="N161" s="101">
        <v>0</v>
      </c>
      <c r="O161" s="379">
        <v>0</v>
      </c>
      <c r="Q161"/>
      <c r="R161"/>
      <c r="S161"/>
    </row>
    <row r="162" spans="1:19" s="13" customFormat="1" x14ac:dyDescent="0.35">
      <c r="A162" t="s">
        <v>101</v>
      </c>
      <c r="B162" s="13" t="s">
        <v>240</v>
      </c>
      <c r="C162" s="13" t="s">
        <v>103</v>
      </c>
      <c r="D162" s="13" t="s">
        <v>234</v>
      </c>
      <c r="E162"/>
      <c r="F162"/>
      <c r="G162" s="48"/>
      <c r="H162" s="101">
        <v>0</v>
      </c>
      <c r="I162" s="101">
        <v>0</v>
      </c>
      <c r="J162" s="101">
        <v>0</v>
      </c>
      <c r="K162" s="101">
        <v>0</v>
      </c>
      <c r="L162" s="101">
        <v>0</v>
      </c>
      <c r="M162" s="101">
        <v>0</v>
      </c>
      <c r="N162" s="101">
        <v>0</v>
      </c>
      <c r="O162" s="379">
        <v>0</v>
      </c>
      <c r="Q162"/>
      <c r="R162"/>
      <c r="S162"/>
    </row>
    <row r="163" spans="1:19" s="13" customFormat="1" x14ac:dyDescent="0.35">
      <c r="A163" t="s">
        <v>104</v>
      </c>
      <c r="B163" s="13" t="s">
        <v>240</v>
      </c>
      <c r="C163" s="13" t="s">
        <v>103</v>
      </c>
      <c r="D163" s="13" t="s">
        <v>235</v>
      </c>
      <c r="E163"/>
      <c r="F163"/>
      <c r="G163" s="48"/>
      <c r="H163" s="101">
        <v>0</v>
      </c>
      <c r="I163" s="101">
        <v>0</v>
      </c>
      <c r="J163" s="101">
        <v>0</v>
      </c>
      <c r="K163" s="101">
        <v>0</v>
      </c>
      <c r="L163" s="101">
        <v>0</v>
      </c>
      <c r="M163" s="101">
        <v>0</v>
      </c>
      <c r="N163" s="101">
        <v>0</v>
      </c>
      <c r="O163" s="379">
        <v>0</v>
      </c>
      <c r="Q163"/>
      <c r="R163"/>
      <c r="S163"/>
    </row>
    <row r="164" spans="1:19" s="13" customFormat="1" ht="15" thickBot="1" x14ac:dyDescent="0.4">
      <c r="A164" t="s">
        <v>106</v>
      </c>
      <c r="B164" s="13" t="s">
        <v>240</v>
      </c>
      <c r="C164" s="13" t="s">
        <v>103</v>
      </c>
      <c r="D164" s="13" t="s">
        <v>236</v>
      </c>
      <c r="E164"/>
      <c r="F164"/>
      <c r="G164" s="48"/>
      <c r="H164" s="87">
        <v>0</v>
      </c>
      <c r="I164" s="87">
        <v>0</v>
      </c>
      <c r="J164" s="87">
        <v>0</v>
      </c>
      <c r="K164" s="87">
        <v>0</v>
      </c>
      <c r="L164" s="87">
        <v>0</v>
      </c>
      <c r="M164" s="87">
        <v>0</v>
      </c>
      <c r="N164" s="87">
        <v>0</v>
      </c>
      <c r="O164" s="380">
        <v>0</v>
      </c>
      <c r="Q164"/>
      <c r="R164"/>
      <c r="S164"/>
    </row>
    <row r="165" spans="1:19" s="13" customFormat="1" x14ac:dyDescent="0.35">
      <c r="A165" t="s">
        <v>218</v>
      </c>
      <c r="B165" s="13" t="s">
        <v>241</v>
      </c>
      <c r="C165" s="13" t="s">
        <v>56</v>
      </c>
      <c r="D165" s="13" t="s">
        <v>219</v>
      </c>
      <c r="E165"/>
      <c r="F165"/>
      <c r="G165" s="48"/>
      <c r="H165" s="101">
        <v>0</v>
      </c>
      <c r="I165" s="100">
        <v>1.0000807460939076</v>
      </c>
      <c r="J165" s="100">
        <v>1.0000807460939076</v>
      </c>
      <c r="K165" s="101">
        <v>0</v>
      </c>
      <c r="L165" s="101">
        <v>0</v>
      </c>
      <c r="M165" s="101">
        <v>0</v>
      </c>
      <c r="N165" s="101">
        <v>0</v>
      </c>
      <c r="O165" s="379">
        <v>0</v>
      </c>
      <c r="Q165"/>
      <c r="R165"/>
      <c r="S165"/>
    </row>
    <row r="166" spans="1:19" s="13" customFormat="1" x14ac:dyDescent="0.35">
      <c r="A166" s="12" t="s">
        <v>220</v>
      </c>
      <c r="B166" s="13" t="s">
        <v>241</v>
      </c>
      <c r="C166" s="13" t="s">
        <v>56</v>
      </c>
      <c r="D166" s="13" t="s">
        <v>221</v>
      </c>
      <c r="E166"/>
      <c r="F166"/>
      <c r="G166" s="48"/>
      <c r="H166" s="101">
        <v>0</v>
      </c>
      <c r="I166" s="101">
        <v>0</v>
      </c>
      <c r="J166" s="101">
        <v>0</v>
      </c>
      <c r="K166" s="101">
        <v>0</v>
      </c>
      <c r="L166" s="101">
        <v>0</v>
      </c>
      <c r="M166" s="101">
        <v>0</v>
      </c>
      <c r="N166" s="101">
        <v>0</v>
      </c>
      <c r="O166" s="379">
        <v>0</v>
      </c>
      <c r="Q166"/>
      <c r="R166"/>
      <c r="S166"/>
    </row>
    <row r="167" spans="1:19" s="13" customFormat="1" x14ac:dyDescent="0.35">
      <c r="A167" t="s">
        <v>222</v>
      </c>
      <c r="B167" s="13" t="s">
        <v>241</v>
      </c>
      <c r="C167" s="13" t="s">
        <v>56</v>
      </c>
      <c r="D167" s="13" t="s">
        <v>223</v>
      </c>
      <c r="E167"/>
      <c r="F167"/>
      <c r="G167" s="48"/>
      <c r="H167" s="101">
        <v>0</v>
      </c>
      <c r="I167" s="100">
        <v>3.7052409430862396E-4</v>
      </c>
      <c r="J167" s="100">
        <v>3.7052409430862396E-4</v>
      </c>
      <c r="K167" s="101">
        <v>0</v>
      </c>
      <c r="L167" s="101">
        <v>0</v>
      </c>
      <c r="M167" s="101">
        <v>0</v>
      </c>
      <c r="N167" s="101">
        <v>0</v>
      </c>
      <c r="O167" s="379">
        <v>0</v>
      </c>
      <c r="Q167"/>
      <c r="R167"/>
      <c r="S167"/>
    </row>
    <row r="168" spans="1:19" s="13" customFormat="1" x14ac:dyDescent="0.35">
      <c r="A168" t="s">
        <v>224</v>
      </c>
      <c r="B168" s="13" t="s">
        <v>241</v>
      </c>
      <c r="C168" s="13" t="s">
        <v>56</v>
      </c>
      <c r="D168" s="13" t="s">
        <v>225</v>
      </c>
      <c r="E168"/>
      <c r="F168"/>
      <c r="G168" s="48"/>
      <c r="H168" s="101">
        <v>0</v>
      </c>
      <c r="I168" s="100">
        <v>5.8414042458127093E-3</v>
      </c>
      <c r="J168" s="100">
        <v>5.8414042458127093E-3</v>
      </c>
      <c r="K168" s="101">
        <v>0</v>
      </c>
      <c r="L168" s="101">
        <v>0</v>
      </c>
      <c r="M168" s="101">
        <v>0</v>
      </c>
      <c r="N168" s="101">
        <v>0</v>
      </c>
      <c r="O168" s="379">
        <v>0</v>
      </c>
      <c r="Q168"/>
      <c r="R168"/>
      <c r="S168"/>
    </row>
    <row r="169" spans="1:19" s="13" customFormat="1" x14ac:dyDescent="0.35">
      <c r="A169" t="s">
        <v>226</v>
      </c>
      <c r="B169" s="13" t="s">
        <v>241</v>
      </c>
      <c r="C169" s="13" t="s">
        <v>56</v>
      </c>
      <c r="D169" s="13" t="s">
        <v>227</v>
      </c>
      <c r="E169"/>
      <c r="F169"/>
      <c r="G169" s="48"/>
      <c r="H169" s="100">
        <v>1.1972685102906883E-2</v>
      </c>
      <c r="I169" s="100">
        <v>5.0319447308723453E-3</v>
      </c>
      <c r="J169" s="100">
        <v>5.0319447308723453E-3</v>
      </c>
      <c r="K169" s="100">
        <v>2.4854239602480213E-3</v>
      </c>
      <c r="L169" s="100">
        <v>2.4854239602480213E-3</v>
      </c>
      <c r="M169" s="101">
        <v>0</v>
      </c>
      <c r="N169" s="101">
        <v>0</v>
      </c>
      <c r="O169" s="379">
        <v>0</v>
      </c>
      <c r="Q169"/>
      <c r="R169"/>
      <c r="S169"/>
    </row>
    <row r="170" spans="1:19" s="13" customFormat="1" x14ac:dyDescent="0.35">
      <c r="A170" t="s">
        <v>83</v>
      </c>
      <c r="B170" s="13" t="s">
        <v>241</v>
      </c>
      <c r="C170" s="13" t="s">
        <v>56</v>
      </c>
      <c r="D170" s="13" t="s">
        <v>228</v>
      </c>
      <c r="E170"/>
      <c r="F170"/>
      <c r="G170" s="48"/>
      <c r="H170" s="101">
        <v>0</v>
      </c>
      <c r="I170" s="101">
        <v>0</v>
      </c>
      <c r="J170" s="101">
        <v>0</v>
      </c>
      <c r="K170" s="100">
        <v>3.1580644155014347E-2</v>
      </c>
      <c r="L170" s="100">
        <v>3.1580644155014347E-2</v>
      </c>
      <c r="M170" s="101">
        <v>0</v>
      </c>
      <c r="N170" s="101">
        <v>0</v>
      </c>
      <c r="O170" s="379">
        <v>0</v>
      </c>
      <c r="Q170"/>
      <c r="R170"/>
      <c r="S170"/>
    </row>
    <row r="171" spans="1:19" s="13" customFormat="1" x14ac:dyDescent="0.35">
      <c r="A171" t="s">
        <v>229</v>
      </c>
      <c r="B171" s="13" t="s">
        <v>241</v>
      </c>
      <c r="C171" s="13" t="s">
        <v>56</v>
      </c>
      <c r="D171" s="13" t="s">
        <v>230</v>
      </c>
      <c r="E171"/>
      <c r="F171"/>
      <c r="G171" s="48"/>
      <c r="H171" s="101">
        <v>0</v>
      </c>
      <c r="I171" s="100">
        <v>4.336096678710085E-4</v>
      </c>
      <c r="J171" s="100">
        <v>4.336096678710085E-4</v>
      </c>
      <c r="K171" s="101">
        <v>0</v>
      </c>
      <c r="L171" s="101">
        <v>0</v>
      </c>
      <c r="M171" s="101">
        <v>0</v>
      </c>
      <c r="N171" s="101">
        <v>0</v>
      </c>
      <c r="O171" s="379">
        <v>0</v>
      </c>
      <c r="Q171"/>
      <c r="R171"/>
      <c r="S171"/>
    </row>
    <row r="172" spans="1:19" s="13" customFormat="1" x14ac:dyDescent="0.35">
      <c r="A172" t="s">
        <v>231</v>
      </c>
      <c r="B172" s="13" t="s">
        <v>241</v>
      </c>
      <c r="C172" s="13" t="s">
        <v>56</v>
      </c>
      <c r="D172" s="13" t="s">
        <v>232</v>
      </c>
      <c r="E172"/>
      <c r="F172"/>
      <c r="G172" s="48"/>
      <c r="H172" s="101">
        <v>0</v>
      </c>
      <c r="I172" s="100">
        <v>2.1307680894208417E-3</v>
      </c>
      <c r="J172" s="100">
        <v>2.1307680894208417E-3</v>
      </c>
      <c r="K172" s="101">
        <v>0</v>
      </c>
      <c r="L172" s="101">
        <v>0</v>
      </c>
      <c r="M172" s="101">
        <v>0</v>
      </c>
      <c r="N172" s="101">
        <v>0</v>
      </c>
      <c r="O172" s="379">
        <v>0</v>
      </c>
      <c r="Q172"/>
      <c r="R172"/>
      <c r="S172"/>
    </row>
    <row r="173" spans="1:19" s="13" customFormat="1" x14ac:dyDescent="0.35">
      <c r="A173" t="s">
        <v>233</v>
      </c>
      <c r="B173" s="13" t="s">
        <v>241</v>
      </c>
      <c r="C173" s="13" t="s">
        <v>56</v>
      </c>
      <c r="D173" s="13" t="s">
        <v>228</v>
      </c>
      <c r="E173"/>
      <c r="F173"/>
      <c r="G173" s="48"/>
      <c r="H173" s="101">
        <v>0</v>
      </c>
      <c r="I173" s="100">
        <v>4.3855511603587784E-2</v>
      </c>
      <c r="J173" s="100">
        <v>4.3855511603587784E-2</v>
      </c>
      <c r="K173" s="101">
        <v>0</v>
      </c>
      <c r="L173" s="101">
        <v>0</v>
      </c>
      <c r="M173" s="101">
        <v>0</v>
      </c>
      <c r="N173" s="101">
        <v>0</v>
      </c>
      <c r="O173" s="379">
        <v>0</v>
      </c>
      <c r="Q173"/>
      <c r="R173"/>
      <c r="S173"/>
    </row>
    <row r="174" spans="1:19" s="13" customFormat="1" x14ac:dyDescent="0.35">
      <c r="A174" t="s">
        <v>101</v>
      </c>
      <c r="B174" s="13" t="s">
        <v>241</v>
      </c>
      <c r="C174" s="13" t="s">
        <v>103</v>
      </c>
      <c r="D174" s="13" t="s">
        <v>234</v>
      </c>
      <c r="E174"/>
      <c r="F174"/>
      <c r="G174" s="48"/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01">
        <v>0</v>
      </c>
      <c r="N174" s="101">
        <v>0</v>
      </c>
      <c r="O174" s="379">
        <v>0</v>
      </c>
      <c r="Q174"/>
      <c r="R174"/>
      <c r="S174"/>
    </row>
    <row r="175" spans="1:19" s="13" customFormat="1" x14ac:dyDescent="0.35">
      <c r="A175" t="s">
        <v>104</v>
      </c>
      <c r="B175" s="13" t="s">
        <v>241</v>
      </c>
      <c r="C175" s="13" t="s">
        <v>103</v>
      </c>
      <c r="D175" s="13" t="s">
        <v>235</v>
      </c>
      <c r="E175"/>
      <c r="F175"/>
      <c r="G175" s="48"/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01">
        <v>0</v>
      </c>
      <c r="N175" s="101">
        <v>0</v>
      </c>
      <c r="O175" s="379">
        <v>0</v>
      </c>
      <c r="Q175"/>
      <c r="R175"/>
      <c r="S175"/>
    </row>
    <row r="176" spans="1:19" s="13" customFormat="1" ht="15" thickBot="1" x14ac:dyDescent="0.4">
      <c r="A176" t="s">
        <v>106</v>
      </c>
      <c r="B176" s="13" t="s">
        <v>241</v>
      </c>
      <c r="C176" s="13" t="s">
        <v>103</v>
      </c>
      <c r="D176" s="13" t="s">
        <v>236</v>
      </c>
      <c r="E176"/>
      <c r="F176"/>
      <c r="G176" s="48"/>
      <c r="H176" s="87">
        <v>0</v>
      </c>
      <c r="I176" s="87">
        <v>0</v>
      </c>
      <c r="J176" s="87">
        <v>0</v>
      </c>
      <c r="K176" s="87">
        <v>0</v>
      </c>
      <c r="L176" s="87">
        <v>0</v>
      </c>
      <c r="M176" s="87">
        <v>0</v>
      </c>
      <c r="N176" s="87">
        <v>0</v>
      </c>
      <c r="O176" s="380">
        <v>0</v>
      </c>
      <c r="Q176"/>
      <c r="R176"/>
      <c r="S176"/>
    </row>
    <row r="177" spans="1:19" s="13" customFormat="1" x14ac:dyDescent="0.35">
      <c r="A177" t="s">
        <v>45</v>
      </c>
      <c r="B177" s="13" t="s">
        <v>29</v>
      </c>
      <c r="C177" s="13" t="s">
        <v>56</v>
      </c>
      <c r="D177" s="13" t="s">
        <v>45</v>
      </c>
      <c r="E177"/>
      <c r="F177"/>
      <c r="G177" s="48"/>
      <c r="H177" s="369" cm="1">
        <f t="array" ref="H177:O177">MMULT(H87:O87,MINVERSE(_xlfn.MUNIT(8)*R7:R14))</f>
        <v>-5.2256119372476872E-2</v>
      </c>
      <c r="I177" s="208">
        <v>0.04</v>
      </c>
      <c r="J177" s="208">
        <v>0.04</v>
      </c>
      <c r="K177" s="369">
        <v>-0.26400000000000001</v>
      </c>
      <c r="L177" s="369">
        <v>-0.8528</v>
      </c>
      <c r="M177" s="369">
        <v>-0.8</v>
      </c>
      <c r="N177" s="102">
        <v>0</v>
      </c>
      <c r="O177" s="381">
        <v>0</v>
      </c>
      <c r="Q177"/>
      <c r="R177"/>
      <c r="S177"/>
    </row>
    <row r="181" spans="1:19" s="13" customFormat="1" x14ac:dyDescent="0.35">
      <c r="A181"/>
      <c r="E181"/>
      <c r="F181"/>
      <c r="G181" s="48"/>
      <c r="H181"/>
      <c r="I181"/>
      <c r="J181"/>
      <c r="K181"/>
      <c r="L181"/>
      <c r="M181"/>
      <c r="N181"/>
      <c r="O181" s="48"/>
      <c r="Q181"/>
      <c r="R181"/>
      <c r="S181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DC31-E369-4FAD-BA01-9783DDE71D2F}">
  <dimension ref="A1:CH299"/>
  <sheetViews>
    <sheetView zoomScale="59" zoomScaleNormal="59" workbookViewId="0">
      <pane xSplit="4" ySplit="3" topLeftCell="W4" activePane="bottomRight" state="frozen"/>
      <selection pane="topRight" activeCell="D1" sqref="D1"/>
      <selection pane="bottomLeft" activeCell="A3" sqref="A3"/>
      <selection pane="bottomRight" activeCell="Y5" sqref="Y5"/>
    </sheetView>
  </sheetViews>
  <sheetFormatPr defaultRowHeight="14.5" x14ac:dyDescent="0.35"/>
  <cols>
    <col min="1" max="1" width="41.7265625" bestFit="1" customWidth="1"/>
    <col min="2" max="2" width="9.81640625" style="13" customWidth="1"/>
    <col min="3" max="4" width="8.7265625" style="13"/>
    <col min="5" max="5" width="10.453125" customWidth="1"/>
    <col min="6" max="6" width="13.453125" bestFit="1" customWidth="1"/>
    <col min="7" max="7" width="12.453125" bestFit="1" customWidth="1"/>
    <col min="8" max="8" width="9" bestFit="1" customWidth="1"/>
    <col min="9" max="9" width="8.81640625" customWidth="1"/>
    <col min="10" max="10" width="8.54296875" customWidth="1"/>
    <col min="11" max="11" width="12.453125" bestFit="1" customWidth="1"/>
    <col min="12" max="12" width="8.7265625" style="13"/>
    <col min="14" max="14" width="13.81640625" customWidth="1"/>
    <col min="15" max="15" width="12.1796875" customWidth="1"/>
    <col min="17" max="17" width="10.81640625" style="13" customWidth="1"/>
    <col min="18" max="18" width="12.1796875" customWidth="1"/>
    <col min="22" max="22" width="8.7265625" style="48" customWidth="1"/>
    <col min="23" max="24" width="13.453125" bestFit="1" customWidth="1"/>
    <col min="25" max="26" width="13" bestFit="1" customWidth="1"/>
    <col min="27" max="29" width="13" customWidth="1"/>
    <col min="59" max="59" width="12.453125" customWidth="1"/>
    <col min="60" max="60" width="12.453125" bestFit="1" customWidth="1"/>
    <col min="61" max="66" width="12.453125" customWidth="1"/>
    <col min="67" max="69" width="12.453125" bestFit="1" customWidth="1"/>
    <col min="70" max="75" width="12.453125" customWidth="1"/>
    <col min="76" max="76" width="12.453125" bestFit="1" customWidth="1"/>
    <col min="77" max="77" width="13.453125" style="13" bestFit="1" customWidth="1"/>
    <col min="78" max="82" width="12.453125" style="13" bestFit="1" customWidth="1"/>
    <col min="84" max="84" width="9.54296875" customWidth="1"/>
    <col min="86" max="86" width="8.7265625" style="13"/>
  </cols>
  <sheetData>
    <row r="1" spans="1:86" s="13" customFormat="1" x14ac:dyDescent="0.35">
      <c r="A1" s="254" t="s">
        <v>189</v>
      </c>
      <c r="D1" s="7" t="s">
        <v>190</v>
      </c>
      <c r="E1" s="13" t="str" cm="1">
        <f t="array" ref="E1:BX1">TRANSPOSE(D4:D75)</f>
        <v>ST</v>
      </c>
      <c r="F1" s="13" t="str">
        <v>SR_H2</v>
      </c>
      <c r="G1" s="13" t="str">
        <v>ELE_H2</v>
      </c>
      <c r="H1" s="13" t="str">
        <v>ST</v>
      </c>
      <c r="I1" s="13" t="str">
        <v>SR_H2</v>
      </c>
      <c r="J1" s="13" t="str">
        <v>ELE_H2</v>
      </c>
      <c r="K1" s="13" t="str">
        <v>ST</v>
      </c>
      <c r="L1" s="13" t="str">
        <v>SR_H2</v>
      </c>
      <c r="M1" s="13" t="str">
        <v>ELE_H2</v>
      </c>
      <c r="N1" s="13" t="str">
        <v>ST</v>
      </c>
      <c r="O1" s="13" t="str">
        <v>SR_H2</v>
      </c>
      <c r="P1" s="13" t="str">
        <v>ELE_H2</v>
      </c>
      <c r="Q1" s="13" t="str">
        <v>ST</v>
      </c>
      <c r="R1" s="13" t="str">
        <v>SR_H2</v>
      </c>
      <c r="S1" s="13" t="str">
        <v>ELE_H2</v>
      </c>
      <c r="T1" s="13" t="str">
        <v>ST</v>
      </c>
      <c r="U1" s="13" t="str">
        <v>SR_H2</v>
      </c>
      <c r="V1" s="47" t="str">
        <v>ELE_H2</v>
      </c>
      <c r="W1" s="13" t="str">
        <v>M_ST</v>
      </c>
      <c r="X1" s="13" t="str">
        <v>H2BF_ST</v>
      </c>
      <c r="Y1" s="13" t="str">
        <v>NG_ST</v>
      </c>
      <c r="Z1" s="13" t="str">
        <v>H2_ST</v>
      </c>
      <c r="AA1" s="13" t="str">
        <v>CH_ST</v>
      </c>
      <c r="AB1" s="13" t="str">
        <v>CH_CC_ST</v>
      </c>
      <c r="AC1" s="13" t="str">
        <v>CC_ST</v>
      </c>
      <c r="AD1" s="13" t="str">
        <v>SR_H2_P</v>
      </c>
      <c r="AE1" s="13" t="str">
        <v>ELE_H2_P</v>
      </c>
      <c r="AF1" s="13" t="str">
        <v>M_ST</v>
      </c>
      <c r="AG1" s="13" t="str">
        <v>H2BF_ST</v>
      </c>
      <c r="AH1" s="13" t="str">
        <v>NG_ST</v>
      </c>
      <c r="AI1" s="13" t="str">
        <v>H2_ST</v>
      </c>
      <c r="AJ1" s="13" t="str">
        <v>CH_ST</v>
      </c>
      <c r="AK1" s="13" t="str">
        <v>CH_CC_ST</v>
      </c>
      <c r="AL1" s="13" t="str">
        <v>CC_ST</v>
      </c>
      <c r="AM1" s="13" t="str">
        <v>SR_H2_P</v>
      </c>
      <c r="AN1" s="13" t="str">
        <v>ELE_H2_P</v>
      </c>
      <c r="AO1" s="13" t="str">
        <v>M_ST</v>
      </c>
      <c r="AP1" s="13" t="str">
        <v>H2BF_ST</v>
      </c>
      <c r="AQ1" s="13" t="str">
        <v>NG_ST</v>
      </c>
      <c r="AR1" s="13" t="str">
        <v>H2_ST</v>
      </c>
      <c r="AS1" s="13" t="str">
        <v>CH_ST</v>
      </c>
      <c r="AT1" s="13" t="str">
        <v>CH_CC_ST</v>
      </c>
      <c r="AU1" s="13" t="str">
        <v>CC_ST</v>
      </c>
      <c r="AV1" s="13" t="str">
        <v>SR_H2_P</v>
      </c>
      <c r="AW1" s="13" t="str">
        <v>ELE_H2_P</v>
      </c>
      <c r="AX1" s="13" t="str">
        <v>M_ST</v>
      </c>
      <c r="AY1" s="13" t="str">
        <v>H2BF_ST</v>
      </c>
      <c r="AZ1" s="13" t="str">
        <v>NG_ST</v>
      </c>
      <c r="BA1" s="13" t="str">
        <v>H2_ST</v>
      </c>
      <c r="BB1" s="13" t="str">
        <v>CH_ST</v>
      </c>
      <c r="BC1" s="13" t="str">
        <v>CH_CC_ST</v>
      </c>
      <c r="BD1" s="13" t="str">
        <v>CC_ST</v>
      </c>
      <c r="BE1" s="13" t="str">
        <v>SR_H2_P</v>
      </c>
      <c r="BF1" s="13" t="str">
        <v>ELE_H2_P</v>
      </c>
      <c r="BG1" s="13" t="str">
        <v>M_ST</v>
      </c>
      <c r="BH1" s="13" t="str">
        <v>H2BF_ST</v>
      </c>
      <c r="BI1" s="13" t="str">
        <v>NG_ST</v>
      </c>
      <c r="BJ1" s="13" t="str">
        <v>H2_ST</v>
      </c>
      <c r="BK1" s="13" t="str">
        <v>CH_ST</v>
      </c>
      <c r="BL1" s="13" t="str">
        <v>CH_CC_ST</v>
      </c>
      <c r="BM1" s="13" t="str">
        <v>CC_ST</v>
      </c>
      <c r="BN1" s="13" t="str">
        <v>SR_H2_P</v>
      </c>
      <c r="BO1" s="13" t="str">
        <v>ELE_H2_P</v>
      </c>
      <c r="BP1" s="13" t="str">
        <v>M_ST</v>
      </c>
      <c r="BQ1" s="13" t="str">
        <v>H2BF_ST</v>
      </c>
      <c r="BR1" s="13" t="str">
        <v>NG_ST</v>
      </c>
      <c r="BS1" s="13" t="str">
        <v>H2_ST</v>
      </c>
      <c r="BT1" s="13" t="str">
        <v>CH_ST</v>
      </c>
      <c r="BU1" s="13" t="str">
        <v>CH_CC_ST</v>
      </c>
      <c r="BV1" s="13" t="str">
        <v>CC_ST</v>
      </c>
      <c r="BW1" s="13" t="str">
        <v>SR_H2_P</v>
      </c>
      <c r="BX1" s="13" t="str">
        <v>ELE_H2_P</v>
      </c>
      <c r="BY1" s="13" t="s">
        <v>191</v>
      </c>
      <c r="BZ1" s="13" t="s">
        <v>191</v>
      </c>
      <c r="CA1" s="13" t="s">
        <v>191</v>
      </c>
      <c r="CB1" s="13" t="s">
        <v>191</v>
      </c>
      <c r="CC1" s="13" t="s">
        <v>191</v>
      </c>
      <c r="CD1" s="13" t="s">
        <v>191</v>
      </c>
    </row>
    <row r="2" spans="1:86" s="13" customFormat="1" x14ac:dyDescent="0.35">
      <c r="D2" s="7" t="s">
        <v>192</v>
      </c>
      <c r="E2" s="13" t="str" cm="1">
        <f t="array" ref="E2:BX2">TRANSPOSE(B4:B75)</f>
        <v>EU27</v>
      </c>
      <c r="F2" s="13" t="str">
        <v>EU27</v>
      </c>
      <c r="G2" s="13" t="str">
        <v>EU27</v>
      </c>
      <c r="H2" s="13" t="str">
        <v>China</v>
      </c>
      <c r="I2" s="13" t="str">
        <v>China</v>
      </c>
      <c r="J2" s="13" t="str">
        <v>China</v>
      </c>
      <c r="K2" s="13" t="str">
        <v>USA</v>
      </c>
      <c r="L2" s="13" t="str">
        <v>USA</v>
      </c>
      <c r="M2" s="13" t="str">
        <v>USA</v>
      </c>
      <c r="N2" s="13" t="str">
        <v>India</v>
      </c>
      <c r="O2" s="13" t="str">
        <v>India</v>
      </c>
      <c r="P2" s="13" t="str">
        <v>India</v>
      </c>
      <c r="Q2" s="13" t="str">
        <v>Russia</v>
      </c>
      <c r="R2" s="13" t="str">
        <v>Russia</v>
      </c>
      <c r="S2" s="13" t="str">
        <v>Russia</v>
      </c>
      <c r="T2" s="13" t="str">
        <v>RoW</v>
      </c>
      <c r="U2" s="13" t="str">
        <v>RoW</v>
      </c>
      <c r="V2" s="47" t="str">
        <v>RoW</v>
      </c>
      <c r="W2" s="13" t="str">
        <v>EU27</v>
      </c>
      <c r="X2" s="13" t="str">
        <v>EU27</v>
      </c>
      <c r="Y2" s="13" t="str">
        <v>EU27</v>
      </c>
      <c r="Z2" s="13" t="str">
        <v>EU27</v>
      </c>
      <c r="AA2" s="13" t="str">
        <v>EU27</v>
      </c>
      <c r="AB2" s="13" t="str">
        <v>EU27</v>
      </c>
      <c r="AC2" s="13" t="str">
        <v>EU27</v>
      </c>
      <c r="AD2" s="13" t="str">
        <v>EU27</v>
      </c>
      <c r="AE2" s="13" t="str">
        <v>EU27</v>
      </c>
      <c r="AF2" s="13" t="str">
        <v>China</v>
      </c>
      <c r="AG2" s="13" t="str">
        <v>China</v>
      </c>
      <c r="AH2" s="13" t="str">
        <v>China</v>
      </c>
      <c r="AI2" s="13" t="str">
        <v>China</v>
      </c>
      <c r="AJ2" s="13" t="str">
        <v>China</v>
      </c>
      <c r="AK2" s="13" t="str">
        <v>China</v>
      </c>
      <c r="AL2" s="13" t="str">
        <v>China</v>
      </c>
      <c r="AM2" s="13" t="str">
        <v>China</v>
      </c>
      <c r="AN2" s="13" t="str">
        <v>China</v>
      </c>
      <c r="AO2" s="13" t="str">
        <v>USA</v>
      </c>
      <c r="AP2" s="13" t="str">
        <v>USA</v>
      </c>
      <c r="AQ2" s="13" t="str">
        <v>USA</v>
      </c>
      <c r="AR2" s="13" t="str">
        <v>USA</v>
      </c>
      <c r="AS2" s="13" t="str">
        <v>USA</v>
      </c>
      <c r="AT2" s="13" t="str">
        <v>USA</v>
      </c>
      <c r="AU2" s="13" t="str">
        <v>USA</v>
      </c>
      <c r="AV2" s="13" t="str">
        <v>USA</v>
      </c>
      <c r="AW2" s="13" t="str">
        <v>USA</v>
      </c>
      <c r="AX2" s="13" t="str">
        <v>India</v>
      </c>
      <c r="AY2" s="13" t="str">
        <v>India</v>
      </c>
      <c r="AZ2" s="13" t="str">
        <v>India</v>
      </c>
      <c r="BA2" s="13" t="str">
        <v>India</v>
      </c>
      <c r="BB2" s="13" t="str">
        <v>India</v>
      </c>
      <c r="BC2" s="13" t="str">
        <v>India</v>
      </c>
      <c r="BD2" s="13" t="str">
        <v>India</v>
      </c>
      <c r="BE2" s="13" t="str">
        <v>India</v>
      </c>
      <c r="BF2" s="13" t="str">
        <v>India</v>
      </c>
      <c r="BG2" s="13" t="str">
        <v>Russia</v>
      </c>
      <c r="BH2" s="13" t="str">
        <v>Russia</v>
      </c>
      <c r="BI2" s="13" t="str">
        <v>Russia</v>
      </c>
      <c r="BJ2" s="13" t="str">
        <v>Russia</v>
      </c>
      <c r="BK2" s="13" t="str">
        <v>Russia</v>
      </c>
      <c r="BL2" s="13" t="str">
        <v>Russia</v>
      </c>
      <c r="BM2" s="13" t="str">
        <v>Russia</v>
      </c>
      <c r="BN2" s="13" t="str">
        <v>Russia</v>
      </c>
      <c r="BO2" s="13" t="str">
        <v>Russia</v>
      </c>
      <c r="BP2" s="13" t="str">
        <v>RoW</v>
      </c>
      <c r="BQ2" s="13" t="str">
        <v>RoW</v>
      </c>
      <c r="BR2" s="13" t="str">
        <v>RoW</v>
      </c>
      <c r="BS2" s="13" t="str">
        <v>RoW</v>
      </c>
      <c r="BT2" s="13" t="str">
        <v>RoW</v>
      </c>
      <c r="BU2" s="13" t="str">
        <v>RoW</v>
      </c>
      <c r="BV2" s="13" t="str">
        <v>RoW</v>
      </c>
      <c r="BW2" s="13" t="str">
        <v>RoW</v>
      </c>
      <c r="BX2" s="13" t="str">
        <v>RoW</v>
      </c>
      <c r="BY2" s="13" t="s">
        <v>29</v>
      </c>
      <c r="BZ2" s="13" t="s">
        <v>237</v>
      </c>
      <c r="CA2" s="13" t="s">
        <v>238</v>
      </c>
      <c r="CB2" s="13" t="s">
        <v>239</v>
      </c>
      <c r="CC2" s="13" t="s">
        <v>240</v>
      </c>
      <c r="CD2" s="13" t="s">
        <v>241</v>
      </c>
      <c r="CH2" s="13" t="s">
        <v>193</v>
      </c>
    </row>
    <row r="3" spans="1:86" ht="15" thickBot="1" x14ac:dyDescent="0.4">
      <c r="A3" s="6" t="s">
        <v>194</v>
      </c>
      <c r="B3" s="7" t="s">
        <v>192</v>
      </c>
      <c r="C3" s="7" t="s">
        <v>195</v>
      </c>
      <c r="K3" s="13"/>
      <c r="L3"/>
      <c r="N3" s="13"/>
    </row>
    <row r="4" spans="1:86" x14ac:dyDescent="0.35">
      <c r="A4" t="s">
        <v>196</v>
      </c>
      <c r="B4" s="13" t="s">
        <v>29</v>
      </c>
      <c r="C4" s="13" t="s">
        <v>56</v>
      </c>
      <c r="D4" s="13" t="s">
        <v>197</v>
      </c>
      <c r="K4" s="13"/>
      <c r="L4"/>
      <c r="N4" s="13"/>
      <c r="W4" s="92">
        <v>0</v>
      </c>
      <c r="X4" s="92">
        <v>0</v>
      </c>
      <c r="Y4" s="92">
        <v>0</v>
      </c>
      <c r="Z4" s="92">
        <v>0</v>
      </c>
      <c r="AA4" s="92">
        <v>0</v>
      </c>
      <c r="AB4" s="92">
        <v>0</v>
      </c>
      <c r="AC4" s="92">
        <v>0</v>
      </c>
      <c r="AD4" s="92">
        <v>0</v>
      </c>
      <c r="AE4" s="49">
        <v>0</v>
      </c>
      <c r="AF4" s="92">
        <v>0</v>
      </c>
      <c r="AG4" s="92">
        <v>0</v>
      </c>
      <c r="AH4" s="92">
        <v>0</v>
      </c>
      <c r="AI4" s="92">
        <v>0</v>
      </c>
      <c r="AJ4" s="92">
        <v>0</v>
      </c>
      <c r="AK4" s="92">
        <v>0</v>
      </c>
      <c r="AL4" s="92">
        <v>0</v>
      </c>
      <c r="AM4" s="92">
        <v>0</v>
      </c>
      <c r="AN4" s="49">
        <v>0</v>
      </c>
      <c r="AO4" s="92">
        <v>0</v>
      </c>
      <c r="AP4" s="92">
        <v>0</v>
      </c>
      <c r="AQ4" s="92">
        <v>0</v>
      </c>
      <c r="AR4" s="92">
        <v>0</v>
      </c>
      <c r="AS4" s="92">
        <v>0</v>
      </c>
      <c r="AT4" s="92">
        <v>0</v>
      </c>
      <c r="AU4" s="92">
        <v>0</v>
      </c>
      <c r="AV4" s="92">
        <v>0</v>
      </c>
      <c r="AW4" s="49">
        <v>0</v>
      </c>
      <c r="AX4" s="92">
        <v>0</v>
      </c>
      <c r="AY4" s="92">
        <v>0</v>
      </c>
      <c r="AZ4" s="92">
        <v>0</v>
      </c>
      <c r="BA4" s="92">
        <v>0</v>
      </c>
      <c r="BB4" s="92">
        <v>0</v>
      </c>
      <c r="BC4" s="92">
        <v>0</v>
      </c>
      <c r="BD4" s="92">
        <v>0</v>
      </c>
      <c r="BE4" s="92">
        <v>0</v>
      </c>
      <c r="BF4" s="49">
        <v>0</v>
      </c>
      <c r="BG4" s="92">
        <v>0</v>
      </c>
      <c r="BH4" s="92">
        <v>0</v>
      </c>
      <c r="BI4" s="92">
        <v>0</v>
      </c>
      <c r="BJ4" s="92">
        <v>0</v>
      </c>
      <c r="BK4" s="92">
        <v>0</v>
      </c>
      <c r="BL4" s="92">
        <v>0</v>
      </c>
      <c r="BM4" s="92">
        <v>0</v>
      </c>
      <c r="BN4" s="92">
        <v>0</v>
      </c>
      <c r="BO4" s="49">
        <v>0</v>
      </c>
      <c r="BP4" s="92">
        <v>0</v>
      </c>
      <c r="BQ4" s="92">
        <v>0</v>
      </c>
      <c r="BR4" s="92">
        <v>0</v>
      </c>
      <c r="BS4" s="92">
        <v>0</v>
      </c>
      <c r="BT4" s="92">
        <v>0</v>
      </c>
      <c r="BU4" s="92">
        <v>0</v>
      </c>
      <c r="BV4" s="92">
        <v>0</v>
      </c>
      <c r="BW4" s="92">
        <v>0</v>
      </c>
      <c r="BX4" s="92">
        <v>0</v>
      </c>
      <c r="BY4" s="115">
        <v>7</v>
      </c>
      <c r="BZ4" s="103">
        <v>0</v>
      </c>
      <c r="CA4" s="103">
        <v>0</v>
      </c>
      <c r="CB4" s="103">
        <v>0</v>
      </c>
      <c r="CC4" s="103">
        <v>0</v>
      </c>
      <c r="CD4" s="119">
        <v>0</v>
      </c>
      <c r="CF4" s="209">
        <f t="shared" ref="CF4:CF21" si="0">SUM(W4:CD4)</f>
        <v>7</v>
      </c>
      <c r="CH4" s="13" t="str" cm="1">
        <f t="array" ref="CH4:CH21">IF(CF4:CF21=TRANSPOSE(E150:V150),"ok","error")</f>
        <v>ok</v>
      </c>
    </row>
    <row r="5" spans="1:86" x14ac:dyDescent="0.35">
      <c r="A5" s="12" t="s">
        <v>198</v>
      </c>
      <c r="B5" s="13" t="s">
        <v>29</v>
      </c>
      <c r="C5" s="13" t="s">
        <v>53</v>
      </c>
      <c r="D5" s="13" t="s">
        <v>199</v>
      </c>
      <c r="K5" s="13"/>
      <c r="L5"/>
      <c r="N5" s="13"/>
      <c r="W5" s="92">
        <v>0</v>
      </c>
      <c r="X5" s="371" cm="1">
        <f t="array" ref="X5:X6">'Steel_BF-BOF with H2'!H37:H38</f>
        <v>1.8124436429215509</v>
      </c>
      <c r="Y5" s="92" cm="1">
        <f t="array" ref="Y5:Y6">'Steel_NG-DR'!H19:H20</f>
        <v>71.248513674197383</v>
      </c>
      <c r="Z5" s="92" cm="1">
        <f t="array" ref="Z5:Z6">'Steel_100%H2-DR'!H19:H20</f>
        <v>0</v>
      </c>
      <c r="AA5" s="92">
        <v>0</v>
      </c>
      <c r="AB5" s="92">
        <v>0</v>
      </c>
      <c r="AC5" s="92">
        <v>0</v>
      </c>
      <c r="AD5" s="92">
        <v>0</v>
      </c>
      <c r="AE5" s="49">
        <v>0</v>
      </c>
      <c r="AF5" s="92">
        <v>0</v>
      </c>
      <c r="AG5" s="92">
        <v>0</v>
      </c>
      <c r="AH5" s="92">
        <v>0</v>
      </c>
      <c r="AI5" s="92">
        <v>0</v>
      </c>
      <c r="AJ5" s="92">
        <v>0</v>
      </c>
      <c r="AK5" s="92">
        <v>0</v>
      </c>
      <c r="AL5" s="92">
        <v>0</v>
      </c>
      <c r="AM5" s="92">
        <v>0</v>
      </c>
      <c r="AN5" s="49">
        <v>0</v>
      </c>
      <c r="AO5" s="92">
        <v>0</v>
      </c>
      <c r="AP5" s="92">
        <v>0</v>
      </c>
      <c r="AQ5" s="92">
        <v>0</v>
      </c>
      <c r="AR5" s="92">
        <v>0</v>
      </c>
      <c r="AS5" s="92">
        <v>0</v>
      </c>
      <c r="AT5" s="92">
        <v>0</v>
      </c>
      <c r="AU5" s="92">
        <v>0</v>
      </c>
      <c r="AV5" s="92">
        <v>0</v>
      </c>
      <c r="AW5" s="49">
        <v>0</v>
      </c>
      <c r="AX5" s="92">
        <v>0</v>
      </c>
      <c r="AY5" s="92">
        <v>0</v>
      </c>
      <c r="AZ5" s="92">
        <v>0</v>
      </c>
      <c r="BA5" s="92">
        <v>0</v>
      </c>
      <c r="BB5" s="92">
        <v>0</v>
      </c>
      <c r="BC5" s="92">
        <v>0</v>
      </c>
      <c r="BD5" s="92">
        <v>0</v>
      </c>
      <c r="BE5" s="92">
        <v>0</v>
      </c>
      <c r="BF5" s="49">
        <v>0</v>
      </c>
      <c r="BG5" s="92">
        <v>0</v>
      </c>
      <c r="BH5" s="92">
        <v>0</v>
      </c>
      <c r="BI5" s="92">
        <v>0</v>
      </c>
      <c r="BJ5" s="92">
        <v>0</v>
      </c>
      <c r="BK5" s="92">
        <v>0</v>
      </c>
      <c r="BL5" s="92">
        <v>0</v>
      </c>
      <c r="BM5" s="92">
        <v>0</v>
      </c>
      <c r="BN5" s="92">
        <v>0</v>
      </c>
      <c r="BO5" s="49">
        <v>0</v>
      </c>
      <c r="BP5" s="92">
        <v>0</v>
      </c>
      <c r="BQ5" s="92">
        <v>0</v>
      </c>
      <c r="BR5" s="92">
        <v>0</v>
      </c>
      <c r="BS5" s="92">
        <v>0</v>
      </c>
      <c r="BT5" s="92">
        <v>0</v>
      </c>
      <c r="BU5" s="92">
        <v>0</v>
      </c>
      <c r="BV5" s="92">
        <v>0</v>
      </c>
      <c r="BW5" s="92">
        <v>0</v>
      </c>
      <c r="BX5" s="92">
        <v>0</v>
      </c>
      <c r="BY5" s="120">
        <v>0</v>
      </c>
      <c r="BZ5" s="103">
        <v>0</v>
      </c>
      <c r="CA5" s="103">
        <v>0</v>
      </c>
      <c r="CB5" s="103">
        <v>0</v>
      </c>
      <c r="CC5" s="103">
        <v>0</v>
      </c>
      <c r="CD5" s="119">
        <v>0</v>
      </c>
      <c r="CF5" s="246">
        <f t="shared" si="0"/>
        <v>73.060957317118934</v>
      </c>
      <c r="CH5" s="13" t="str">
        <v>ok</v>
      </c>
    </row>
    <row r="6" spans="1:86" ht="15" thickBot="1" x14ac:dyDescent="0.4">
      <c r="A6" t="s">
        <v>200</v>
      </c>
      <c r="B6" s="13" t="s">
        <v>29</v>
      </c>
      <c r="C6" s="13" t="s">
        <v>53</v>
      </c>
      <c r="D6" s="13" t="s">
        <v>201</v>
      </c>
      <c r="K6" s="13"/>
      <c r="L6"/>
      <c r="N6" s="13"/>
      <c r="W6" s="118">
        <v>0</v>
      </c>
      <c r="X6" s="372">
        <v>7.2497745716862037</v>
      </c>
      <c r="Y6" s="51">
        <v>0</v>
      </c>
      <c r="Z6" s="51">
        <v>89.864674372709345</v>
      </c>
      <c r="AA6" s="51">
        <v>0</v>
      </c>
      <c r="AB6" s="51">
        <v>0</v>
      </c>
      <c r="AC6" s="51">
        <v>0</v>
      </c>
      <c r="AD6" s="51">
        <v>0</v>
      </c>
      <c r="AE6" s="52">
        <v>0</v>
      </c>
      <c r="AF6" s="118">
        <v>0</v>
      </c>
      <c r="AG6" s="51">
        <v>0</v>
      </c>
      <c r="AH6" s="51">
        <v>0</v>
      </c>
      <c r="AI6" s="51">
        <v>0</v>
      </c>
      <c r="AJ6" s="51">
        <v>0</v>
      </c>
      <c r="AK6" s="51">
        <v>0</v>
      </c>
      <c r="AL6" s="51">
        <v>0</v>
      </c>
      <c r="AM6" s="51">
        <v>0</v>
      </c>
      <c r="AN6" s="52">
        <v>0</v>
      </c>
      <c r="AO6" s="118">
        <v>0</v>
      </c>
      <c r="AP6" s="51">
        <v>0</v>
      </c>
      <c r="AQ6" s="51">
        <v>0</v>
      </c>
      <c r="AR6" s="51">
        <v>0</v>
      </c>
      <c r="AS6" s="51">
        <v>0</v>
      </c>
      <c r="AT6" s="51">
        <v>0</v>
      </c>
      <c r="AU6" s="51">
        <v>0</v>
      </c>
      <c r="AV6" s="51">
        <v>0</v>
      </c>
      <c r="AW6" s="52">
        <v>0</v>
      </c>
      <c r="AX6" s="118">
        <v>0</v>
      </c>
      <c r="AY6" s="51">
        <v>0</v>
      </c>
      <c r="AZ6" s="51">
        <v>0</v>
      </c>
      <c r="BA6" s="51">
        <v>0</v>
      </c>
      <c r="BB6" s="51">
        <v>0</v>
      </c>
      <c r="BC6" s="51">
        <v>0</v>
      </c>
      <c r="BD6" s="51">
        <v>0</v>
      </c>
      <c r="BE6" s="51">
        <v>0</v>
      </c>
      <c r="BF6" s="52">
        <v>0</v>
      </c>
      <c r="BG6" s="118">
        <v>0</v>
      </c>
      <c r="BH6" s="51">
        <v>0</v>
      </c>
      <c r="BI6" s="51">
        <v>0</v>
      </c>
      <c r="BJ6" s="51">
        <v>0</v>
      </c>
      <c r="BK6" s="51">
        <v>0</v>
      </c>
      <c r="BL6" s="51">
        <v>0</v>
      </c>
      <c r="BM6" s="51">
        <v>0</v>
      </c>
      <c r="BN6" s="51">
        <v>0</v>
      </c>
      <c r="BO6" s="52">
        <v>0</v>
      </c>
      <c r="BP6" s="118">
        <v>0</v>
      </c>
      <c r="BQ6" s="51">
        <v>0</v>
      </c>
      <c r="BR6" s="51">
        <v>0</v>
      </c>
      <c r="BS6" s="51">
        <v>0</v>
      </c>
      <c r="BT6" s="51">
        <v>0</v>
      </c>
      <c r="BU6" s="51">
        <v>0</v>
      </c>
      <c r="BV6" s="51">
        <v>0</v>
      </c>
      <c r="BW6" s="51">
        <v>0</v>
      </c>
      <c r="BX6" s="51">
        <v>0</v>
      </c>
      <c r="BY6" s="116">
        <v>0</v>
      </c>
      <c r="BZ6" s="104">
        <v>0</v>
      </c>
      <c r="CA6" s="104">
        <v>0</v>
      </c>
      <c r="CB6" s="104">
        <v>0</v>
      </c>
      <c r="CC6" s="104">
        <v>0</v>
      </c>
      <c r="CD6" s="105">
        <v>0</v>
      </c>
      <c r="CF6" s="246">
        <f t="shared" si="0"/>
        <v>97.114448944395548</v>
      </c>
      <c r="CH6" s="13" t="str">
        <v>ok</v>
      </c>
    </row>
    <row r="7" spans="1:86" x14ac:dyDescent="0.35">
      <c r="A7" t="s">
        <v>196</v>
      </c>
      <c r="B7" s="13" t="s">
        <v>237</v>
      </c>
      <c r="C7" s="13" t="s">
        <v>56</v>
      </c>
      <c r="D7" s="13" t="s">
        <v>197</v>
      </c>
      <c r="K7" s="13"/>
      <c r="L7"/>
      <c r="N7" s="13"/>
      <c r="W7" s="92">
        <v>0</v>
      </c>
      <c r="X7" s="92">
        <v>0</v>
      </c>
      <c r="Y7" s="92">
        <v>0</v>
      </c>
      <c r="Z7" s="92">
        <v>0</v>
      </c>
      <c r="AA7" s="92">
        <v>0</v>
      </c>
      <c r="AB7" s="92">
        <v>0</v>
      </c>
      <c r="AC7" s="92">
        <v>0</v>
      </c>
      <c r="AD7" s="92">
        <v>0</v>
      </c>
      <c r="AE7" s="49">
        <v>0</v>
      </c>
      <c r="AF7" s="92">
        <v>0</v>
      </c>
      <c r="AG7" s="92">
        <v>0</v>
      </c>
      <c r="AH7" s="92">
        <v>0</v>
      </c>
      <c r="AI7" s="92">
        <v>0</v>
      </c>
      <c r="AJ7" s="92">
        <v>0</v>
      </c>
      <c r="AK7" s="92">
        <v>0</v>
      </c>
      <c r="AL7" s="92">
        <v>0</v>
      </c>
      <c r="AM7" s="92">
        <v>0</v>
      </c>
      <c r="AN7" s="49">
        <v>0</v>
      </c>
      <c r="AO7" s="92">
        <v>0</v>
      </c>
      <c r="AP7" s="92">
        <v>0</v>
      </c>
      <c r="AQ7" s="92">
        <v>0</v>
      </c>
      <c r="AR7" s="92">
        <v>0</v>
      </c>
      <c r="AS7" s="92">
        <v>0</v>
      </c>
      <c r="AT7" s="92">
        <v>0</v>
      </c>
      <c r="AU7" s="92">
        <v>0</v>
      </c>
      <c r="AV7" s="92">
        <v>0</v>
      </c>
      <c r="AW7" s="49">
        <v>0</v>
      </c>
      <c r="AX7" s="92">
        <v>0</v>
      </c>
      <c r="AY7" s="92">
        <v>0</v>
      </c>
      <c r="AZ7" s="92">
        <v>0</v>
      </c>
      <c r="BA7" s="92">
        <v>0</v>
      </c>
      <c r="BB7" s="92">
        <v>0</v>
      </c>
      <c r="BC7" s="92">
        <v>0</v>
      </c>
      <c r="BD7" s="92">
        <v>0</v>
      </c>
      <c r="BE7" s="92">
        <v>0</v>
      </c>
      <c r="BF7" s="49">
        <v>0</v>
      </c>
      <c r="BG7" s="92">
        <v>0</v>
      </c>
      <c r="BH7" s="92">
        <v>0</v>
      </c>
      <c r="BI7" s="92">
        <v>0</v>
      </c>
      <c r="BJ7" s="92">
        <v>0</v>
      </c>
      <c r="BK7" s="92">
        <v>0</v>
      </c>
      <c r="BL7" s="92">
        <v>0</v>
      </c>
      <c r="BM7" s="92">
        <v>0</v>
      </c>
      <c r="BN7" s="92">
        <v>0</v>
      </c>
      <c r="BO7" s="49">
        <v>0</v>
      </c>
      <c r="BP7" s="92">
        <v>0</v>
      </c>
      <c r="BQ7" s="92">
        <v>0</v>
      </c>
      <c r="BR7" s="92">
        <v>0</v>
      </c>
      <c r="BS7" s="92">
        <v>0</v>
      </c>
      <c r="BT7" s="92">
        <v>0</v>
      </c>
      <c r="BU7" s="92">
        <v>0</v>
      </c>
      <c r="BV7" s="92">
        <v>0</v>
      </c>
      <c r="BW7" s="92">
        <v>0</v>
      </c>
      <c r="BX7" s="92">
        <v>0</v>
      </c>
      <c r="BY7" s="115">
        <v>0</v>
      </c>
      <c r="BZ7" s="103">
        <v>0</v>
      </c>
      <c r="CA7" s="103">
        <v>0</v>
      </c>
      <c r="CB7" s="103">
        <v>0</v>
      </c>
      <c r="CC7" s="103">
        <v>0</v>
      </c>
      <c r="CD7" s="119">
        <v>0</v>
      </c>
      <c r="CF7" s="50">
        <f t="shared" si="0"/>
        <v>0</v>
      </c>
      <c r="CH7" s="13" t="str">
        <v>ok</v>
      </c>
    </row>
    <row r="8" spans="1:86" x14ac:dyDescent="0.35">
      <c r="A8" s="12" t="s">
        <v>198</v>
      </c>
      <c r="B8" s="13" t="s">
        <v>237</v>
      </c>
      <c r="C8" s="13" t="s">
        <v>53</v>
      </c>
      <c r="D8" s="13" t="s">
        <v>199</v>
      </c>
      <c r="K8" s="13"/>
      <c r="L8"/>
      <c r="N8" s="13"/>
      <c r="W8" s="92">
        <v>0</v>
      </c>
      <c r="X8" s="92">
        <v>0</v>
      </c>
      <c r="Y8" s="92">
        <v>0</v>
      </c>
      <c r="Z8" s="92">
        <v>0</v>
      </c>
      <c r="AA8" s="92">
        <v>0</v>
      </c>
      <c r="AB8" s="92">
        <v>0</v>
      </c>
      <c r="AC8" s="92">
        <v>0</v>
      </c>
      <c r="AD8" s="92">
        <v>0</v>
      </c>
      <c r="AE8" s="49">
        <v>0</v>
      </c>
      <c r="AF8" s="92">
        <v>0</v>
      </c>
      <c r="AG8" s="92">
        <v>0</v>
      </c>
      <c r="AH8" s="92">
        <v>0</v>
      </c>
      <c r="AI8" s="92">
        <v>0</v>
      </c>
      <c r="AJ8" s="92">
        <v>0</v>
      </c>
      <c r="AK8" s="92">
        <v>0</v>
      </c>
      <c r="AL8" s="92">
        <v>0</v>
      </c>
      <c r="AM8" s="92">
        <v>0</v>
      </c>
      <c r="AN8" s="49">
        <v>0</v>
      </c>
      <c r="AO8" s="92">
        <v>0</v>
      </c>
      <c r="AP8" s="92">
        <v>0</v>
      </c>
      <c r="AQ8" s="92">
        <v>0</v>
      </c>
      <c r="AR8" s="92">
        <v>0</v>
      </c>
      <c r="AS8" s="92">
        <v>0</v>
      </c>
      <c r="AT8" s="92">
        <v>0</v>
      </c>
      <c r="AU8" s="92">
        <v>0</v>
      </c>
      <c r="AV8" s="92">
        <v>0</v>
      </c>
      <c r="AW8" s="49">
        <v>0</v>
      </c>
      <c r="AX8" s="92">
        <v>0</v>
      </c>
      <c r="AY8" s="92">
        <v>0</v>
      </c>
      <c r="AZ8" s="92">
        <v>0</v>
      </c>
      <c r="BA8" s="92">
        <v>0</v>
      </c>
      <c r="BB8" s="92">
        <v>0</v>
      </c>
      <c r="BC8" s="92">
        <v>0</v>
      </c>
      <c r="BD8" s="92">
        <v>0</v>
      </c>
      <c r="BE8" s="92">
        <v>0</v>
      </c>
      <c r="BF8" s="49">
        <v>0</v>
      </c>
      <c r="BG8" s="92">
        <v>0</v>
      </c>
      <c r="BH8" s="92">
        <v>0</v>
      </c>
      <c r="BI8" s="92">
        <v>0</v>
      </c>
      <c r="BJ8" s="92">
        <v>0</v>
      </c>
      <c r="BK8" s="92">
        <v>0</v>
      </c>
      <c r="BL8" s="92">
        <v>0</v>
      </c>
      <c r="BM8" s="92">
        <v>0</v>
      </c>
      <c r="BN8" s="92">
        <v>0</v>
      </c>
      <c r="BO8" s="49">
        <v>0</v>
      </c>
      <c r="BP8" s="92">
        <v>0</v>
      </c>
      <c r="BQ8" s="92">
        <v>0</v>
      </c>
      <c r="BR8" s="92">
        <v>0</v>
      </c>
      <c r="BS8" s="92">
        <v>0</v>
      </c>
      <c r="BT8" s="92">
        <v>0</v>
      </c>
      <c r="BU8" s="92">
        <v>0</v>
      </c>
      <c r="BV8" s="92">
        <v>0</v>
      </c>
      <c r="BW8" s="92">
        <v>0</v>
      </c>
      <c r="BX8" s="92">
        <v>0</v>
      </c>
      <c r="BY8" s="115">
        <v>0</v>
      </c>
      <c r="BZ8" s="103">
        <v>0</v>
      </c>
      <c r="CA8" s="103">
        <v>0</v>
      </c>
      <c r="CB8" s="103">
        <v>0</v>
      </c>
      <c r="CC8" s="103">
        <v>0</v>
      </c>
      <c r="CD8" s="119">
        <v>0</v>
      </c>
      <c r="CF8" s="50">
        <f t="shared" si="0"/>
        <v>0</v>
      </c>
      <c r="CH8" s="13" t="str">
        <v>ok</v>
      </c>
    </row>
    <row r="9" spans="1:86" ht="15" thickBot="1" x14ac:dyDescent="0.4">
      <c r="A9" t="s">
        <v>200</v>
      </c>
      <c r="B9" s="13" t="s">
        <v>237</v>
      </c>
      <c r="C9" s="13" t="s">
        <v>53</v>
      </c>
      <c r="D9" s="13" t="s">
        <v>201</v>
      </c>
      <c r="K9" s="13"/>
      <c r="L9"/>
      <c r="N9" s="13"/>
      <c r="W9" s="51">
        <v>0</v>
      </c>
      <c r="X9" s="51">
        <v>0</v>
      </c>
      <c r="Y9" s="51">
        <v>0</v>
      </c>
      <c r="Z9" s="51">
        <v>0</v>
      </c>
      <c r="AA9" s="51">
        <v>0</v>
      </c>
      <c r="AB9" s="51">
        <v>0</v>
      </c>
      <c r="AC9" s="51">
        <v>0</v>
      </c>
      <c r="AD9" s="51">
        <v>0</v>
      </c>
      <c r="AE9" s="52">
        <v>0</v>
      </c>
      <c r="AF9" s="51">
        <v>0</v>
      </c>
      <c r="AG9" s="51">
        <v>0</v>
      </c>
      <c r="AH9" s="51">
        <v>0</v>
      </c>
      <c r="AI9" s="51">
        <v>0</v>
      </c>
      <c r="AJ9" s="51">
        <v>0</v>
      </c>
      <c r="AK9" s="51">
        <v>0</v>
      </c>
      <c r="AL9" s="51">
        <v>0</v>
      </c>
      <c r="AM9" s="51">
        <v>0</v>
      </c>
      <c r="AN9" s="52">
        <v>0</v>
      </c>
      <c r="AO9" s="51">
        <v>0</v>
      </c>
      <c r="AP9" s="51">
        <v>0</v>
      </c>
      <c r="AQ9" s="51">
        <v>0</v>
      </c>
      <c r="AR9" s="51">
        <v>0</v>
      </c>
      <c r="AS9" s="51">
        <v>0</v>
      </c>
      <c r="AT9" s="51">
        <v>0</v>
      </c>
      <c r="AU9" s="51">
        <v>0</v>
      </c>
      <c r="AV9" s="51">
        <v>0</v>
      </c>
      <c r="AW9" s="52">
        <v>0</v>
      </c>
      <c r="AX9" s="51">
        <v>0</v>
      </c>
      <c r="AY9" s="51">
        <v>0</v>
      </c>
      <c r="AZ9" s="51">
        <v>0</v>
      </c>
      <c r="BA9" s="51">
        <v>0</v>
      </c>
      <c r="BB9" s="51">
        <v>0</v>
      </c>
      <c r="BC9" s="51">
        <v>0</v>
      </c>
      <c r="BD9" s="51">
        <v>0</v>
      </c>
      <c r="BE9" s="51">
        <v>0</v>
      </c>
      <c r="BF9" s="52">
        <v>0</v>
      </c>
      <c r="BG9" s="51">
        <v>0</v>
      </c>
      <c r="BH9" s="51">
        <v>0</v>
      </c>
      <c r="BI9" s="51">
        <v>0</v>
      </c>
      <c r="BJ9" s="51">
        <v>0</v>
      </c>
      <c r="BK9" s="51">
        <v>0</v>
      </c>
      <c r="BL9" s="51">
        <v>0</v>
      </c>
      <c r="BM9" s="51">
        <v>0</v>
      </c>
      <c r="BN9" s="51">
        <v>0</v>
      </c>
      <c r="BO9" s="52">
        <v>0</v>
      </c>
      <c r="BP9" s="51">
        <v>0</v>
      </c>
      <c r="BQ9" s="51">
        <v>0</v>
      </c>
      <c r="BR9" s="51">
        <v>0</v>
      </c>
      <c r="BS9" s="51">
        <v>0</v>
      </c>
      <c r="BT9" s="51">
        <v>0</v>
      </c>
      <c r="BU9" s="51">
        <v>0</v>
      </c>
      <c r="BV9" s="51">
        <v>0</v>
      </c>
      <c r="BW9" s="51">
        <v>0</v>
      </c>
      <c r="BX9" s="51">
        <v>0</v>
      </c>
      <c r="BY9" s="116">
        <v>0</v>
      </c>
      <c r="BZ9" s="104">
        <v>0</v>
      </c>
      <c r="CA9" s="104">
        <v>0</v>
      </c>
      <c r="CB9" s="104">
        <v>0</v>
      </c>
      <c r="CC9" s="104">
        <v>0</v>
      </c>
      <c r="CD9" s="105">
        <v>0</v>
      </c>
      <c r="CF9" s="50">
        <f t="shared" si="0"/>
        <v>0</v>
      </c>
      <c r="CH9" s="13" t="str">
        <v>ok</v>
      </c>
    </row>
    <row r="10" spans="1:86" x14ac:dyDescent="0.35">
      <c r="A10" t="s">
        <v>196</v>
      </c>
      <c r="B10" s="13" t="s">
        <v>238</v>
      </c>
      <c r="C10" s="13" t="s">
        <v>56</v>
      </c>
      <c r="D10" s="13" t="s">
        <v>197</v>
      </c>
      <c r="K10" s="13"/>
      <c r="L10"/>
      <c r="N10" s="13"/>
      <c r="W10" s="92">
        <v>0</v>
      </c>
      <c r="X10" s="92">
        <v>0</v>
      </c>
      <c r="Y10" s="92">
        <v>0</v>
      </c>
      <c r="Z10" s="92">
        <v>0</v>
      </c>
      <c r="AA10" s="92">
        <v>0</v>
      </c>
      <c r="AB10" s="92">
        <v>0</v>
      </c>
      <c r="AC10" s="92">
        <v>0</v>
      </c>
      <c r="AD10" s="92">
        <v>0</v>
      </c>
      <c r="AE10" s="49">
        <v>0</v>
      </c>
      <c r="AF10" s="92">
        <v>0</v>
      </c>
      <c r="AG10" s="92">
        <v>0</v>
      </c>
      <c r="AH10" s="92">
        <v>0</v>
      </c>
      <c r="AI10" s="92">
        <v>0</v>
      </c>
      <c r="AJ10" s="92">
        <v>0</v>
      </c>
      <c r="AK10" s="92">
        <v>0</v>
      </c>
      <c r="AL10" s="92">
        <v>0</v>
      </c>
      <c r="AM10" s="92">
        <v>0</v>
      </c>
      <c r="AN10" s="49">
        <v>0</v>
      </c>
      <c r="AO10" s="92">
        <v>0</v>
      </c>
      <c r="AP10" s="92">
        <v>0</v>
      </c>
      <c r="AQ10" s="92">
        <v>0</v>
      </c>
      <c r="AR10" s="92">
        <v>0</v>
      </c>
      <c r="AS10" s="92">
        <v>0</v>
      </c>
      <c r="AT10" s="92">
        <v>0</v>
      </c>
      <c r="AU10" s="92">
        <v>0</v>
      </c>
      <c r="AV10" s="92">
        <v>0</v>
      </c>
      <c r="AW10" s="49">
        <v>0</v>
      </c>
      <c r="AX10" s="92">
        <v>0</v>
      </c>
      <c r="AY10" s="92">
        <v>0</v>
      </c>
      <c r="AZ10" s="92">
        <v>0</v>
      </c>
      <c r="BA10" s="92">
        <v>0</v>
      </c>
      <c r="BB10" s="92">
        <v>0</v>
      </c>
      <c r="BC10" s="92">
        <v>0</v>
      </c>
      <c r="BD10" s="92">
        <v>0</v>
      </c>
      <c r="BE10" s="92">
        <v>0</v>
      </c>
      <c r="BF10" s="49">
        <v>0</v>
      </c>
      <c r="BG10" s="92">
        <v>0</v>
      </c>
      <c r="BH10" s="92">
        <v>0</v>
      </c>
      <c r="BI10" s="92">
        <v>0</v>
      </c>
      <c r="BJ10" s="92">
        <v>0</v>
      </c>
      <c r="BK10" s="92">
        <v>0</v>
      </c>
      <c r="BL10" s="92">
        <v>0</v>
      </c>
      <c r="BM10" s="92">
        <v>0</v>
      </c>
      <c r="BN10" s="92">
        <v>0</v>
      </c>
      <c r="BO10" s="49">
        <v>0</v>
      </c>
      <c r="BP10" s="92">
        <v>0</v>
      </c>
      <c r="BQ10" s="92">
        <v>0</v>
      </c>
      <c r="BR10" s="92">
        <v>0</v>
      </c>
      <c r="BS10" s="92">
        <v>0</v>
      </c>
      <c r="BT10" s="92">
        <v>0</v>
      </c>
      <c r="BU10" s="92">
        <v>0</v>
      </c>
      <c r="BV10" s="92">
        <v>0</v>
      </c>
      <c r="BW10" s="92">
        <v>0</v>
      </c>
      <c r="BX10" s="92">
        <v>0</v>
      </c>
      <c r="BY10" s="115">
        <v>0</v>
      </c>
      <c r="BZ10" s="103">
        <v>0</v>
      </c>
      <c r="CA10" s="103">
        <v>0</v>
      </c>
      <c r="CB10" s="103">
        <v>0</v>
      </c>
      <c r="CC10" s="103">
        <v>0</v>
      </c>
      <c r="CD10" s="119">
        <v>0</v>
      </c>
      <c r="CF10" s="50">
        <f t="shared" si="0"/>
        <v>0</v>
      </c>
      <c r="CH10" s="13" t="str">
        <v>ok</v>
      </c>
    </row>
    <row r="11" spans="1:86" x14ac:dyDescent="0.35">
      <c r="A11" s="12" t="s">
        <v>198</v>
      </c>
      <c r="B11" s="13" t="s">
        <v>238</v>
      </c>
      <c r="C11" s="13" t="s">
        <v>53</v>
      </c>
      <c r="D11" s="13" t="s">
        <v>199</v>
      </c>
      <c r="K11" s="13"/>
      <c r="L11"/>
      <c r="N11" s="13"/>
      <c r="W11" s="92">
        <v>0</v>
      </c>
      <c r="X11" s="92">
        <v>0</v>
      </c>
      <c r="Y11" s="92">
        <v>0</v>
      </c>
      <c r="Z11" s="92">
        <v>0</v>
      </c>
      <c r="AA11" s="92">
        <v>0</v>
      </c>
      <c r="AB11" s="92">
        <v>0</v>
      </c>
      <c r="AC11" s="92">
        <v>0</v>
      </c>
      <c r="AD11" s="92">
        <v>0</v>
      </c>
      <c r="AE11" s="49">
        <v>0</v>
      </c>
      <c r="AF11" s="92">
        <v>0</v>
      </c>
      <c r="AG11" s="92">
        <v>0</v>
      </c>
      <c r="AH11" s="92">
        <v>0</v>
      </c>
      <c r="AI11" s="92">
        <v>0</v>
      </c>
      <c r="AJ11" s="92">
        <v>0</v>
      </c>
      <c r="AK11" s="92">
        <v>0</v>
      </c>
      <c r="AL11" s="92">
        <v>0</v>
      </c>
      <c r="AM11" s="92">
        <v>0</v>
      </c>
      <c r="AN11" s="49">
        <v>0</v>
      </c>
      <c r="AO11" s="92">
        <v>0</v>
      </c>
      <c r="AP11" s="92">
        <v>0</v>
      </c>
      <c r="AQ11" s="92">
        <v>0</v>
      </c>
      <c r="AR11" s="92">
        <v>0</v>
      </c>
      <c r="AS11" s="92">
        <v>0</v>
      </c>
      <c r="AT11" s="92">
        <v>0</v>
      </c>
      <c r="AU11" s="92">
        <v>0</v>
      </c>
      <c r="AV11" s="92">
        <v>0</v>
      </c>
      <c r="AW11" s="49">
        <v>0</v>
      </c>
      <c r="AX11" s="92">
        <v>0</v>
      </c>
      <c r="AY11" s="92">
        <v>0</v>
      </c>
      <c r="AZ11" s="92">
        <v>0</v>
      </c>
      <c r="BA11" s="92">
        <v>0</v>
      </c>
      <c r="BB11" s="92">
        <v>0</v>
      </c>
      <c r="BC11" s="92">
        <v>0</v>
      </c>
      <c r="BD11" s="92">
        <v>0</v>
      </c>
      <c r="BE11" s="92">
        <v>0</v>
      </c>
      <c r="BF11" s="49">
        <v>0</v>
      </c>
      <c r="BG11" s="92">
        <v>0</v>
      </c>
      <c r="BH11" s="92">
        <v>0</v>
      </c>
      <c r="BI11" s="92">
        <v>0</v>
      </c>
      <c r="BJ11" s="92">
        <v>0</v>
      </c>
      <c r="BK11" s="92">
        <v>0</v>
      </c>
      <c r="BL11" s="92">
        <v>0</v>
      </c>
      <c r="BM11" s="92">
        <v>0</v>
      </c>
      <c r="BN11" s="92">
        <v>0</v>
      </c>
      <c r="BO11" s="49">
        <v>0</v>
      </c>
      <c r="BP11" s="92">
        <v>0</v>
      </c>
      <c r="BQ11" s="92">
        <v>0</v>
      </c>
      <c r="BR11" s="92">
        <v>0</v>
      </c>
      <c r="BS11" s="92">
        <v>0</v>
      </c>
      <c r="BT11" s="92">
        <v>0</v>
      </c>
      <c r="BU11" s="92">
        <v>0</v>
      </c>
      <c r="BV11" s="92">
        <v>0</v>
      </c>
      <c r="BW11" s="92">
        <v>0</v>
      </c>
      <c r="BX11" s="92">
        <v>0</v>
      </c>
      <c r="BY11" s="115">
        <v>0</v>
      </c>
      <c r="BZ11" s="103">
        <v>0</v>
      </c>
      <c r="CA11" s="103">
        <v>0</v>
      </c>
      <c r="CB11" s="103">
        <v>0</v>
      </c>
      <c r="CC11" s="103">
        <v>0</v>
      </c>
      <c r="CD11" s="119">
        <v>0</v>
      </c>
      <c r="CF11" s="50">
        <f t="shared" si="0"/>
        <v>0</v>
      </c>
      <c r="CH11" s="13" t="str">
        <v>ok</v>
      </c>
    </row>
    <row r="12" spans="1:86" ht="15" thickBot="1" x14ac:dyDescent="0.4">
      <c r="A12" t="s">
        <v>200</v>
      </c>
      <c r="B12" s="13" t="s">
        <v>238</v>
      </c>
      <c r="C12" s="13" t="s">
        <v>53</v>
      </c>
      <c r="D12" s="13" t="s">
        <v>201</v>
      </c>
      <c r="K12" s="13"/>
      <c r="L12"/>
      <c r="N12" s="13"/>
      <c r="W12" s="51">
        <v>0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2">
        <v>0</v>
      </c>
      <c r="AF12" s="51">
        <v>0</v>
      </c>
      <c r="AG12" s="51">
        <v>0</v>
      </c>
      <c r="AH12" s="51">
        <v>0</v>
      </c>
      <c r="AI12" s="51">
        <v>0</v>
      </c>
      <c r="AJ12" s="51">
        <v>0</v>
      </c>
      <c r="AK12" s="51">
        <v>0</v>
      </c>
      <c r="AL12" s="51">
        <v>0</v>
      </c>
      <c r="AM12" s="51">
        <v>0</v>
      </c>
      <c r="AN12" s="52">
        <v>0</v>
      </c>
      <c r="AO12" s="51">
        <v>0</v>
      </c>
      <c r="AP12" s="51">
        <v>0</v>
      </c>
      <c r="AQ12" s="51">
        <v>0</v>
      </c>
      <c r="AR12" s="51">
        <v>0</v>
      </c>
      <c r="AS12" s="51">
        <v>0</v>
      </c>
      <c r="AT12" s="51">
        <v>0</v>
      </c>
      <c r="AU12" s="51">
        <v>0</v>
      </c>
      <c r="AV12" s="51">
        <v>0</v>
      </c>
      <c r="AW12" s="52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1">
        <v>0</v>
      </c>
      <c r="BF12" s="52">
        <v>0</v>
      </c>
      <c r="BG12" s="51">
        <v>0</v>
      </c>
      <c r="BH12" s="51">
        <v>0</v>
      </c>
      <c r="BI12" s="51">
        <v>0</v>
      </c>
      <c r="BJ12" s="51">
        <v>0</v>
      </c>
      <c r="BK12" s="51">
        <v>0</v>
      </c>
      <c r="BL12" s="51">
        <v>0</v>
      </c>
      <c r="BM12" s="51">
        <v>0</v>
      </c>
      <c r="BN12" s="51">
        <v>0</v>
      </c>
      <c r="BO12" s="52">
        <v>0</v>
      </c>
      <c r="BP12" s="51">
        <v>0</v>
      </c>
      <c r="BQ12" s="51">
        <v>0</v>
      </c>
      <c r="BR12" s="51">
        <v>0</v>
      </c>
      <c r="BS12" s="51">
        <v>0</v>
      </c>
      <c r="BT12" s="51">
        <v>0</v>
      </c>
      <c r="BU12" s="51">
        <v>0</v>
      </c>
      <c r="BV12" s="51">
        <v>0</v>
      </c>
      <c r="BW12" s="51">
        <v>0</v>
      </c>
      <c r="BX12" s="51">
        <v>0</v>
      </c>
      <c r="BY12" s="116">
        <v>0</v>
      </c>
      <c r="BZ12" s="104">
        <v>0</v>
      </c>
      <c r="CA12" s="104">
        <v>0</v>
      </c>
      <c r="CB12" s="104">
        <v>0</v>
      </c>
      <c r="CC12" s="104">
        <v>0</v>
      </c>
      <c r="CD12" s="105">
        <v>0</v>
      </c>
      <c r="CF12" s="50">
        <f t="shared" si="0"/>
        <v>0</v>
      </c>
      <c r="CH12" s="13" t="str">
        <v>ok</v>
      </c>
    </row>
    <row r="13" spans="1:86" x14ac:dyDescent="0.35">
      <c r="A13" t="s">
        <v>196</v>
      </c>
      <c r="B13" s="13" t="s">
        <v>239</v>
      </c>
      <c r="C13" s="13" t="s">
        <v>56</v>
      </c>
      <c r="D13" s="13" t="s">
        <v>197</v>
      </c>
      <c r="K13" s="13"/>
      <c r="L13"/>
      <c r="N13" s="13"/>
      <c r="W13" s="92">
        <v>0</v>
      </c>
      <c r="X13" s="92">
        <v>0</v>
      </c>
      <c r="Y13" s="92">
        <v>0</v>
      </c>
      <c r="Z13" s="92">
        <v>0</v>
      </c>
      <c r="AA13" s="92">
        <v>0</v>
      </c>
      <c r="AB13" s="92">
        <v>0</v>
      </c>
      <c r="AC13" s="92">
        <v>0</v>
      </c>
      <c r="AD13" s="92">
        <v>0</v>
      </c>
      <c r="AE13" s="49">
        <v>0</v>
      </c>
      <c r="AF13" s="92">
        <v>0</v>
      </c>
      <c r="AG13" s="92">
        <v>0</v>
      </c>
      <c r="AH13" s="92">
        <v>0</v>
      </c>
      <c r="AI13" s="92">
        <v>0</v>
      </c>
      <c r="AJ13" s="92">
        <v>0</v>
      </c>
      <c r="AK13" s="92">
        <v>0</v>
      </c>
      <c r="AL13" s="92">
        <v>0</v>
      </c>
      <c r="AM13" s="92">
        <v>0</v>
      </c>
      <c r="AN13" s="49">
        <v>0</v>
      </c>
      <c r="AO13" s="92">
        <v>0</v>
      </c>
      <c r="AP13" s="92">
        <v>0</v>
      </c>
      <c r="AQ13" s="92">
        <v>0</v>
      </c>
      <c r="AR13" s="92">
        <v>0</v>
      </c>
      <c r="AS13" s="92">
        <v>0</v>
      </c>
      <c r="AT13" s="92">
        <v>0</v>
      </c>
      <c r="AU13" s="92">
        <v>0</v>
      </c>
      <c r="AV13" s="92">
        <v>0</v>
      </c>
      <c r="AW13" s="49">
        <v>0</v>
      </c>
      <c r="AX13" s="92">
        <v>0</v>
      </c>
      <c r="AY13" s="92">
        <v>0</v>
      </c>
      <c r="AZ13" s="92">
        <v>0</v>
      </c>
      <c r="BA13" s="92">
        <v>0</v>
      </c>
      <c r="BB13" s="92">
        <v>0</v>
      </c>
      <c r="BC13" s="92">
        <v>0</v>
      </c>
      <c r="BD13" s="92">
        <v>0</v>
      </c>
      <c r="BE13" s="92">
        <v>0</v>
      </c>
      <c r="BF13" s="49">
        <v>0</v>
      </c>
      <c r="BG13" s="92">
        <v>0</v>
      </c>
      <c r="BH13" s="92">
        <v>0</v>
      </c>
      <c r="BI13" s="92">
        <v>0</v>
      </c>
      <c r="BJ13" s="92">
        <v>0</v>
      </c>
      <c r="BK13" s="92">
        <v>0</v>
      </c>
      <c r="BL13" s="92">
        <v>0</v>
      </c>
      <c r="BM13" s="92">
        <v>0</v>
      </c>
      <c r="BN13" s="92">
        <v>0</v>
      </c>
      <c r="BO13" s="49">
        <v>0</v>
      </c>
      <c r="BP13" s="92">
        <v>0</v>
      </c>
      <c r="BQ13" s="92">
        <v>0</v>
      </c>
      <c r="BR13" s="92">
        <v>0</v>
      </c>
      <c r="BS13" s="92">
        <v>0</v>
      </c>
      <c r="BT13" s="92">
        <v>0</v>
      </c>
      <c r="BU13" s="92">
        <v>0</v>
      </c>
      <c r="BV13" s="92">
        <v>0</v>
      </c>
      <c r="BW13" s="92">
        <v>0</v>
      </c>
      <c r="BX13" s="92">
        <v>0</v>
      </c>
      <c r="BY13" s="115">
        <v>0</v>
      </c>
      <c r="BZ13" s="103">
        <v>0</v>
      </c>
      <c r="CA13" s="103">
        <v>0</v>
      </c>
      <c r="CB13" s="103">
        <v>0</v>
      </c>
      <c r="CC13" s="103">
        <v>0</v>
      </c>
      <c r="CD13" s="119">
        <v>0</v>
      </c>
      <c r="CF13" s="50">
        <f t="shared" si="0"/>
        <v>0</v>
      </c>
      <c r="CH13" s="13" t="str">
        <v>ok</v>
      </c>
    </row>
    <row r="14" spans="1:86" x14ac:dyDescent="0.35">
      <c r="A14" s="12" t="s">
        <v>198</v>
      </c>
      <c r="B14" s="13" t="s">
        <v>239</v>
      </c>
      <c r="C14" s="13" t="s">
        <v>53</v>
      </c>
      <c r="D14" s="13" t="s">
        <v>199</v>
      </c>
      <c r="K14" s="13"/>
      <c r="L14"/>
      <c r="N14" s="13"/>
      <c r="W14" s="92">
        <v>0</v>
      </c>
      <c r="X14" s="92">
        <v>0</v>
      </c>
      <c r="Y14" s="92">
        <v>0</v>
      </c>
      <c r="Z14" s="92">
        <v>0</v>
      </c>
      <c r="AA14" s="92">
        <v>0</v>
      </c>
      <c r="AB14" s="92">
        <v>0</v>
      </c>
      <c r="AC14" s="92">
        <v>0</v>
      </c>
      <c r="AD14" s="92">
        <v>0</v>
      </c>
      <c r="AE14" s="49">
        <v>0</v>
      </c>
      <c r="AF14" s="92">
        <v>0</v>
      </c>
      <c r="AG14" s="92">
        <v>0</v>
      </c>
      <c r="AH14" s="92">
        <v>0</v>
      </c>
      <c r="AI14" s="92">
        <v>0</v>
      </c>
      <c r="AJ14" s="92">
        <v>0</v>
      </c>
      <c r="AK14" s="92">
        <v>0</v>
      </c>
      <c r="AL14" s="92">
        <v>0</v>
      </c>
      <c r="AM14" s="92">
        <v>0</v>
      </c>
      <c r="AN14" s="49">
        <v>0</v>
      </c>
      <c r="AO14" s="92">
        <v>0</v>
      </c>
      <c r="AP14" s="92">
        <v>0</v>
      </c>
      <c r="AQ14" s="92">
        <v>0</v>
      </c>
      <c r="AR14" s="92">
        <v>0</v>
      </c>
      <c r="AS14" s="92">
        <v>0</v>
      </c>
      <c r="AT14" s="92">
        <v>0</v>
      </c>
      <c r="AU14" s="92">
        <v>0</v>
      </c>
      <c r="AV14" s="92">
        <v>0</v>
      </c>
      <c r="AW14" s="49">
        <v>0</v>
      </c>
      <c r="AX14" s="92">
        <v>0</v>
      </c>
      <c r="AY14" s="92">
        <v>0</v>
      </c>
      <c r="AZ14" s="92">
        <v>0</v>
      </c>
      <c r="BA14" s="92">
        <v>0</v>
      </c>
      <c r="BB14" s="92">
        <v>0</v>
      </c>
      <c r="BC14" s="92">
        <v>0</v>
      </c>
      <c r="BD14" s="92">
        <v>0</v>
      </c>
      <c r="BE14" s="92">
        <v>0</v>
      </c>
      <c r="BF14" s="49">
        <v>0</v>
      </c>
      <c r="BG14" s="92">
        <v>0</v>
      </c>
      <c r="BH14" s="92">
        <v>0</v>
      </c>
      <c r="BI14" s="92">
        <v>0</v>
      </c>
      <c r="BJ14" s="92">
        <v>0</v>
      </c>
      <c r="BK14" s="92">
        <v>0</v>
      </c>
      <c r="BL14" s="92">
        <v>0</v>
      </c>
      <c r="BM14" s="92">
        <v>0</v>
      </c>
      <c r="BN14" s="92">
        <v>0</v>
      </c>
      <c r="BO14" s="49">
        <v>0</v>
      </c>
      <c r="BP14" s="92">
        <v>0</v>
      </c>
      <c r="BQ14" s="92">
        <v>0</v>
      </c>
      <c r="BR14" s="92">
        <v>0</v>
      </c>
      <c r="BS14" s="92">
        <v>0</v>
      </c>
      <c r="BT14" s="92">
        <v>0</v>
      </c>
      <c r="BU14" s="92">
        <v>0</v>
      </c>
      <c r="BV14" s="92">
        <v>0</v>
      </c>
      <c r="BW14" s="92">
        <v>0</v>
      </c>
      <c r="BX14" s="92">
        <v>0</v>
      </c>
      <c r="BY14" s="115">
        <v>0</v>
      </c>
      <c r="BZ14" s="103">
        <v>0</v>
      </c>
      <c r="CA14" s="103">
        <v>0</v>
      </c>
      <c r="CB14" s="103">
        <v>0</v>
      </c>
      <c r="CC14" s="103">
        <v>0</v>
      </c>
      <c r="CD14" s="119">
        <v>0</v>
      </c>
      <c r="CF14" s="50">
        <f t="shared" si="0"/>
        <v>0</v>
      </c>
      <c r="CH14" s="13" t="str">
        <v>ok</v>
      </c>
    </row>
    <row r="15" spans="1:86" ht="15" thickBot="1" x14ac:dyDescent="0.4">
      <c r="A15" t="s">
        <v>200</v>
      </c>
      <c r="B15" s="13" t="s">
        <v>239</v>
      </c>
      <c r="C15" s="13" t="s">
        <v>53</v>
      </c>
      <c r="D15" s="13" t="s">
        <v>201</v>
      </c>
      <c r="K15" s="13"/>
      <c r="L15"/>
      <c r="N15" s="13"/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52">
        <v>0</v>
      </c>
      <c r="AF15" s="51">
        <v>0</v>
      </c>
      <c r="AG15" s="51">
        <v>0</v>
      </c>
      <c r="AH15" s="51">
        <v>0</v>
      </c>
      <c r="AI15" s="51">
        <v>0</v>
      </c>
      <c r="AJ15" s="51">
        <v>0</v>
      </c>
      <c r="AK15" s="51">
        <v>0</v>
      </c>
      <c r="AL15" s="51">
        <v>0</v>
      </c>
      <c r="AM15" s="51">
        <v>0</v>
      </c>
      <c r="AN15" s="52">
        <v>0</v>
      </c>
      <c r="AO15" s="51">
        <v>0</v>
      </c>
      <c r="AP15" s="51">
        <v>0</v>
      </c>
      <c r="AQ15" s="51">
        <v>0</v>
      </c>
      <c r="AR15" s="51">
        <v>0</v>
      </c>
      <c r="AS15" s="51">
        <v>0</v>
      </c>
      <c r="AT15" s="51">
        <v>0</v>
      </c>
      <c r="AU15" s="51">
        <v>0</v>
      </c>
      <c r="AV15" s="51">
        <v>0</v>
      </c>
      <c r="AW15" s="52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51">
        <v>0</v>
      </c>
      <c r="BF15" s="52">
        <v>0</v>
      </c>
      <c r="BG15" s="51">
        <v>0</v>
      </c>
      <c r="BH15" s="51">
        <v>0</v>
      </c>
      <c r="BI15" s="51">
        <v>0</v>
      </c>
      <c r="BJ15" s="51">
        <v>0</v>
      </c>
      <c r="BK15" s="51">
        <v>0</v>
      </c>
      <c r="BL15" s="51">
        <v>0</v>
      </c>
      <c r="BM15" s="51">
        <v>0</v>
      </c>
      <c r="BN15" s="51">
        <v>0</v>
      </c>
      <c r="BO15" s="52">
        <v>0</v>
      </c>
      <c r="BP15" s="51">
        <v>0</v>
      </c>
      <c r="BQ15" s="51">
        <v>0</v>
      </c>
      <c r="BR15" s="51">
        <v>0</v>
      </c>
      <c r="BS15" s="51">
        <v>0</v>
      </c>
      <c r="BT15" s="51">
        <v>0</v>
      </c>
      <c r="BU15" s="51">
        <v>0</v>
      </c>
      <c r="BV15" s="51">
        <v>0</v>
      </c>
      <c r="BW15" s="51">
        <v>0</v>
      </c>
      <c r="BX15" s="51">
        <v>0</v>
      </c>
      <c r="BY15" s="116">
        <v>0</v>
      </c>
      <c r="BZ15" s="104">
        <v>0</v>
      </c>
      <c r="CA15" s="104">
        <v>0</v>
      </c>
      <c r="CB15" s="104">
        <v>0</v>
      </c>
      <c r="CC15" s="104">
        <v>0</v>
      </c>
      <c r="CD15" s="105">
        <v>0</v>
      </c>
      <c r="CF15" s="50">
        <f t="shared" si="0"/>
        <v>0</v>
      </c>
      <c r="CH15" s="13" t="str">
        <v>ok</v>
      </c>
    </row>
    <row r="16" spans="1:86" x14ac:dyDescent="0.35">
      <c r="A16" t="s">
        <v>196</v>
      </c>
      <c r="B16" s="13" t="s">
        <v>240</v>
      </c>
      <c r="C16" s="13" t="s">
        <v>56</v>
      </c>
      <c r="D16" s="13" t="s">
        <v>197</v>
      </c>
      <c r="K16" s="13"/>
      <c r="L16"/>
      <c r="N16" s="13"/>
      <c r="W16" s="92">
        <v>0</v>
      </c>
      <c r="X16" s="92">
        <v>0</v>
      </c>
      <c r="Y16" s="92">
        <v>0</v>
      </c>
      <c r="Z16" s="92">
        <v>0</v>
      </c>
      <c r="AA16" s="92">
        <v>0</v>
      </c>
      <c r="AB16" s="92">
        <v>0</v>
      </c>
      <c r="AC16" s="92">
        <v>0</v>
      </c>
      <c r="AD16" s="92">
        <v>0</v>
      </c>
      <c r="AE16" s="49">
        <v>0</v>
      </c>
      <c r="AF16" s="92">
        <v>0</v>
      </c>
      <c r="AG16" s="92">
        <v>0</v>
      </c>
      <c r="AH16" s="92">
        <v>0</v>
      </c>
      <c r="AI16" s="92">
        <v>0</v>
      </c>
      <c r="AJ16" s="92">
        <v>0</v>
      </c>
      <c r="AK16" s="92">
        <v>0</v>
      </c>
      <c r="AL16" s="92">
        <v>0</v>
      </c>
      <c r="AM16" s="92">
        <v>0</v>
      </c>
      <c r="AN16" s="49">
        <v>0</v>
      </c>
      <c r="AO16" s="92">
        <v>0</v>
      </c>
      <c r="AP16" s="92">
        <v>0</v>
      </c>
      <c r="AQ16" s="92">
        <v>0</v>
      </c>
      <c r="AR16" s="92">
        <v>0</v>
      </c>
      <c r="AS16" s="92">
        <v>0</v>
      </c>
      <c r="AT16" s="92">
        <v>0</v>
      </c>
      <c r="AU16" s="92">
        <v>0</v>
      </c>
      <c r="AV16" s="92">
        <v>0</v>
      </c>
      <c r="AW16" s="49">
        <v>0</v>
      </c>
      <c r="AX16" s="92">
        <v>0</v>
      </c>
      <c r="AY16" s="92">
        <v>0</v>
      </c>
      <c r="AZ16" s="92">
        <v>0</v>
      </c>
      <c r="BA16" s="92">
        <v>0</v>
      </c>
      <c r="BB16" s="92">
        <v>0</v>
      </c>
      <c r="BC16" s="92">
        <v>0</v>
      </c>
      <c r="BD16" s="92">
        <v>0</v>
      </c>
      <c r="BE16" s="92">
        <v>0</v>
      </c>
      <c r="BF16" s="49">
        <v>0</v>
      </c>
      <c r="BG16" s="92">
        <v>0</v>
      </c>
      <c r="BH16" s="92">
        <v>0</v>
      </c>
      <c r="BI16" s="92">
        <v>0</v>
      </c>
      <c r="BJ16" s="92">
        <v>0</v>
      </c>
      <c r="BK16" s="92">
        <v>0</v>
      </c>
      <c r="BL16" s="92">
        <v>0</v>
      </c>
      <c r="BM16" s="92">
        <v>0</v>
      </c>
      <c r="BN16" s="92">
        <v>0</v>
      </c>
      <c r="BO16" s="49">
        <v>0</v>
      </c>
      <c r="BP16" s="92">
        <v>0</v>
      </c>
      <c r="BQ16" s="92">
        <v>0</v>
      </c>
      <c r="BR16" s="92">
        <v>0</v>
      </c>
      <c r="BS16" s="92">
        <v>0</v>
      </c>
      <c r="BT16" s="92">
        <v>0</v>
      </c>
      <c r="BU16" s="92">
        <v>0</v>
      </c>
      <c r="BV16" s="92">
        <v>0</v>
      </c>
      <c r="BW16" s="92">
        <v>0</v>
      </c>
      <c r="BX16" s="92">
        <v>0</v>
      </c>
      <c r="BY16" s="115">
        <v>0</v>
      </c>
      <c r="BZ16" s="103">
        <v>0</v>
      </c>
      <c r="CA16" s="103">
        <v>0</v>
      </c>
      <c r="CB16" s="103">
        <v>0</v>
      </c>
      <c r="CC16" s="103">
        <v>0</v>
      </c>
      <c r="CD16" s="119">
        <v>0</v>
      </c>
      <c r="CF16" s="50">
        <f t="shared" si="0"/>
        <v>0</v>
      </c>
      <c r="CH16" s="13" t="str">
        <v>ok</v>
      </c>
    </row>
    <row r="17" spans="1:86" x14ac:dyDescent="0.35">
      <c r="A17" s="12" t="s">
        <v>198</v>
      </c>
      <c r="B17" s="13" t="s">
        <v>240</v>
      </c>
      <c r="C17" s="13" t="s">
        <v>53</v>
      </c>
      <c r="D17" s="13" t="s">
        <v>199</v>
      </c>
      <c r="K17" s="13"/>
      <c r="L17"/>
      <c r="N17" s="13"/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49">
        <v>0</v>
      </c>
      <c r="AF17" s="92">
        <v>0</v>
      </c>
      <c r="AG17" s="92">
        <v>0</v>
      </c>
      <c r="AH17" s="92">
        <v>0</v>
      </c>
      <c r="AI17" s="92">
        <v>0</v>
      </c>
      <c r="AJ17" s="92">
        <v>0</v>
      </c>
      <c r="AK17" s="92">
        <v>0</v>
      </c>
      <c r="AL17" s="92">
        <v>0</v>
      </c>
      <c r="AM17" s="92">
        <v>0</v>
      </c>
      <c r="AN17" s="49">
        <v>0</v>
      </c>
      <c r="AO17" s="92">
        <v>0</v>
      </c>
      <c r="AP17" s="92">
        <v>0</v>
      </c>
      <c r="AQ17" s="92">
        <v>0</v>
      </c>
      <c r="AR17" s="92">
        <v>0</v>
      </c>
      <c r="AS17" s="92">
        <v>0</v>
      </c>
      <c r="AT17" s="92">
        <v>0</v>
      </c>
      <c r="AU17" s="92">
        <v>0</v>
      </c>
      <c r="AV17" s="92">
        <v>0</v>
      </c>
      <c r="AW17" s="49">
        <v>0</v>
      </c>
      <c r="AX17" s="92">
        <v>0</v>
      </c>
      <c r="AY17" s="92">
        <v>0</v>
      </c>
      <c r="AZ17" s="92">
        <v>0</v>
      </c>
      <c r="BA17" s="92">
        <v>0</v>
      </c>
      <c r="BB17" s="92">
        <v>0</v>
      </c>
      <c r="BC17" s="92">
        <v>0</v>
      </c>
      <c r="BD17" s="92">
        <v>0</v>
      </c>
      <c r="BE17" s="92">
        <v>0</v>
      </c>
      <c r="BF17" s="49">
        <v>0</v>
      </c>
      <c r="BG17" s="92">
        <v>0</v>
      </c>
      <c r="BH17" s="92">
        <v>0</v>
      </c>
      <c r="BI17" s="92">
        <v>0</v>
      </c>
      <c r="BJ17" s="92">
        <v>0</v>
      </c>
      <c r="BK17" s="92">
        <v>0</v>
      </c>
      <c r="BL17" s="92">
        <v>0</v>
      </c>
      <c r="BM17" s="92">
        <v>0</v>
      </c>
      <c r="BN17" s="92">
        <v>0</v>
      </c>
      <c r="BO17" s="49">
        <v>0</v>
      </c>
      <c r="BP17" s="92">
        <v>0</v>
      </c>
      <c r="BQ17" s="92">
        <v>0</v>
      </c>
      <c r="BR17" s="92">
        <v>0</v>
      </c>
      <c r="BS17" s="92">
        <v>0</v>
      </c>
      <c r="BT17" s="92">
        <v>0</v>
      </c>
      <c r="BU17" s="92">
        <v>0</v>
      </c>
      <c r="BV17" s="92">
        <v>0</v>
      </c>
      <c r="BW17" s="92">
        <v>0</v>
      </c>
      <c r="BX17" s="92">
        <v>0</v>
      </c>
      <c r="BY17" s="115">
        <v>0</v>
      </c>
      <c r="BZ17" s="103">
        <v>0</v>
      </c>
      <c r="CA17" s="103">
        <v>0</v>
      </c>
      <c r="CB17" s="103">
        <v>0</v>
      </c>
      <c r="CC17" s="103">
        <v>0</v>
      </c>
      <c r="CD17" s="119">
        <v>0</v>
      </c>
      <c r="CF17" s="50">
        <f t="shared" si="0"/>
        <v>0</v>
      </c>
      <c r="CH17" s="13" t="str">
        <v>ok</v>
      </c>
    </row>
    <row r="18" spans="1:86" ht="15" thickBot="1" x14ac:dyDescent="0.4">
      <c r="A18" t="s">
        <v>200</v>
      </c>
      <c r="B18" s="13" t="s">
        <v>240</v>
      </c>
      <c r="C18" s="13" t="s">
        <v>53</v>
      </c>
      <c r="D18" s="13" t="s">
        <v>201</v>
      </c>
      <c r="K18" s="13"/>
      <c r="L18"/>
      <c r="N18" s="13"/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0</v>
      </c>
      <c r="AE18" s="52">
        <v>0</v>
      </c>
      <c r="AF18" s="51">
        <v>0</v>
      </c>
      <c r="AG18" s="51">
        <v>0</v>
      </c>
      <c r="AH18" s="51">
        <v>0</v>
      </c>
      <c r="AI18" s="51">
        <v>0</v>
      </c>
      <c r="AJ18" s="51">
        <v>0</v>
      </c>
      <c r="AK18" s="51">
        <v>0</v>
      </c>
      <c r="AL18" s="51">
        <v>0</v>
      </c>
      <c r="AM18" s="51">
        <v>0</v>
      </c>
      <c r="AN18" s="52">
        <v>0</v>
      </c>
      <c r="AO18" s="51">
        <v>0</v>
      </c>
      <c r="AP18" s="51">
        <v>0</v>
      </c>
      <c r="AQ18" s="51">
        <v>0</v>
      </c>
      <c r="AR18" s="51">
        <v>0</v>
      </c>
      <c r="AS18" s="51">
        <v>0</v>
      </c>
      <c r="AT18" s="51">
        <v>0</v>
      </c>
      <c r="AU18" s="51">
        <v>0</v>
      </c>
      <c r="AV18" s="51">
        <v>0</v>
      </c>
      <c r="AW18" s="52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2">
        <v>0</v>
      </c>
      <c r="BG18" s="51">
        <v>0</v>
      </c>
      <c r="BH18" s="51">
        <v>0</v>
      </c>
      <c r="BI18" s="51">
        <v>0</v>
      </c>
      <c r="BJ18" s="51">
        <v>0</v>
      </c>
      <c r="BK18" s="51">
        <v>0</v>
      </c>
      <c r="BL18" s="51">
        <v>0</v>
      </c>
      <c r="BM18" s="51">
        <v>0</v>
      </c>
      <c r="BN18" s="51">
        <v>0</v>
      </c>
      <c r="BO18" s="52">
        <v>0</v>
      </c>
      <c r="BP18" s="51">
        <v>0</v>
      </c>
      <c r="BQ18" s="51">
        <v>0</v>
      </c>
      <c r="BR18" s="51">
        <v>0</v>
      </c>
      <c r="BS18" s="51">
        <v>0</v>
      </c>
      <c r="BT18" s="51">
        <v>0</v>
      </c>
      <c r="BU18" s="51">
        <v>0</v>
      </c>
      <c r="BV18" s="51">
        <v>0</v>
      </c>
      <c r="BW18" s="51">
        <v>0</v>
      </c>
      <c r="BX18" s="51">
        <v>0</v>
      </c>
      <c r="BY18" s="116">
        <v>0</v>
      </c>
      <c r="BZ18" s="104">
        <v>0</v>
      </c>
      <c r="CA18" s="104">
        <v>0</v>
      </c>
      <c r="CB18" s="104">
        <v>0</v>
      </c>
      <c r="CC18" s="104">
        <v>0</v>
      </c>
      <c r="CD18" s="105">
        <v>0</v>
      </c>
      <c r="CF18" s="50">
        <f t="shared" si="0"/>
        <v>0</v>
      </c>
      <c r="CH18" s="13" t="str">
        <v>ok</v>
      </c>
    </row>
    <row r="19" spans="1:86" x14ac:dyDescent="0.35">
      <c r="A19" t="s">
        <v>196</v>
      </c>
      <c r="B19" s="13" t="s">
        <v>241</v>
      </c>
      <c r="C19" s="13" t="s">
        <v>56</v>
      </c>
      <c r="D19" s="13" t="s">
        <v>197</v>
      </c>
      <c r="E19" s="53"/>
      <c r="F19" s="53"/>
      <c r="G19" s="53"/>
      <c r="H19" s="54"/>
      <c r="I19" s="54"/>
      <c r="J19" s="54"/>
      <c r="K19" s="54"/>
      <c r="L19" s="54"/>
      <c r="M19" s="55"/>
      <c r="N19" s="54"/>
      <c r="R19" s="54"/>
      <c r="W19" s="92">
        <v>0</v>
      </c>
      <c r="X19" s="92">
        <v>0</v>
      </c>
      <c r="Y19" s="92">
        <v>0</v>
      </c>
      <c r="Z19" s="92">
        <v>0</v>
      </c>
      <c r="AA19" s="92">
        <v>0</v>
      </c>
      <c r="AB19" s="92">
        <v>0</v>
      </c>
      <c r="AC19" s="92">
        <v>0</v>
      </c>
      <c r="AD19" s="92">
        <v>0</v>
      </c>
      <c r="AE19" s="49">
        <v>0</v>
      </c>
      <c r="AF19" s="92">
        <v>0</v>
      </c>
      <c r="AG19" s="92">
        <v>0</v>
      </c>
      <c r="AH19" s="92">
        <v>0</v>
      </c>
      <c r="AI19" s="92">
        <v>0</v>
      </c>
      <c r="AJ19" s="92">
        <v>0</v>
      </c>
      <c r="AK19" s="92">
        <v>0</v>
      </c>
      <c r="AL19" s="92">
        <v>0</v>
      </c>
      <c r="AM19" s="92">
        <v>0</v>
      </c>
      <c r="AN19" s="49">
        <v>0</v>
      </c>
      <c r="AO19" s="92">
        <v>0</v>
      </c>
      <c r="AP19" s="92">
        <v>0</v>
      </c>
      <c r="AQ19" s="92">
        <v>0</v>
      </c>
      <c r="AR19" s="92">
        <v>0</v>
      </c>
      <c r="AS19" s="92">
        <v>0</v>
      </c>
      <c r="AT19" s="92">
        <v>0</v>
      </c>
      <c r="AU19" s="92">
        <v>0</v>
      </c>
      <c r="AV19" s="92">
        <v>0</v>
      </c>
      <c r="AW19" s="49">
        <v>0</v>
      </c>
      <c r="AX19" s="92">
        <v>0</v>
      </c>
      <c r="AY19" s="92">
        <v>0</v>
      </c>
      <c r="AZ19" s="92">
        <v>0</v>
      </c>
      <c r="BA19" s="92">
        <v>0</v>
      </c>
      <c r="BB19" s="92">
        <v>0</v>
      </c>
      <c r="BC19" s="92">
        <v>0</v>
      </c>
      <c r="BD19" s="92">
        <v>0</v>
      </c>
      <c r="BE19" s="92">
        <v>0</v>
      </c>
      <c r="BF19" s="49">
        <v>0</v>
      </c>
      <c r="BG19" s="92">
        <v>0</v>
      </c>
      <c r="BH19" s="92">
        <v>0</v>
      </c>
      <c r="BI19" s="92">
        <v>0</v>
      </c>
      <c r="BJ19" s="92">
        <v>0</v>
      </c>
      <c r="BK19" s="92">
        <v>0</v>
      </c>
      <c r="BL19" s="92">
        <v>0</v>
      </c>
      <c r="BM19" s="92">
        <v>0</v>
      </c>
      <c r="BN19" s="92">
        <v>0</v>
      </c>
      <c r="BO19" s="49">
        <v>0</v>
      </c>
      <c r="BP19" s="92">
        <v>0</v>
      </c>
      <c r="BQ19" s="92">
        <v>0</v>
      </c>
      <c r="BR19" s="92">
        <v>0</v>
      </c>
      <c r="BS19" s="92">
        <v>0</v>
      </c>
      <c r="BT19" s="92">
        <v>0</v>
      </c>
      <c r="BU19" s="92">
        <v>0</v>
      </c>
      <c r="BV19" s="92">
        <v>0</v>
      </c>
      <c r="BW19" s="92">
        <v>0</v>
      </c>
      <c r="BX19" s="92">
        <v>0</v>
      </c>
      <c r="BY19" s="115">
        <v>0</v>
      </c>
      <c r="BZ19" s="103">
        <v>0</v>
      </c>
      <c r="CA19" s="103">
        <v>0</v>
      </c>
      <c r="CB19" s="103">
        <v>0</v>
      </c>
      <c r="CC19" s="103">
        <v>0</v>
      </c>
      <c r="CD19" s="119">
        <v>0</v>
      </c>
      <c r="CF19" s="50">
        <f t="shared" si="0"/>
        <v>0</v>
      </c>
      <c r="CH19" s="13" t="str">
        <v>ok</v>
      </c>
    </row>
    <row r="20" spans="1:86" x14ac:dyDescent="0.35">
      <c r="A20" s="12" t="s">
        <v>198</v>
      </c>
      <c r="B20" s="13" t="s">
        <v>241</v>
      </c>
      <c r="C20" s="13" t="s">
        <v>53</v>
      </c>
      <c r="D20" s="13" t="s">
        <v>199</v>
      </c>
      <c r="E20" s="53"/>
      <c r="F20" s="53"/>
      <c r="G20" s="53"/>
      <c r="H20" s="54"/>
      <c r="I20" s="54"/>
      <c r="J20" s="54"/>
      <c r="K20" s="54"/>
      <c r="L20" s="54"/>
      <c r="M20" s="55"/>
      <c r="N20" s="54"/>
      <c r="R20" s="54"/>
      <c r="W20" s="92">
        <v>0</v>
      </c>
      <c r="X20" s="92">
        <v>0</v>
      </c>
      <c r="Y20" s="92">
        <v>0</v>
      </c>
      <c r="Z20" s="92">
        <v>0</v>
      </c>
      <c r="AA20" s="92">
        <v>0</v>
      </c>
      <c r="AB20" s="92">
        <v>0</v>
      </c>
      <c r="AC20" s="92">
        <v>0</v>
      </c>
      <c r="AD20" s="92">
        <v>0</v>
      </c>
      <c r="AE20" s="49">
        <v>0</v>
      </c>
      <c r="AF20" s="92">
        <v>0</v>
      </c>
      <c r="AG20" s="92">
        <v>0</v>
      </c>
      <c r="AH20" s="92">
        <v>0</v>
      </c>
      <c r="AI20" s="92">
        <v>0</v>
      </c>
      <c r="AJ20" s="92">
        <v>0</v>
      </c>
      <c r="AK20" s="92">
        <v>0</v>
      </c>
      <c r="AL20" s="92">
        <v>0</v>
      </c>
      <c r="AM20" s="92">
        <v>0</v>
      </c>
      <c r="AN20" s="49">
        <v>0</v>
      </c>
      <c r="AO20" s="92">
        <v>0</v>
      </c>
      <c r="AP20" s="92">
        <v>0</v>
      </c>
      <c r="AQ20" s="92">
        <v>0</v>
      </c>
      <c r="AR20" s="92">
        <v>0</v>
      </c>
      <c r="AS20" s="92">
        <v>0</v>
      </c>
      <c r="AT20" s="92">
        <v>0</v>
      </c>
      <c r="AU20" s="92">
        <v>0</v>
      </c>
      <c r="AV20" s="92">
        <v>0</v>
      </c>
      <c r="AW20" s="49">
        <v>0</v>
      </c>
      <c r="AX20" s="92">
        <v>0</v>
      </c>
      <c r="AY20" s="92">
        <v>0</v>
      </c>
      <c r="AZ20" s="92">
        <v>0</v>
      </c>
      <c r="BA20" s="92">
        <v>0</v>
      </c>
      <c r="BB20" s="92">
        <v>0</v>
      </c>
      <c r="BC20" s="92">
        <v>0</v>
      </c>
      <c r="BD20" s="92">
        <v>0</v>
      </c>
      <c r="BE20" s="92">
        <v>0</v>
      </c>
      <c r="BF20" s="49">
        <v>0</v>
      </c>
      <c r="BG20" s="92">
        <v>0</v>
      </c>
      <c r="BH20" s="92">
        <v>0</v>
      </c>
      <c r="BI20" s="92">
        <v>0</v>
      </c>
      <c r="BJ20" s="92">
        <v>0</v>
      </c>
      <c r="BK20" s="92">
        <v>0</v>
      </c>
      <c r="BL20" s="92">
        <v>0</v>
      </c>
      <c r="BM20" s="92">
        <v>0</v>
      </c>
      <c r="BN20" s="92">
        <v>0</v>
      </c>
      <c r="BO20" s="49">
        <v>0</v>
      </c>
      <c r="BP20" s="92">
        <v>0</v>
      </c>
      <c r="BQ20" s="92">
        <v>0</v>
      </c>
      <c r="BR20" s="92">
        <v>0</v>
      </c>
      <c r="BS20" s="92">
        <v>0</v>
      </c>
      <c r="BT20" s="92">
        <v>0</v>
      </c>
      <c r="BU20" s="92">
        <v>0</v>
      </c>
      <c r="BV20" s="92">
        <v>0</v>
      </c>
      <c r="BW20" s="92">
        <v>0</v>
      </c>
      <c r="BX20" s="92">
        <v>0</v>
      </c>
      <c r="BY20" s="115">
        <v>0</v>
      </c>
      <c r="BZ20" s="103">
        <v>0</v>
      </c>
      <c r="CA20" s="103">
        <v>0</v>
      </c>
      <c r="CB20" s="103">
        <v>0</v>
      </c>
      <c r="CC20" s="103">
        <v>0</v>
      </c>
      <c r="CD20" s="119">
        <v>0</v>
      </c>
      <c r="CF20" s="50">
        <f t="shared" si="0"/>
        <v>0</v>
      </c>
      <c r="CH20" s="13" t="str">
        <v>ok</v>
      </c>
    </row>
    <row r="21" spans="1:86" ht="15" thickBot="1" x14ac:dyDescent="0.4">
      <c r="A21" t="s">
        <v>200</v>
      </c>
      <c r="B21" s="13" t="s">
        <v>241</v>
      </c>
      <c r="C21" s="13" t="s">
        <v>53</v>
      </c>
      <c r="D21" s="13" t="s">
        <v>201</v>
      </c>
      <c r="E21" s="53"/>
      <c r="F21" s="53"/>
      <c r="G21" s="53"/>
      <c r="H21" s="54"/>
      <c r="I21" s="54"/>
      <c r="J21" s="54"/>
      <c r="K21" s="54"/>
      <c r="L21" s="54"/>
      <c r="M21" s="54"/>
      <c r="N21" s="54"/>
      <c r="R21" s="54"/>
      <c r="W21" s="92">
        <v>0</v>
      </c>
      <c r="X21" s="92">
        <v>0</v>
      </c>
      <c r="Y21" s="92">
        <v>0</v>
      </c>
      <c r="Z21" s="92">
        <v>0</v>
      </c>
      <c r="AA21" s="92">
        <v>0</v>
      </c>
      <c r="AB21" s="92">
        <v>0</v>
      </c>
      <c r="AC21" s="92">
        <v>0</v>
      </c>
      <c r="AD21" s="92">
        <v>0</v>
      </c>
      <c r="AE21" s="49">
        <v>0</v>
      </c>
      <c r="AF21" s="92">
        <v>0</v>
      </c>
      <c r="AG21" s="92">
        <v>0</v>
      </c>
      <c r="AH21" s="92">
        <v>0</v>
      </c>
      <c r="AI21" s="92">
        <v>0</v>
      </c>
      <c r="AJ21" s="92">
        <v>0</v>
      </c>
      <c r="AK21" s="92">
        <v>0</v>
      </c>
      <c r="AL21" s="92">
        <v>0</v>
      </c>
      <c r="AM21" s="92">
        <v>0</v>
      </c>
      <c r="AN21" s="49">
        <v>0</v>
      </c>
      <c r="AO21" s="92">
        <v>0</v>
      </c>
      <c r="AP21" s="92">
        <v>0</v>
      </c>
      <c r="AQ21" s="92">
        <v>0</v>
      </c>
      <c r="AR21" s="92">
        <v>0</v>
      </c>
      <c r="AS21" s="92">
        <v>0</v>
      </c>
      <c r="AT21" s="92">
        <v>0</v>
      </c>
      <c r="AU21" s="92">
        <v>0</v>
      </c>
      <c r="AV21" s="92">
        <v>0</v>
      </c>
      <c r="AW21" s="49">
        <v>0</v>
      </c>
      <c r="AX21" s="92">
        <v>0</v>
      </c>
      <c r="AY21" s="92">
        <v>0</v>
      </c>
      <c r="AZ21" s="92">
        <v>0</v>
      </c>
      <c r="BA21" s="92">
        <v>0</v>
      </c>
      <c r="BB21" s="92">
        <v>0</v>
      </c>
      <c r="BC21" s="92">
        <v>0</v>
      </c>
      <c r="BD21" s="92">
        <v>0</v>
      </c>
      <c r="BE21" s="92">
        <v>0</v>
      </c>
      <c r="BF21" s="49">
        <v>0</v>
      </c>
      <c r="BG21" s="92">
        <v>0</v>
      </c>
      <c r="BH21" s="92">
        <v>0</v>
      </c>
      <c r="BI21" s="92">
        <v>0</v>
      </c>
      <c r="BJ21" s="92">
        <v>0</v>
      </c>
      <c r="BK21" s="92">
        <v>0</v>
      </c>
      <c r="BL21" s="92">
        <v>0</v>
      </c>
      <c r="BM21" s="92">
        <v>0</v>
      </c>
      <c r="BN21" s="92">
        <v>0</v>
      </c>
      <c r="BO21" s="49">
        <v>0</v>
      </c>
      <c r="BP21" s="92">
        <v>0</v>
      </c>
      <c r="BQ21" s="92">
        <v>0</v>
      </c>
      <c r="BR21" s="92">
        <v>0</v>
      </c>
      <c r="BS21" s="92">
        <v>0</v>
      </c>
      <c r="BT21" s="92">
        <v>0</v>
      </c>
      <c r="BU21" s="92">
        <v>0</v>
      </c>
      <c r="BV21" s="92">
        <v>0</v>
      </c>
      <c r="BW21" s="92">
        <v>0</v>
      </c>
      <c r="BX21" s="92">
        <v>0</v>
      </c>
      <c r="BY21" s="115">
        <v>0</v>
      </c>
      <c r="BZ21" s="103">
        <v>0</v>
      </c>
      <c r="CA21" s="103">
        <v>0</v>
      </c>
      <c r="CB21" s="103">
        <v>0</v>
      </c>
      <c r="CC21" s="103">
        <v>0</v>
      </c>
      <c r="CD21" s="119">
        <v>0</v>
      </c>
      <c r="CF21" s="50">
        <f t="shared" si="0"/>
        <v>0</v>
      </c>
      <c r="CH21" s="13" t="str">
        <v>ok</v>
      </c>
    </row>
    <row r="22" spans="1:86" s="8" customFormat="1" x14ac:dyDescent="0.35">
      <c r="A22" s="8" t="s">
        <v>242</v>
      </c>
      <c r="B22" s="10" t="s">
        <v>29</v>
      </c>
      <c r="C22" s="10" t="s">
        <v>56</v>
      </c>
      <c r="D22" s="10" t="s">
        <v>243</v>
      </c>
      <c r="E22" s="93">
        <v>1</v>
      </c>
      <c r="F22" s="112">
        <v>0</v>
      </c>
      <c r="G22" s="94">
        <v>0</v>
      </c>
      <c r="H22" s="93">
        <v>0</v>
      </c>
      <c r="I22" s="93">
        <v>0</v>
      </c>
      <c r="J22" s="94">
        <v>0</v>
      </c>
      <c r="K22" s="93">
        <v>0</v>
      </c>
      <c r="L22" s="93">
        <v>0</v>
      </c>
      <c r="M22" s="94">
        <v>0</v>
      </c>
      <c r="N22" s="93">
        <v>0</v>
      </c>
      <c r="O22" s="93">
        <v>0</v>
      </c>
      <c r="P22" s="94">
        <v>0</v>
      </c>
      <c r="Q22" s="93">
        <v>0</v>
      </c>
      <c r="R22" s="93">
        <v>0</v>
      </c>
      <c r="S22" s="94">
        <v>0</v>
      </c>
      <c r="T22" s="93">
        <v>0</v>
      </c>
      <c r="U22" s="93">
        <v>0</v>
      </c>
      <c r="V22" s="95">
        <v>0</v>
      </c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BY22" s="10"/>
      <c r="BZ22" s="10"/>
      <c r="CA22" s="10"/>
      <c r="CB22" s="10"/>
      <c r="CC22" s="10"/>
      <c r="CD22" s="10"/>
      <c r="CF22" s="249">
        <f t="shared" ref="CF22:CF53" si="1">SUM(E22:V22)</f>
        <v>1</v>
      </c>
      <c r="CH22" s="10"/>
    </row>
    <row r="23" spans="1:86" x14ac:dyDescent="0.35">
      <c r="A23" t="s">
        <v>202</v>
      </c>
      <c r="B23" s="13" t="s">
        <v>29</v>
      </c>
      <c r="C23" s="13" t="s">
        <v>56</v>
      </c>
      <c r="D23" s="13" t="s">
        <v>203</v>
      </c>
      <c r="E23" s="96">
        <f>'Steel_BF-BOF with H2'!H21</f>
        <v>1</v>
      </c>
      <c r="F23" s="111">
        <v>0</v>
      </c>
      <c r="G23" s="57">
        <v>0</v>
      </c>
      <c r="H23" s="96">
        <v>0</v>
      </c>
      <c r="I23" s="96">
        <v>0</v>
      </c>
      <c r="J23" s="57">
        <v>0</v>
      </c>
      <c r="K23" s="96">
        <v>0</v>
      </c>
      <c r="L23" s="96">
        <v>0</v>
      </c>
      <c r="M23" s="57">
        <v>0</v>
      </c>
      <c r="N23" s="96">
        <v>0</v>
      </c>
      <c r="O23" s="96">
        <v>0</v>
      </c>
      <c r="P23" s="57">
        <v>0</v>
      </c>
      <c r="Q23" s="96">
        <v>0</v>
      </c>
      <c r="R23" s="96">
        <v>0</v>
      </c>
      <c r="S23" s="57">
        <v>0</v>
      </c>
      <c r="T23" s="96">
        <v>0</v>
      </c>
      <c r="U23" s="96">
        <v>0</v>
      </c>
      <c r="V23" s="58"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CF23" s="50">
        <f t="shared" si="1"/>
        <v>1</v>
      </c>
    </row>
    <row r="24" spans="1:86" x14ac:dyDescent="0.35">
      <c r="A24" t="s">
        <v>204</v>
      </c>
      <c r="B24" s="13" t="s">
        <v>29</v>
      </c>
      <c r="C24" s="13" t="s">
        <v>56</v>
      </c>
      <c r="D24" s="13" t="s">
        <v>205</v>
      </c>
      <c r="E24" s="96">
        <f>'Steel_NG-DR'!H41</f>
        <v>1</v>
      </c>
      <c r="F24" s="111">
        <v>0</v>
      </c>
      <c r="G24" s="57">
        <v>0</v>
      </c>
      <c r="H24" s="96">
        <v>0</v>
      </c>
      <c r="I24" s="96">
        <v>0</v>
      </c>
      <c r="J24" s="57">
        <v>0</v>
      </c>
      <c r="K24" s="96">
        <v>0</v>
      </c>
      <c r="L24" s="96">
        <v>0</v>
      </c>
      <c r="M24" s="57">
        <v>0</v>
      </c>
      <c r="N24" s="96">
        <v>0</v>
      </c>
      <c r="O24" s="96">
        <v>0</v>
      </c>
      <c r="P24" s="57">
        <v>0</v>
      </c>
      <c r="Q24" s="96">
        <v>0</v>
      </c>
      <c r="R24" s="96">
        <v>0</v>
      </c>
      <c r="S24" s="57">
        <v>0</v>
      </c>
      <c r="T24" s="96">
        <v>0</v>
      </c>
      <c r="U24" s="96">
        <v>0</v>
      </c>
      <c r="V24" s="58">
        <v>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CF24" s="366">
        <f t="shared" si="1"/>
        <v>1</v>
      </c>
    </row>
    <row r="25" spans="1:86" x14ac:dyDescent="0.35">
      <c r="A25" t="s">
        <v>206</v>
      </c>
      <c r="B25" s="13" t="s">
        <v>29</v>
      </c>
      <c r="C25" s="13" t="s">
        <v>56</v>
      </c>
      <c r="D25" s="13" t="s">
        <v>207</v>
      </c>
      <c r="E25" s="96">
        <f>'Steel_100%H2-DR'!H41</f>
        <v>1</v>
      </c>
      <c r="F25" s="111">
        <v>0</v>
      </c>
      <c r="G25" s="57">
        <v>0</v>
      </c>
      <c r="H25" s="96">
        <v>0</v>
      </c>
      <c r="I25" s="96">
        <v>0</v>
      </c>
      <c r="J25" s="57">
        <v>0</v>
      </c>
      <c r="K25" s="96">
        <v>0</v>
      </c>
      <c r="L25" s="96">
        <v>0</v>
      </c>
      <c r="M25" s="57">
        <v>0</v>
      </c>
      <c r="N25" s="96">
        <v>0</v>
      </c>
      <c r="O25" s="96">
        <v>0</v>
      </c>
      <c r="P25" s="57">
        <v>0</v>
      </c>
      <c r="Q25" s="96">
        <v>0</v>
      </c>
      <c r="R25" s="96">
        <v>0</v>
      </c>
      <c r="S25" s="57">
        <v>0</v>
      </c>
      <c r="T25" s="96">
        <v>0</v>
      </c>
      <c r="U25" s="96">
        <v>0</v>
      </c>
      <c r="V25" s="58">
        <v>0</v>
      </c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CF25" s="366">
        <f t="shared" si="1"/>
        <v>1</v>
      </c>
    </row>
    <row r="26" spans="1:86" x14ac:dyDescent="0.35">
      <c r="A26" t="s">
        <v>208</v>
      </c>
      <c r="B26" s="13" t="s">
        <v>29</v>
      </c>
      <c r="C26" s="13" t="s">
        <v>56</v>
      </c>
      <c r="D26" s="13" t="s">
        <v>209</v>
      </c>
      <c r="E26" s="96">
        <v>1</v>
      </c>
      <c r="F26" s="111">
        <v>0</v>
      </c>
      <c r="G26" s="57">
        <v>0</v>
      </c>
      <c r="H26" s="96">
        <v>0</v>
      </c>
      <c r="I26" s="96">
        <v>0</v>
      </c>
      <c r="J26" s="57">
        <v>0</v>
      </c>
      <c r="K26" s="96">
        <v>0</v>
      </c>
      <c r="L26" s="96">
        <v>0</v>
      </c>
      <c r="M26" s="57">
        <v>0</v>
      </c>
      <c r="N26" s="96">
        <v>0</v>
      </c>
      <c r="O26" s="96">
        <v>0</v>
      </c>
      <c r="P26" s="57">
        <v>0</v>
      </c>
      <c r="Q26" s="96">
        <v>0</v>
      </c>
      <c r="R26" s="96">
        <v>0</v>
      </c>
      <c r="S26" s="57">
        <v>0</v>
      </c>
      <c r="T26" s="96">
        <v>0</v>
      </c>
      <c r="U26" s="96">
        <v>0</v>
      </c>
      <c r="V26" s="58">
        <v>0</v>
      </c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CF26" s="366">
        <f t="shared" si="1"/>
        <v>1</v>
      </c>
    </row>
    <row r="27" spans="1:86" x14ac:dyDescent="0.35">
      <c r="A27" t="s">
        <v>210</v>
      </c>
      <c r="B27" s="13" t="s">
        <v>29</v>
      </c>
      <c r="C27" s="13" t="s">
        <v>56</v>
      </c>
      <c r="D27" s="13" t="s">
        <v>211</v>
      </c>
      <c r="E27" s="96">
        <v>1</v>
      </c>
      <c r="F27" s="111">
        <v>0</v>
      </c>
      <c r="G27" s="57">
        <v>0</v>
      </c>
      <c r="H27" s="96">
        <v>0</v>
      </c>
      <c r="I27" s="96">
        <v>0</v>
      </c>
      <c r="J27" s="57">
        <v>0</v>
      </c>
      <c r="K27" s="96">
        <v>0</v>
      </c>
      <c r="L27" s="96">
        <v>0</v>
      </c>
      <c r="M27" s="57">
        <v>0</v>
      </c>
      <c r="N27" s="96">
        <v>0</v>
      </c>
      <c r="O27" s="96">
        <v>0</v>
      </c>
      <c r="P27" s="57">
        <v>0</v>
      </c>
      <c r="Q27" s="96">
        <v>0</v>
      </c>
      <c r="R27" s="96">
        <v>0</v>
      </c>
      <c r="S27" s="57">
        <v>0</v>
      </c>
      <c r="T27" s="96">
        <v>0</v>
      </c>
      <c r="U27" s="96">
        <v>0</v>
      </c>
      <c r="V27" s="58">
        <v>0</v>
      </c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CF27" s="366">
        <f t="shared" si="1"/>
        <v>1</v>
      </c>
    </row>
    <row r="28" spans="1:86" x14ac:dyDescent="0.35">
      <c r="A28" t="s">
        <v>212</v>
      </c>
      <c r="B28" s="13" t="s">
        <v>29</v>
      </c>
      <c r="C28" s="13" t="s">
        <v>56</v>
      </c>
      <c r="D28" s="13" t="s">
        <v>213</v>
      </c>
      <c r="E28" s="96">
        <v>1</v>
      </c>
      <c r="F28" s="111">
        <v>0</v>
      </c>
      <c r="G28" s="57">
        <v>0</v>
      </c>
      <c r="H28" s="96">
        <v>0</v>
      </c>
      <c r="I28" s="96">
        <v>0</v>
      </c>
      <c r="J28" s="57">
        <v>0</v>
      </c>
      <c r="K28" s="96">
        <v>0</v>
      </c>
      <c r="L28" s="96">
        <v>0</v>
      </c>
      <c r="M28" s="57">
        <v>0</v>
      </c>
      <c r="N28" s="96">
        <v>0</v>
      </c>
      <c r="O28" s="96">
        <v>0</v>
      </c>
      <c r="P28" s="57">
        <v>0</v>
      </c>
      <c r="Q28" s="96">
        <v>0</v>
      </c>
      <c r="R28" s="96">
        <v>0</v>
      </c>
      <c r="S28" s="57">
        <v>0</v>
      </c>
      <c r="T28" s="96">
        <v>0</v>
      </c>
      <c r="U28" s="96">
        <v>0</v>
      </c>
      <c r="V28" s="58">
        <v>0</v>
      </c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CF28" s="366">
        <f t="shared" si="1"/>
        <v>1</v>
      </c>
    </row>
    <row r="29" spans="1:86" x14ac:dyDescent="0.35">
      <c r="A29" t="s">
        <v>214</v>
      </c>
      <c r="B29" s="13" t="s">
        <v>29</v>
      </c>
      <c r="C29" s="13" t="s">
        <v>53</v>
      </c>
      <c r="D29" s="13" t="s">
        <v>215</v>
      </c>
      <c r="E29" s="96">
        <v>0</v>
      </c>
      <c r="F29" s="247">
        <f>'Steel_NG-DR'!H19+'Steel_100%H2-DR'!H19+'Steel_BF-BOF with H2'!H37</f>
        <v>73.060957317118934</v>
      </c>
      <c r="G29" s="121">
        <v>0</v>
      </c>
      <c r="H29" s="96">
        <v>0</v>
      </c>
      <c r="I29" s="96">
        <v>0</v>
      </c>
      <c r="J29" s="57">
        <v>0</v>
      </c>
      <c r="K29" s="96">
        <v>0</v>
      </c>
      <c r="L29" s="96">
        <v>0</v>
      </c>
      <c r="M29" s="57">
        <v>0</v>
      </c>
      <c r="N29" s="96">
        <v>0</v>
      </c>
      <c r="O29" s="96">
        <v>0</v>
      </c>
      <c r="P29" s="57">
        <v>0</v>
      </c>
      <c r="Q29" s="96">
        <v>0</v>
      </c>
      <c r="R29" s="96">
        <v>0</v>
      </c>
      <c r="S29" s="57">
        <v>0</v>
      </c>
      <c r="T29" s="96">
        <v>0</v>
      </c>
      <c r="U29" s="96">
        <v>0</v>
      </c>
      <c r="V29" s="58">
        <v>0</v>
      </c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CF29" s="246">
        <f t="shared" si="1"/>
        <v>73.060957317118934</v>
      </c>
    </row>
    <row r="30" spans="1:86" ht="15" thickBot="1" x14ac:dyDescent="0.4">
      <c r="A30" t="s">
        <v>216</v>
      </c>
      <c r="B30" s="13" t="s">
        <v>29</v>
      </c>
      <c r="C30" s="13" t="s">
        <v>53</v>
      </c>
      <c r="D30" s="13" t="s">
        <v>217</v>
      </c>
      <c r="E30" s="59">
        <v>0</v>
      </c>
      <c r="F30" s="110">
        <v>0</v>
      </c>
      <c r="G30" s="248">
        <f>'Steel_NG-DR'!H20+'Steel_100%H2-DR'!H20+'Steel_BF-BOF with H2'!H38</f>
        <v>97.114448944395548</v>
      </c>
      <c r="H30" s="59">
        <v>0</v>
      </c>
      <c r="I30" s="59">
        <v>0</v>
      </c>
      <c r="J30" s="60">
        <v>0</v>
      </c>
      <c r="K30" s="59">
        <v>0</v>
      </c>
      <c r="L30" s="59">
        <v>0</v>
      </c>
      <c r="M30" s="60">
        <v>0</v>
      </c>
      <c r="N30" s="59">
        <v>0</v>
      </c>
      <c r="O30" s="59">
        <v>0</v>
      </c>
      <c r="P30" s="60">
        <v>0</v>
      </c>
      <c r="Q30" s="59">
        <v>0</v>
      </c>
      <c r="R30" s="59">
        <v>0</v>
      </c>
      <c r="S30" s="60">
        <v>0</v>
      </c>
      <c r="T30" s="59">
        <v>0</v>
      </c>
      <c r="U30" s="59">
        <v>0</v>
      </c>
      <c r="V30" s="61">
        <v>0</v>
      </c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CF30" s="246">
        <f t="shared" si="1"/>
        <v>97.114448944395548</v>
      </c>
    </row>
    <row r="31" spans="1:86" x14ac:dyDescent="0.35">
      <c r="A31" t="s">
        <v>242</v>
      </c>
      <c r="B31" s="13" t="s">
        <v>237</v>
      </c>
      <c r="C31" s="13" t="s">
        <v>56</v>
      </c>
      <c r="D31" s="13" t="s">
        <v>243</v>
      </c>
      <c r="E31" s="96">
        <v>0</v>
      </c>
      <c r="F31" s="96">
        <v>0</v>
      </c>
      <c r="G31" s="57">
        <v>0</v>
      </c>
      <c r="H31" s="96">
        <v>0</v>
      </c>
      <c r="I31" s="96">
        <v>0</v>
      </c>
      <c r="J31" s="57">
        <v>0</v>
      </c>
      <c r="K31" s="96">
        <v>0</v>
      </c>
      <c r="L31" s="96">
        <v>0</v>
      </c>
      <c r="M31" s="57">
        <v>0</v>
      </c>
      <c r="N31" s="96">
        <v>0</v>
      </c>
      <c r="O31" s="96">
        <v>0</v>
      </c>
      <c r="P31" s="57">
        <v>0</v>
      </c>
      <c r="Q31" s="96">
        <v>0</v>
      </c>
      <c r="R31" s="96">
        <v>0</v>
      </c>
      <c r="S31" s="57">
        <v>0</v>
      </c>
      <c r="T31" s="96">
        <v>0</v>
      </c>
      <c r="U31" s="96">
        <v>0</v>
      </c>
      <c r="V31" s="58">
        <v>0</v>
      </c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CF31" s="50">
        <f t="shared" si="1"/>
        <v>0</v>
      </c>
    </row>
    <row r="32" spans="1:86" x14ac:dyDescent="0.35">
      <c r="A32" t="s">
        <v>202</v>
      </c>
      <c r="B32" s="13" t="s">
        <v>237</v>
      </c>
      <c r="C32" s="13" t="s">
        <v>56</v>
      </c>
      <c r="D32" s="13" t="s">
        <v>203</v>
      </c>
      <c r="E32" s="96">
        <v>0</v>
      </c>
      <c r="F32" s="96">
        <v>0</v>
      </c>
      <c r="G32" s="57">
        <v>0</v>
      </c>
      <c r="H32" s="96">
        <v>0</v>
      </c>
      <c r="I32" s="96">
        <v>0</v>
      </c>
      <c r="J32" s="57">
        <v>0</v>
      </c>
      <c r="K32" s="96">
        <v>0</v>
      </c>
      <c r="L32" s="96">
        <v>0</v>
      </c>
      <c r="M32" s="57">
        <v>0</v>
      </c>
      <c r="N32" s="96">
        <v>0</v>
      </c>
      <c r="O32" s="96">
        <v>0</v>
      </c>
      <c r="P32" s="57">
        <v>0</v>
      </c>
      <c r="Q32" s="96">
        <v>0</v>
      </c>
      <c r="R32" s="96">
        <v>0</v>
      </c>
      <c r="S32" s="57">
        <v>0</v>
      </c>
      <c r="T32" s="96">
        <v>0</v>
      </c>
      <c r="U32" s="96">
        <v>0</v>
      </c>
      <c r="V32" s="58">
        <v>0</v>
      </c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CF32" s="50">
        <f t="shared" si="1"/>
        <v>0</v>
      </c>
    </row>
    <row r="33" spans="1:84" x14ac:dyDescent="0.35">
      <c r="A33" t="s">
        <v>204</v>
      </c>
      <c r="B33" s="13" t="s">
        <v>237</v>
      </c>
      <c r="C33" s="13" t="s">
        <v>56</v>
      </c>
      <c r="D33" s="13" t="s">
        <v>205</v>
      </c>
      <c r="E33" s="96">
        <v>0</v>
      </c>
      <c r="F33" s="96">
        <v>0</v>
      </c>
      <c r="G33" s="57">
        <v>0</v>
      </c>
      <c r="H33" s="96">
        <v>0</v>
      </c>
      <c r="I33" s="96">
        <v>0</v>
      </c>
      <c r="J33" s="57">
        <v>0</v>
      </c>
      <c r="K33" s="96">
        <v>0</v>
      </c>
      <c r="L33" s="96">
        <v>0</v>
      </c>
      <c r="M33" s="57">
        <v>0</v>
      </c>
      <c r="N33" s="96">
        <v>0</v>
      </c>
      <c r="O33" s="96">
        <v>0</v>
      </c>
      <c r="P33" s="57">
        <v>0</v>
      </c>
      <c r="Q33" s="96">
        <v>0</v>
      </c>
      <c r="R33" s="96">
        <v>0</v>
      </c>
      <c r="S33" s="57">
        <v>0</v>
      </c>
      <c r="T33" s="96">
        <v>0</v>
      </c>
      <c r="U33" s="96">
        <v>0</v>
      </c>
      <c r="V33" s="58">
        <v>0</v>
      </c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CF33" s="50">
        <f t="shared" si="1"/>
        <v>0</v>
      </c>
    </row>
    <row r="34" spans="1:84" x14ac:dyDescent="0.35">
      <c r="A34" t="s">
        <v>206</v>
      </c>
      <c r="B34" s="13" t="s">
        <v>237</v>
      </c>
      <c r="C34" s="13" t="s">
        <v>56</v>
      </c>
      <c r="D34" s="13" t="s">
        <v>207</v>
      </c>
      <c r="E34" s="96">
        <v>0</v>
      </c>
      <c r="F34" s="96">
        <v>0</v>
      </c>
      <c r="G34" s="57">
        <v>0</v>
      </c>
      <c r="H34" s="96">
        <v>0</v>
      </c>
      <c r="I34" s="96">
        <v>0</v>
      </c>
      <c r="J34" s="57">
        <v>0</v>
      </c>
      <c r="K34" s="96">
        <v>0</v>
      </c>
      <c r="L34" s="96">
        <v>0</v>
      </c>
      <c r="M34" s="57">
        <v>0</v>
      </c>
      <c r="N34" s="96">
        <v>0</v>
      </c>
      <c r="O34" s="96">
        <v>0</v>
      </c>
      <c r="P34" s="57">
        <v>0</v>
      </c>
      <c r="Q34" s="96">
        <v>0</v>
      </c>
      <c r="R34" s="96">
        <v>0</v>
      </c>
      <c r="S34" s="57">
        <v>0</v>
      </c>
      <c r="T34" s="96">
        <v>0</v>
      </c>
      <c r="U34" s="96">
        <v>0</v>
      </c>
      <c r="V34" s="58">
        <v>0</v>
      </c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CF34" s="50">
        <f t="shared" si="1"/>
        <v>0</v>
      </c>
    </row>
    <row r="35" spans="1:84" x14ac:dyDescent="0.35">
      <c r="A35" t="s">
        <v>208</v>
      </c>
      <c r="B35" s="13" t="s">
        <v>237</v>
      </c>
      <c r="C35" s="13" t="s">
        <v>56</v>
      </c>
      <c r="D35" s="13" t="s">
        <v>209</v>
      </c>
      <c r="E35" s="96">
        <v>0</v>
      </c>
      <c r="F35" s="96">
        <v>0</v>
      </c>
      <c r="G35" s="57">
        <v>0</v>
      </c>
      <c r="H35" s="96">
        <v>0</v>
      </c>
      <c r="I35" s="96">
        <v>0</v>
      </c>
      <c r="J35" s="57">
        <v>0</v>
      </c>
      <c r="K35" s="96">
        <v>0</v>
      </c>
      <c r="L35" s="96">
        <v>0</v>
      </c>
      <c r="M35" s="57">
        <v>0</v>
      </c>
      <c r="N35" s="96">
        <v>0</v>
      </c>
      <c r="O35" s="96">
        <v>0</v>
      </c>
      <c r="P35" s="57">
        <v>0</v>
      </c>
      <c r="Q35" s="96">
        <v>0</v>
      </c>
      <c r="R35" s="96">
        <v>0</v>
      </c>
      <c r="S35" s="57">
        <v>0</v>
      </c>
      <c r="T35" s="96">
        <v>0</v>
      </c>
      <c r="U35" s="96">
        <v>0</v>
      </c>
      <c r="V35" s="58">
        <v>0</v>
      </c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CF35" s="50">
        <f t="shared" si="1"/>
        <v>0</v>
      </c>
    </row>
    <row r="36" spans="1:84" x14ac:dyDescent="0.35">
      <c r="A36" t="s">
        <v>210</v>
      </c>
      <c r="B36" s="13" t="s">
        <v>237</v>
      </c>
      <c r="C36" s="13" t="s">
        <v>56</v>
      </c>
      <c r="D36" s="13" t="s">
        <v>211</v>
      </c>
      <c r="E36" s="96">
        <v>0</v>
      </c>
      <c r="F36" s="96">
        <v>0</v>
      </c>
      <c r="G36" s="57">
        <v>0</v>
      </c>
      <c r="H36" s="96">
        <v>0</v>
      </c>
      <c r="I36" s="96">
        <v>0</v>
      </c>
      <c r="J36" s="57">
        <v>0</v>
      </c>
      <c r="K36" s="96">
        <v>0</v>
      </c>
      <c r="L36" s="96">
        <v>0</v>
      </c>
      <c r="M36" s="57">
        <v>0</v>
      </c>
      <c r="N36" s="96">
        <v>0</v>
      </c>
      <c r="O36" s="96">
        <v>0</v>
      </c>
      <c r="P36" s="57">
        <v>0</v>
      </c>
      <c r="Q36" s="96">
        <v>0</v>
      </c>
      <c r="R36" s="96">
        <v>0</v>
      </c>
      <c r="S36" s="57">
        <v>0</v>
      </c>
      <c r="T36" s="96">
        <v>0</v>
      </c>
      <c r="U36" s="96">
        <v>0</v>
      </c>
      <c r="V36" s="58">
        <v>0</v>
      </c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CF36" s="50">
        <f t="shared" si="1"/>
        <v>0</v>
      </c>
    </row>
    <row r="37" spans="1:84" x14ac:dyDescent="0.35">
      <c r="A37" t="s">
        <v>212</v>
      </c>
      <c r="B37" s="13" t="s">
        <v>237</v>
      </c>
      <c r="C37" s="13" t="s">
        <v>56</v>
      </c>
      <c r="D37" s="13" t="s">
        <v>213</v>
      </c>
      <c r="E37" s="96">
        <v>0</v>
      </c>
      <c r="F37" s="96">
        <v>0</v>
      </c>
      <c r="G37" s="57">
        <v>0</v>
      </c>
      <c r="H37" s="96">
        <v>0</v>
      </c>
      <c r="I37" s="96">
        <v>0</v>
      </c>
      <c r="J37" s="57">
        <v>0</v>
      </c>
      <c r="K37" s="96">
        <v>0</v>
      </c>
      <c r="L37" s="96">
        <v>0</v>
      </c>
      <c r="M37" s="57">
        <v>0</v>
      </c>
      <c r="N37" s="96">
        <v>0</v>
      </c>
      <c r="O37" s="96">
        <v>0</v>
      </c>
      <c r="P37" s="57">
        <v>0</v>
      </c>
      <c r="Q37" s="96">
        <v>0</v>
      </c>
      <c r="R37" s="96">
        <v>0</v>
      </c>
      <c r="S37" s="57">
        <v>0</v>
      </c>
      <c r="T37" s="96">
        <v>0</v>
      </c>
      <c r="U37" s="96">
        <v>0</v>
      </c>
      <c r="V37" s="58">
        <v>0</v>
      </c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CF37" s="50">
        <f t="shared" si="1"/>
        <v>0</v>
      </c>
    </row>
    <row r="38" spans="1:84" x14ac:dyDescent="0.35">
      <c r="A38" t="s">
        <v>214</v>
      </c>
      <c r="B38" s="13" t="s">
        <v>237</v>
      </c>
      <c r="C38" s="13" t="s">
        <v>53</v>
      </c>
      <c r="D38" s="13" t="s">
        <v>215</v>
      </c>
      <c r="E38" s="96">
        <v>0</v>
      </c>
      <c r="F38" s="96">
        <v>0</v>
      </c>
      <c r="G38" s="57">
        <v>0</v>
      </c>
      <c r="H38" s="96">
        <v>0</v>
      </c>
      <c r="I38" s="96">
        <v>0</v>
      </c>
      <c r="J38" s="57">
        <v>0</v>
      </c>
      <c r="K38" s="96">
        <v>0</v>
      </c>
      <c r="L38" s="96">
        <v>0</v>
      </c>
      <c r="M38" s="57">
        <v>0</v>
      </c>
      <c r="N38" s="96">
        <v>0</v>
      </c>
      <c r="O38" s="96">
        <v>0</v>
      </c>
      <c r="P38" s="57">
        <v>0</v>
      </c>
      <c r="Q38" s="96">
        <v>0</v>
      </c>
      <c r="R38" s="96">
        <v>0</v>
      </c>
      <c r="S38" s="57">
        <v>0</v>
      </c>
      <c r="T38" s="96">
        <v>0</v>
      </c>
      <c r="U38" s="96">
        <v>0</v>
      </c>
      <c r="V38" s="58">
        <v>0</v>
      </c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CF38" s="50">
        <f t="shared" si="1"/>
        <v>0</v>
      </c>
    </row>
    <row r="39" spans="1:84" ht="15" thickBot="1" x14ac:dyDescent="0.4">
      <c r="A39" t="s">
        <v>216</v>
      </c>
      <c r="B39" s="13" t="s">
        <v>237</v>
      </c>
      <c r="C39" s="13" t="s">
        <v>53</v>
      </c>
      <c r="D39" s="13" t="s">
        <v>217</v>
      </c>
      <c r="E39" s="59">
        <v>0</v>
      </c>
      <c r="F39" s="59">
        <v>0</v>
      </c>
      <c r="G39" s="60">
        <v>0</v>
      </c>
      <c r="H39" s="59">
        <v>0</v>
      </c>
      <c r="I39" s="59">
        <v>0</v>
      </c>
      <c r="J39" s="60">
        <v>0</v>
      </c>
      <c r="K39" s="59">
        <v>0</v>
      </c>
      <c r="L39" s="59">
        <v>0</v>
      </c>
      <c r="M39" s="60">
        <v>0</v>
      </c>
      <c r="N39" s="59">
        <v>0</v>
      </c>
      <c r="O39" s="59">
        <v>0</v>
      </c>
      <c r="P39" s="60">
        <v>0</v>
      </c>
      <c r="Q39" s="59">
        <v>0</v>
      </c>
      <c r="R39" s="59">
        <v>0</v>
      </c>
      <c r="S39" s="60">
        <v>0</v>
      </c>
      <c r="T39" s="59">
        <v>0</v>
      </c>
      <c r="U39" s="59">
        <v>0</v>
      </c>
      <c r="V39" s="61">
        <v>0</v>
      </c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CF39" s="50">
        <f t="shared" si="1"/>
        <v>0</v>
      </c>
    </row>
    <row r="40" spans="1:84" x14ac:dyDescent="0.35">
      <c r="A40" t="s">
        <v>242</v>
      </c>
      <c r="B40" s="13" t="s">
        <v>238</v>
      </c>
      <c r="C40" s="13" t="s">
        <v>56</v>
      </c>
      <c r="D40" s="13" t="s">
        <v>243</v>
      </c>
      <c r="E40" s="96">
        <v>0</v>
      </c>
      <c r="F40" s="96">
        <v>0</v>
      </c>
      <c r="G40" s="57">
        <v>0</v>
      </c>
      <c r="H40" s="96">
        <v>0</v>
      </c>
      <c r="I40" s="96">
        <v>0</v>
      </c>
      <c r="J40" s="57">
        <v>0</v>
      </c>
      <c r="K40" s="96">
        <v>0</v>
      </c>
      <c r="L40" s="96">
        <v>0</v>
      </c>
      <c r="M40" s="57">
        <v>0</v>
      </c>
      <c r="N40" s="96">
        <v>0</v>
      </c>
      <c r="O40" s="96">
        <v>0</v>
      </c>
      <c r="P40" s="57">
        <v>0</v>
      </c>
      <c r="Q40" s="96">
        <v>0</v>
      </c>
      <c r="R40" s="96">
        <v>0</v>
      </c>
      <c r="S40" s="57">
        <v>0</v>
      </c>
      <c r="T40" s="96">
        <v>0</v>
      </c>
      <c r="U40" s="96">
        <v>0</v>
      </c>
      <c r="V40" s="58">
        <v>0</v>
      </c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CF40" s="50">
        <f t="shared" si="1"/>
        <v>0</v>
      </c>
    </row>
    <row r="41" spans="1:84" x14ac:dyDescent="0.35">
      <c r="A41" t="s">
        <v>202</v>
      </c>
      <c r="B41" s="13" t="s">
        <v>238</v>
      </c>
      <c r="C41" s="13" t="s">
        <v>56</v>
      </c>
      <c r="D41" s="13" t="s">
        <v>203</v>
      </c>
      <c r="E41" s="96">
        <v>0</v>
      </c>
      <c r="F41" s="96">
        <v>0</v>
      </c>
      <c r="G41" s="57">
        <v>0</v>
      </c>
      <c r="H41" s="96">
        <v>0</v>
      </c>
      <c r="I41" s="96">
        <v>0</v>
      </c>
      <c r="J41" s="57">
        <v>0</v>
      </c>
      <c r="K41" s="96">
        <v>0</v>
      </c>
      <c r="L41" s="96">
        <v>0</v>
      </c>
      <c r="M41" s="57">
        <v>0</v>
      </c>
      <c r="N41" s="96">
        <v>0</v>
      </c>
      <c r="O41" s="96">
        <v>0</v>
      </c>
      <c r="P41" s="57">
        <v>0</v>
      </c>
      <c r="Q41" s="96">
        <v>0</v>
      </c>
      <c r="R41" s="96">
        <v>0</v>
      </c>
      <c r="S41" s="57">
        <v>0</v>
      </c>
      <c r="T41" s="96">
        <v>0</v>
      </c>
      <c r="U41" s="96">
        <v>0</v>
      </c>
      <c r="V41" s="58">
        <v>0</v>
      </c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CF41" s="50">
        <f t="shared" si="1"/>
        <v>0</v>
      </c>
    </row>
    <row r="42" spans="1:84" x14ac:dyDescent="0.35">
      <c r="A42" t="s">
        <v>204</v>
      </c>
      <c r="B42" s="13" t="s">
        <v>238</v>
      </c>
      <c r="C42" s="13" t="s">
        <v>56</v>
      </c>
      <c r="D42" s="13" t="s">
        <v>205</v>
      </c>
      <c r="E42" s="96">
        <v>0</v>
      </c>
      <c r="F42" s="96">
        <v>0</v>
      </c>
      <c r="G42" s="57">
        <v>0</v>
      </c>
      <c r="H42" s="96">
        <v>0</v>
      </c>
      <c r="I42" s="96">
        <v>0</v>
      </c>
      <c r="J42" s="57">
        <v>0</v>
      </c>
      <c r="K42" s="96">
        <v>0</v>
      </c>
      <c r="L42" s="96">
        <v>0</v>
      </c>
      <c r="M42" s="57">
        <v>0</v>
      </c>
      <c r="N42" s="96">
        <v>0</v>
      </c>
      <c r="O42" s="96">
        <v>0</v>
      </c>
      <c r="P42" s="57">
        <v>0</v>
      </c>
      <c r="Q42" s="96">
        <v>0</v>
      </c>
      <c r="R42" s="96">
        <v>0</v>
      </c>
      <c r="S42" s="57">
        <v>0</v>
      </c>
      <c r="T42" s="96">
        <v>0</v>
      </c>
      <c r="U42" s="96">
        <v>0</v>
      </c>
      <c r="V42" s="58">
        <v>0</v>
      </c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CF42" s="50">
        <f t="shared" si="1"/>
        <v>0</v>
      </c>
    </row>
    <row r="43" spans="1:84" x14ac:dyDescent="0.35">
      <c r="A43" t="s">
        <v>206</v>
      </c>
      <c r="B43" s="13" t="s">
        <v>238</v>
      </c>
      <c r="C43" s="13" t="s">
        <v>56</v>
      </c>
      <c r="D43" s="13" t="s">
        <v>207</v>
      </c>
      <c r="E43" s="96">
        <v>0</v>
      </c>
      <c r="F43" s="96">
        <v>0</v>
      </c>
      <c r="G43" s="57">
        <v>0</v>
      </c>
      <c r="H43" s="96">
        <v>0</v>
      </c>
      <c r="I43" s="96">
        <v>0</v>
      </c>
      <c r="J43" s="57">
        <v>0</v>
      </c>
      <c r="K43" s="96">
        <v>0</v>
      </c>
      <c r="L43" s="96">
        <v>0</v>
      </c>
      <c r="M43" s="57">
        <v>0</v>
      </c>
      <c r="N43" s="96">
        <v>0</v>
      </c>
      <c r="O43" s="96">
        <v>0</v>
      </c>
      <c r="P43" s="57">
        <v>0</v>
      </c>
      <c r="Q43" s="96">
        <v>0</v>
      </c>
      <c r="R43" s="96">
        <v>0</v>
      </c>
      <c r="S43" s="57">
        <v>0</v>
      </c>
      <c r="T43" s="96">
        <v>0</v>
      </c>
      <c r="U43" s="96">
        <v>0</v>
      </c>
      <c r="V43" s="58">
        <v>0</v>
      </c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CF43" s="50">
        <f t="shared" si="1"/>
        <v>0</v>
      </c>
    </row>
    <row r="44" spans="1:84" x14ac:dyDescent="0.35">
      <c r="A44" t="s">
        <v>208</v>
      </c>
      <c r="B44" s="13" t="s">
        <v>238</v>
      </c>
      <c r="C44" s="13" t="s">
        <v>56</v>
      </c>
      <c r="D44" s="13" t="s">
        <v>209</v>
      </c>
      <c r="E44" s="96">
        <v>0</v>
      </c>
      <c r="F44" s="96">
        <v>0</v>
      </c>
      <c r="G44" s="57">
        <v>0</v>
      </c>
      <c r="H44" s="96">
        <v>0</v>
      </c>
      <c r="I44" s="96">
        <v>0</v>
      </c>
      <c r="J44" s="57">
        <v>0</v>
      </c>
      <c r="K44" s="96">
        <v>0</v>
      </c>
      <c r="L44" s="96">
        <v>0</v>
      </c>
      <c r="M44" s="57">
        <v>0</v>
      </c>
      <c r="N44" s="96">
        <v>0</v>
      </c>
      <c r="O44" s="96">
        <v>0</v>
      </c>
      <c r="P44" s="57">
        <v>0</v>
      </c>
      <c r="Q44" s="96">
        <v>0</v>
      </c>
      <c r="R44" s="96">
        <v>0</v>
      </c>
      <c r="S44" s="57">
        <v>0</v>
      </c>
      <c r="T44" s="96">
        <v>0</v>
      </c>
      <c r="U44" s="96">
        <v>0</v>
      </c>
      <c r="V44" s="58">
        <v>0</v>
      </c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CF44" s="50">
        <f t="shared" si="1"/>
        <v>0</v>
      </c>
    </row>
    <row r="45" spans="1:84" x14ac:dyDescent="0.35">
      <c r="A45" t="s">
        <v>210</v>
      </c>
      <c r="B45" s="13" t="s">
        <v>238</v>
      </c>
      <c r="C45" s="13" t="s">
        <v>56</v>
      </c>
      <c r="D45" s="13" t="s">
        <v>211</v>
      </c>
      <c r="E45" s="96">
        <v>0</v>
      </c>
      <c r="F45" s="96">
        <v>0</v>
      </c>
      <c r="G45" s="57">
        <v>0</v>
      </c>
      <c r="H45" s="96">
        <v>0</v>
      </c>
      <c r="I45" s="96">
        <v>0</v>
      </c>
      <c r="J45" s="57">
        <v>0</v>
      </c>
      <c r="K45" s="96">
        <v>0</v>
      </c>
      <c r="L45" s="96">
        <v>0</v>
      </c>
      <c r="M45" s="57">
        <v>0</v>
      </c>
      <c r="N45" s="96">
        <v>0</v>
      </c>
      <c r="O45" s="96">
        <v>0</v>
      </c>
      <c r="P45" s="57">
        <v>0</v>
      </c>
      <c r="Q45" s="96">
        <v>0</v>
      </c>
      <c r="R45" s="96">
        <v>0</v>
      </c>
      <c r="S45" s="57">
        <v>0</v>
      </c>
      <c r="T45" s="96">
        <v>0</v>
      </c>
      <c r="U45" s="96">
        <v>0</v>
      </c>
      <c r="V45" s="58">
        <v>0</v>
      </c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CF45" s="50">
        <f t="shared" si="1"/>
        <v>0</v>
      </c>
    </row>
    <row r="46" spans="1:84" x14ac:dyDescent="0.35">
      <c r="A46" t="s">
        <v>212</v>
      </c>
      <c r="B46" s="13" t="s">
        <v>238</v>
      </c>
      <c r="C46" s="13" t="s">
        <v>56</v>
      </c>
      <c r="D46" s="13" t="s">
        <v>213</v>
      </c>
      <c r="E46" s="96">
        <v>0</v>
      </c>
      <c r="F46" s="96">
        <v>0</v>
      </c>
      <c r="G46" s="57">
        <v>0</v>
      </c>
      <c r="H46" s="96">
        <v>0</v>
      </c>
      <c r="I46" s="96">
        <v>0</v>
      </c>
      <c r="J46" s="57">
        <v>0</v>
      </c>
      <c r="K46" s="96">
        <v>0</v>
      </c>
      <c r="L46" s="96">
        <v>0</v>
      </c>
      <c r="M46" s="57">
        <v>0</v>
      </c>
      <c r="N46" s="96">
        <v>0</v>
      </c>
      <c r="O46" s="96">
        <v>0</v>
      </c>
      <c r="P46" s="57">
        <v>0</v>
      </c>
      <c r="Q46" s="96">
        <v>0</v>
      </c>
      <c r="R46" s="96">
        <v>0</v>
      </c>
      <c r="S46" s="57">
        <v>0</v>
      </c>
      <c r="T46" s="96">
        <v>0</v>
      </c>
      <c r="U46" s="96">
        <v>0</v>
      </c>
      <c r="V46" s="58">
        <v>0</v>
      </c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CF46" s="50">
        <f t="shared" si="1"/>
        <v>0</v>
      </c>
    </row>
    <row r="47" spans="1:84" x14ac:dyDescent="0.35">
      <c r="A47" t="s">
        <v>244</v>
      </c>
      <c r="B47" s="13" t="s">
        <v>238</v>
      </c>
      <c r="C47" s="13" t="s">
        <v>53</v>
      </c>
      <c r="D47" s="13" t="s">
        <v>215</v>
      </c>
      <c r="E47" s="96">
        <v>0</v>
      </c>
      <c r="F47" s="96">
        <v>0</v>
      </c>
      <c r="G47" s="57">
        <v>0</v>
      </c>
      <c r="H47" s="96">
        <v>0</v>
      </c>
      <c r="I47" s="96">
        <v>0</v>
      </c>
      <c r="J47" s="57">
        <v>0</v>
      </c>
      <c r="K47" s="96">
        <v>0</v>
      </c>
      <c r="L47" s="96">
        <v>0</v>
      </c>
      <c r="M47" s="57">
        <v>0</v>
      </c>
      <c r="N47" s="96">
        <v>0</v>
      </c>
      <c r="O47" s="96">
        <v>0</v>
      </c>
      <c r="P47" s="57">
        <v>0</v>
      </c>
      <c r="Q47" s="96">
        <v>0</v>
      </c>
      <c r="R47" s="96">
        <v>0</v>
      </c>
      <c r="S47" s="57">
        <v>0</v>
      </c>
      <c r="T47" s="96">
        <v>0</v>
      </c>
      <c r="U47" s="96">
        <v>0</v>
      </c>
      <c r="V47" s="58">
        <v>0</v>
      </c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CF47" s="50">
        <f t="shared" si="1"/>
        <v>0</v>
      </c>
    </row>
    <row r="48" spans="1:84" ht="15" thickBot="1" x14ac:dyDescent="0.4">
      <c r="A48" t="s">
        <v>216</v>
      </c>
      <c r="B48" s="13" t="s">
        <v>238</v>
      </c>
      <c r="C48" s="13" t="s">
        <v>53</v>
      </c>
      <c r="D48" s="13" t="s">
        <v>217</v>
      </c>
      <c r="E48" s="59">
        <v>0</v>
      </c>
      <c r="F48" s="59">
        <v>0</v>
      </c>
      <c r="G48" s="60">
        <v>0</v>
      </c>
      <c r="H48" s="59">
        <v>0</v>
      </c>
      <c r="I48" s="59">
        <v>0</v>
      </c>
      <c r="J48" s="60">
        <v>0</v>
      </c>
      <c r="K48" s="59">
        <v>0</v>
      </c>
      <c r="L48" s="59">
        <v>0</v>
      </c>
      <c r="M48" s="60">
        <v>0</v>
      </c>
      <c r="N48" s="59">
        <v>0</v>
      </c>
      <c r="O48" s="59">
        <v>0</v>
      </c>
      <c r="P48" s="60">
        <v>0</v>
      </c>
      <c r="Q48" s="59">
        <v>0</v>
      </c>
      <c r="R48" s="59">
        <v>0</v>
      </c>
      <c r="S48" s="60">
        <v>0</v>
      </c>
      <c r="T48" s="59">
        <v>0</v>
      </c>
      <c r="U48" s="59">
        <v>0</v>
      </c>
      <c r="V48" s="61">
        <v>0</v>
      </c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CF48" s="50">
        <f t="shared" si="1"/>
        <v>0</v>
      </c>
    </row>
    <row r="49" spans="1:84" x14ac:dyDescent="0.35">
      <c r="A49" t="s">
        <v>242</v>
      </c>
      <c r="B49" s="13" t="s">
        <v>239</v>
      </c>
      <c r="C49" s="13" t="s">
        <v>56</v>
      </c>
      <c r="D49" s="13" t="s">
        <v>243</v>
      </c>
      <c r="E49" s="96">
        <v>0</v>
      </c>
      <c r="F49" s="96">
        <v>0</v>
      </c>
      <c r="G49" s="57">
        <v>0</v>
      </c>
      <c r="H49" s="96">
        <v>0</v>
      </c>
      <c r="I49" s="96">
        <v>0</v>
      </c>
      <c r="J49" s="57">
        <v>0</v>
      </c>
      <c r="K49" s="96">
        <v>0</v>
      </c>
      <c r="L49" s="96">
        <v>0</v>
      </c>
      <c r="M49" s="57">
        <v>0</v>
      </c>
      <c r="N49" s="96">
        <v>0</v>
      </c>
      <c r="O49" s="96">
        <v>0</v>
      </c>
      <c r="P49" s="57">
        <v>0</v>
      </c>
      <c r="Q49" s="96">
        <v>0</v>
      </c>
      <c r="R49" s="96">
        <v>0</v>
      </c>
      <c r="S49" s="57">
        <v>0</v>
      </c>
      <c r="T49" s="96">
        <v>0</v>
      </c>
      <c r="U49" s="96">
        <v>0</v>
      </c>
      <c r="V49" s="58">
        <v>0</v>
      </c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CF49" s="50">
        <f t="shared" si="1"/>
        <v>0</v>
      </c>
    </row>
    <row r="50" spans="1:84" x14ac:dyDescent="0.35">
      <c r="A50" t="s">
        <v>202</v>
      </c>
      <c r="B50" s="13" t="s">
        <v>239</v>
      </c>
      <c r="C50" s="13" t="s">
        <v>56</v>
      </c>
      <c r="D50" s="13" t="s">
        <v>203</v>
      </c>
      <c r="E50" s="96">
        <v>0</v>
      </c>
      <c r="F50" s="96">
        <v>0</v>
      </c>
      <c r="G50" s="57">
        <v>0</v>
      </c>
      <c r="H50" s="96">
        <v>0</v>
      </c>
      <c r="I50" s="96">
        <v>0</v>
      </c>
      <c r="J50" s="57">
        <v>0</v>
      </c>
      <c r="K50" s="96">
        <v>0</v>
      </c>
      <c r="L50" s="96">
        <v>0</v>
      </c>
      <c r="M50" s="57">
        <v>0</v>
      </c>
      <c r="N50" s="96">
        <v>0</v>
      </c>
      <c r="O50" s="96">
        <v>0</v>
      </c>
      <c r="P50" s="57">
        <v>0</v>
      </c>
      <c r="Q50" s="96">
        <v>0</v>
      </c>
      <c r="R50" s="96">
        <v>0</v>
      </c>
      <c r="S50" s="57">
        <v>0</v>
      </c>
      <c r="T50" s="96">
        <v>0</v>
      </c>
      <c r="U50" s="96">
        <v>0</v>
      </c>
      <c r="V50" s="58">
        <v>0</v>
      </c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CF50" s="50">
        <f t="shared" si="1"/>
        <v>0</v>
      </c>
    </row>
    <row r="51" spans="1:84" x14ac:dyDescent="0.35">
      <c r="A51" t="s">
        <v>204</v>
      </c>
      <c r="B51" s="13" t="s">
        <v>239</v>
      </c>
      <c r="C51" s="13" t="s">
        <v>56</v>
      </c>
      <c r="D51" s="13" t="s">
        <v>205</v>
      </c>
      <c r="E51" s="96">
        <v>0</v>
      </c>
      <c r="F51" s="96">
        <v>0</v>
      </c>
      <c r="G51" s="57">
        <v>0</v>
      </c>
      <c r="H51" s="96">
        <v>0</v>
      </c>
      <c r="I51" s="96">
        <v>0</v>
      </c>
      <c r="J51" s="57">
        <v>0</v>
      </c>
      <c r="K51" s="96">
        <v>0</v>
      </c>
      <c r="L51" s="96">
        <v>0</v>
      </c>
      <c r="M51" s="57">
        <v>0</v>
      </c>
      <c r="N51" s="96">
        <v>0</v>
      </c>
      <c r="O51" s="96">
        <v>0</v>
      </c>
      <c r="P51" s="57">
        <v>0</v>
      </c>
      <c r="Q51" s="96">
        <v>0</v>
      </c>
      <c r="R51" s="96">
        <v>0</v>
      </c>
      <c r="S51" s="57">
        <v>0</v>
      </c>
      <c r="T51" s="96">
        <v>0</v>
      </c>
      <c r="U51" s="96">
        <v>0</v>
      </c>
      <c r="V51" s="58">
        <v>0</v>
      </c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CF51" s="50">
        <f t="shared" si="1"/>
        <v>0</v>
      </c>
    </row>
    <row r="52" spans="1:84" x14ac:dyDescent="0.35">
      <c r="A52" t="s">
        <v>206</v>
      </c>
      <c r="B52" s="13" t="s">
        <v>239</v>
      </c>
      <c r="C52" s="13" t="s">
        <v>56</v>
      </c>
      <c r="D52" s="13" t="s">
        <v>207</v>
      </c>
      <c r="E52" s="96">
        <v>0</v>
      </c>
      <c r="F52" s="96">
        <v>0</v>
      </c>
      <c r="G52" s="57">
        <v>0</v>
      </c>
      <c r="H52" s="96">
        <v>0</v>
      </c>
      <c r="I52" s="96">
        <v>0</v>
      </c>
      <c r="J52" s="57">
        <v>0</v>
      </c>
      <c r="K52" s="96">
        <v>0</v>
      </c>
      <c r="L52" s="96">
        <v>0</v>
      </c>
      <c r="M52" s="57">
        <v>0</v>
      </c>
      <c r="N52" s="96">
        <v>0</v>
      </c>
      <c r="O52" s="96">
        <v>0</v>
      </c>
      <c r="P52" s="57">
        <v>0</v>
      </c>
      <c r="Q52" s="96">
        <v>0</v>
      </c>
      <c r="R52" s="96">
        <v>0</v>
      </c>
      <c r="S52" s="57">
        <v>0</v>
      </c>
      <c r="T52" s="96">
        <v>0</v>
      </c>
      <c r="U52" s="96">
        <v>0</v>
      </c>
      <c r="V52" s="58">
        <v>0</v>
      </c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CF52" s="50">
        <f t="shared" si="1"/>
        <v>0</v>
      </c>
    </row>
    <row r="53" spans="1:84" x14ac:dyDescent="0.35">
      <c r="A53" t="s">
        <v>208</v>
      </c>
      <c r="B53" s="13" t="s">
        <v>239</v>
      </c>
      <c r="C53" s="13" t="s">
        <v>56</v>
      </c>
      <c r="D53" s="13" t="s">
        <v>209</v>
      </c>
      <c r="E53" s="96">
        <v>0</v>
      </c>
      <c r="F53" s="96">
        <v>0</v>
      </c>
      <c r="G53" s="57">
        <v>0</v>
      </c>
      <c r="H53" s="96">
        <v>0</v>
      </c>
      <c r="I53" s="96">
        <v>0</v>
      </c>
      <c r="J53" s="57">
        <v>0</v>
      </c>
      <c r="K53" s="96">
        <v>0</v>
      </c>
      <c r="L53" s="96">
        <v>0</v>
      </c>
      <c r="M53" s="57">
        <v>0</v>
      </c>
      <c r="N53" s="96">
        <v>0</v>
      </c>
      <c r="O53" s="96">
        <v>0</v>
      </c>
      <c r="P53" s="57">
        <v>0</v>
      </c>
      <c r="Q53" s="96">
        <v>0</v>
      </c>
      <c r="R53" s="96">
        <v>0</v>
      </c>
      <c r="S53" s="57">
        <v>0</v>
      </c>
      <c r="T53" s="96">
        <v>0</v>
      </c>
      <c r="U53" s="96">
        <v>0</v>
      </c>
      <c r="V53" s="58">
        <v>0</v>
      </c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CF53" s="50">
        <f t="shared" si="1"/>
        <v>0</v>
      </c>
    </row>
    <row r="54" spans="1:84" x14ac:dyDescent="0.35">
      <c r="A54" t="s">
        <v>210</v>
      </c>
      <c r="B54" s="13" t="s">
        <v>239</v>
      </c>
      <c r="C54" s="13" t="s">
        <v>56</v>
      </c>
      <c r="D54" s="13" t="s">
        <v>211</v>
      </c>
      <c r="E54" s="96">
        <v>0</v>
      </c>
      <c r="F54" s="96">
        <v>0</v>
      </c>
      <c r="G54" s="57">
        <v>0</v>
      </c>
      <c r="H54" s="96">
        <v>0</v>
      </c>
      <c r="I54" s="96">
        <v>0</v>
      </c>
      <c r="J54" s="57">
        <v>0</v>
      </c>
      <c r="K54" s="96">
        <v>0</v>
      </c>
      <c r="L54" s="96">
        <v>0</v>
      </c>
      <c r="M54" s="57">
        <v>0</v>
      </c>
      <c r="N54" s="96">
        <v>0</v>
      </c>
      <c r="O54" s="96">
        <v>0</v>
      </c>
      <c r="P54" s="57">
        <v>0</v>
      </c>
      <c r="Q54" s="96">
        <v>0</v>
      </c>
      <c r="R54" s="96">
        <v>0</v>
      </c>
      <c r="S54" s="57">
        <v>0</v>
      </c>
      <c r="T54" s="96">
        <v>0</v>
      </c>
      <c r="U54" s="96">
        <v>0</v>
      </c>
      <c r="V54" s="58">
        <v>0</v>
      </c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CF54" s="50">
        <f t="shared" ref="CF54:CF75" si="2">SUM(E54:V54)</f>
        <v>0</v>
      </c>
    </row>
    <row r="55" spans="1:84" x14ac:dyDescent="0.35">
      <c r="A55" t="s">
        <v>212</v>
      </c>
      <c r="B55" s="13" t="s">
        <v>239</v>
      </c>
      <c r="C55" s="13" t="s">
        <v>56</v>
      </c>
      <c r="D55" s="13" t="s">
        <v>213</v>
      </c>
      <c r="E55" s="96">
        <v>0</v>
      </c>
      <c r="F55" s="96">
        <v>0</v>
      </c>
      <c r="G55" s="57">
        <v>0</v>
      </c>
      <c r="H55" s="96">
        <v>0</v>
      </c>
      <c r="I55" s="96">
        <v>0</v>
      </c>
      <c r="J55" s="57">
        <v>0</v>
      </c>
      <c r="K55" s="96">
        <v>0</v>
      </c>
      <c r="L55" s="96">
        <v>0</v>
      </c>
      <c r="M55" s="57">
        <v>0</v>
      </c>
      <c r="N55" s="96">
        <v>0</v>
      </c>
      <c r="O55" s="96">
        <v>0</v>
      </c>
      <c r="P55" s="57">
        <v>0</v>
      </c>
      <c r="Q55" s="96">
        <v>0</v>
      </c>
      <c r="R55" s="96">
        <v>0</v>
      </c>
      <c r="S55" s="57">
        <v>0</v>
      </c>
      <c r="T55" s="96">
        <v>0</v>
      </c>
      <c r="U55" s="96">
        <v>0</v>
      </c>
      <c r="V55" s="58">
        <v>0</v>
      </c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CF55" s="50">
        <f t="shared" si="2"/>
        <v>0</v>
      </c>
    </row>
    <row r="56" spans="1:84" x14ac:dyDescent="0.35">
      <c r="A56" t="s">
        <v>214</v>
      </c>
      <c r="B56" s="13" t="s">
        <v>239</v>
      </c>
      <c r="C56" s="13" t="s">
        <v>53</v>
      </c>
      <c r="D56" s="13" t="s">
        <v>215</v>
      </c>
      <c r="E56" s="96">
        <v>0</v>
      </c>
      <c r="F56" s="96">
        <v>0</v>
      </c>
      <c r="G56" s="57">
        <v>0</v>
      </c>
      <c r="H56" s="96">
        <v>0</v>
      </c>
      <c r="I56" s="96">
        <v>0</v>
      </c>
      <c r="J56" s="57">
        <v>0</v>
      </c>
      <c r="K56" s="96">
        <v>0</v>
      </c>
      <c r="L56" s="96">
        <v>0</v>
      </c>
      <c r="M56" s="57">
        <v>0</v>
      </c>
      <c r="N56" s="96">
        <v>0</v>
      </c>
      <c r="O56" s="96">
        <v>0</v>
      </c>
      <c r="P56" s="57">
        <v>0</v>
      </c>
      <c r="Q56" s="96">
        <v>0</v>
      </c>
      <c r="R56" s="96">
        <v>0</v>
      </c>
      <c r="S56" s="57">
        <v>0</v>
      </c>
      <c r="T56" s="96">
        <v>0</v>
      </c>
      <c r="U56" s="96">
        <v>0</v>
      </c>
      <c r="V56" s="58">
        <v>0</v>
      </c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CF56" s="50">
        <f t="shared" si="2"/>
        <v>0</v>
      </c>
    </row>
    <row r="57" spans="1:84" ht="15" thickBot="1" x14ac:dyDescent="0.4">
      <c r="A57" t="s">
        <v>216</v>
      </c>
      <c r="B57" s="13" t="s">
        <v>239</v>
      </c>
      <c r="C57" s="13" t="s">
        <v>53</v>
      </c>
      <c r="D57" s="13" t="s">
        <v>217</v>
      </c>
      <c r="E57" s="59">
        <v>0</v>
      </c>
      <c r="F57" s="59">
        <v>0</v>
      </c>
      <c r="G57" s="60">
        <v>0</v>
      </c>
      <c r="H57" s="59">
        <v>0</v>
      </c>
      <c r="I57" s="59">
        <v>0</v>
      </c>
      <c r="J57" s="60">
        <v>0</v>
      </c>
      <c r="K57" s="59">
        <v>0</v>
      </c>
      <c r="L57" s="59">
        <v>0</v>
      </c>
      <c r="M57" s="60">
        <v>0</v>
      </c>
      <c r="N57" s="59">
        <v>0</v>
      </c>
      <c r="O57" s="59">
        <v>0</v>
      </c>
      <c r="P57" s="60">
        <v>0</v>
      </c>
      <c r="Q57" s="59">
        <v>0</v>
      </c>
      <c r="R57" s="59">
        <v>0</v>
      </c>
      <c r="S57" s="60">
        <v>0</v>
      </c>
      <c r="T57" s="59">
        <v>0</v>
      </c>
      <c r="U57" s="59">
        <v>0</v>
      </c>
      <c r="V57" s="61">
        <v>0</v>
      </c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CF57" s="50">
        <f t="shared" si="2"/>
        <v>0</v>
      </c>
    </row>
    <row r="58" spans="1:84" x14ac:dyDescent="0.35">
      <c r="A58" t="s">
        <v>242</v>
      </c>
      <c r="B58" s="13" t="s">
        <v>240</v>
      </c>
      <c r="C58" s="13" t="s">
        <v>56</v>
      </c>
      <c r="D58" s="13" t="s">
        <v>243</v>
      </c>
      <c r="E58" s="96">
        <v>0</v>
      </c>
      <c r="F58" s="96">
        <v>0</v>
      </c>
      <c r="G58" s="57">
        <v>0</v>
      </c>
      <c r="H58" s="96">
        <v>0</v>
      </c>
      <c r="I58" s="96">
        <v>0</v>
      </c>
      <c r="J58" s="57">
        <v>0</v>
      </c>
      <c r="K58" s="96">
        <v>0</v>
      </c>
      <c r="L58" s="96">
        <v>0</v>
      </c>
      <c r="M58" s="57">
        <v>0</v>
      </c>
      <c r="N58" s="96">
        <v>0</v>
      </c>
      <c r="O58" s="96">
        <v>0</v>
      </c>
      <c r="P58" s="57">
        <v>0</v>
      </c>
      <c r="Q58" s="96">
        <v>0</v>
      </c>
      <c r="R58" s="96">
        <v>0</v>
      </c>
      <c r="S58" s="57">
        <v>0</v>
      </c>
      <c r="T58" s="96">
        <v>0</v>
      </c>
      <c r="U58" s="96">
        <v>0</v>
      </c>
      <c r="V58" s="58">
        <v>0</v>
      </c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CF58" s="50">
        <f t="shared" si="2"/>
        <v>0</v>
      </c>
    </row>
    <row r="59" spans="1:84" x14ac:dyDescent="0.35">
      <c r="A59" t="s">
        <v>202</v>
      </c>
      <c r="B59" s="13" t="s">
        <v>240</v>
      </c>
      <c r="C59" s="13" t="s">
        <v>56</v>
      </c>
      <c r="D59" s="13" t="s">
        <v>203</v>
      </c>
      <c r="E59" s="96">
        <v>0</v>
      </c>
      <c r="F59" s="96">
        <v>0</v>
      </c>
      <c r="G59" s="57">
        <v>0</v>
      </c>
      <c r="H59" s="96">
        <v>0</v>
      </c>
      <c r="I59" s="96">
        <v>0</v>
      </c>
      <c r="J59" s="57">
        <v>0</v>
      </c>
      <c r="K59" s="96">
        <v>0</v>
      </c>
      <c r="L59" s="96">
        <v>0</v>
      </c>
      <c r="M59" s="57">
        <v>0</v>
      </c>
      <c r="N59" s="96">
        <v>0</v>
      </c>
      <c r="O59" s="96">
        <v>0</v>
      </c>
      <c r="P59" s="57">
        <v>0</v>
      </c>
      <c r="Q59" s="96">
        <v>0</v>
      </c>
      <c r="R59" s="96">
        <v>0</v>
      </c>
      <c r="S59" s="57">
        <v>0</v>
      </c>
      <c r="T59" s="96">
        <v>0</v>
      </c>
      <c r="U59" s="96">
        <v>0</v>
      </c>
      <c r="V59" s="58">
        <v>0</v>
      </c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CF59" s="50">
        <f t="shared" si="2"/>
        <v>0</v>
      </c>
    </row>
    <row r="60" spans="1:84" x14ac:dyDescent="0.35">
      <c r="A60" t="s">
        <v>204</v>
      </c>
      <c r="B60" s="13" t="s">
        <v>240</v>
      </c>
      <c r="C60" s="13" t="s">
        <v>56</v>
      </c>
      <c r="D60" s="13" t="s">
        <v>205</v>
      </c>
      <c r="E60" s="96">
        <v>0</v>
      </c>
      <c r="F60" s="96">
        <v>0</v>
      </c>
      <c r="G60" s="57">
        <v>0</v>
      </c>
      <c r="H60" s="96">
        <v>0</v>
      </c>
      <c r="I60" s="96">
        <v>0</v>
      </c>
      <c r="J60" s="57">
        <v>0</v>
      </c>
      <c r="K60" s="96">
        <v>0</v>
      </c>
      <c r="L60" s="96">
        <v>0</v>
      </c>
      <c r="M60" s="57">
        <v>0</v>
      </c>
      <c r="N60" s="96">
        <v>0</v>
      </c>
      <c r="O60" s="96">
        <v>0</v>
      </c>
      <c r="P60" s="57">
        <v>0</v>
      </c>
      <c r="Q60" s="96">
        <v>0</v>
      </c>
      <c r="R60" s="96">
        <v>0</v>
      </c>
      <c r="S60" s="57">
        <v>0</v>
      </c>
      <c r="T60" s="96">
        <v>0</v>
      </c>
      <c r="U60" s="96">
        <v>0</v>
      </c>
      <c r="V60" s="58">
        <v>0</v>
      </c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CF60" s="50">
        <f t="shared" si="2"/>
        <v>0</v>
      </c>
    </row>
    <row r="61" spans="1:84" x14ac:dyDescent="0.35">
      <c r="A61" t="s">
        <v>206</v>
      </c>
      <c r="B61" s="13" t="s">
        <v>240</v>
      </c>
      <c r="C61" s="13" t="s">
        <v>56</v>
      </c>
      <c r="D61" s="13" t="s">
        <v>207</v>
      </c>
      <c r="E61" s="96">
        <v>0</v>
      </c>
      <c r="F61" s="96">
        <v>0</v>
      </c>
      <c r="G61" s="57">
        <v>0</v>
      </c>
      <c r="H61" s="96">
        <v>0</v>
      </c>
      <c r="I61" s="96">
        <v>0</v>
      </c>
      <c r="J61" s="57">
        <v>0</v>
      </c>
      <c r="K61" s="96">
        <v>0</v>
      </c>
      <c r="L61" s="96">
        <v>0</v>
      </c>
      <c r="M61" s="57">
        <v>0</v>
      </c>
      <c r="N61" s="96">
        <v>0</v>
      </c>
      <c r="O61" s="96">
        <v>0</v>
      </c>
      <c r="P61" s="57">
        <v>0</v>
      </c>
      <c r="Q61" s="96">
        <v>0</v>
      </c>
      <c r="R61" s="96">
        <v>0</v>
      </c>
      <c r="S61" s="57">
        <v>0</v>
      </c>
      <c r="T61" s="96">
        <v>0</v>
      </c>
      <c r="U61" s="96">
        <v>0</v>
      </c>
      <c r="V61" s="58">
        <v>0</v>
      </c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CF61" s="50">
        <f t="shared" si="2"/>
        <v>0</v>
      </c>
    </row>
    <row r="62" spans="1:84" x14ac:dyDescent="0.35">
      <c r="A62" t="s">
        <v>208</v>
      </c>
      <c r="B62" s="13" t="s">
        <v>240</v>
      </c>
      <c r="C62" s="13" t="s">
        <v>56</v>
      </c>
      <c r="D62" s="13" t="s">
        <v>209</v>
      </c>
      <c r="E62" s="96">
        <v>0</v>
      </c>
      <c r="F62" s="96">
        <v>0</v>
      </c>
      <c r="G62" s="57">
        <v>0</v>
      </c>
      <c r="H62" s="96">
        <v>0</v>
      </c>
      <c r="I62" s="96">
        <v>0</v>
      </c>
      <c r="J62" s="57">
        <v>0</v>
      </c>
      <c r="K62" s="96">
        <v>0</v>
      </c>
      <c r="L62" s="96">
        <v>0</v>
      </c>
      <c r="M62" s="57">
        <v>0</v>
      </c>
      <c r="N62" s="96">
        <v>0</v>
      </c>
      <c r="O62" s="96">
        <v>0</v>
      </c>
      <c r="P62" s="57">
        <v>0</v>
      </c>
      <c r="Q62" s="96">
        <v>0</v>
      </c>
      <c r="R62" s="96">
        <v>0</v>
      </c>
      <c r="S62" s="57">
        <v>0</v>
      </c>
      <c r="T62" s="96">
        <v>0</v>
      </c>
      <c r="U62" s="96">
        <v>0</v>
      </c>
      <c r="V62" s="58">
        <v>0</v>
      </c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CF62" s="50">
        <f t="shared" si="2"/>
        <v>0</v>
      </c>
    </row>
    <row r="63" spans="1:84" x14ac:dyDescent="0.35">
      <c r="A63" t="s">
        <v>210</v>
      </c>
      <c r="B63" s="13" t="s">
        <v>240</v>
      </c>
      <c r="C63" s="13" t="s">
        <v>56</v>
      </c>
      <c r="D63" s="13" t="s">
        <v>211</v>
      </c>
      <c r="E63" s="96">
        <v>0</v>
      </c>
      <c r="F63" s="96">
        <v>0</v>
      </c>
      <c r="G63" s="57">
        <v>0</v>
      </c>
      <c r="H63" s="96">
        <v>0</v>
      </c>
      <c r="I63" s="96">
        <v>0</v>
      </c>
      <c r="J63" s="57">
        <v>0</v>
      </c>
      <c r="K63" s="96">
        <v>0</v>
      </c>
      <c r="L63" s="96">
        <v>0</v>
      </c>
      <c r="M63" s="57">
        <v>0</v>
      </c>
      <c r="N63" s="96">
        <v>0</v>
      </c>
      <c r="O63" s="96">
        <v>0</v>
      </c>
      <c r="P63" s="57">
        <v>0</v>
      </c>
      <c r="Q63" s="96">
        <v>0</v>
      </c>
      <c r="R63" s="96">
        <v>0</v>
      </c>
      <c r="S63" s="57">
        <v>0</v>
      </c>
      <c r="T63" s="96">
        <v>0</v>
      </c>
      <c r="U63" s="96">
        <v>0</v>
      </c>
      <c r="V63" s="58">
        <v>0</v>
      </c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CF63" s="50">
        <f t="shared" si="2"/>
        <v>0</v>
      </c>
    </row>
    <row r="64" spans="1:84" x14ac:dyDescent="0.35">
      <c r="A64" t="s">
        <v>212</v>
      </c>
      <c r="B64" s="13" t="s">
        <v>240</v>
      </c>
      <c r="C64" s="13" t="s">
        <v>56</v>
      </c>
      <c r="D64" s="13" t="s">
        <v>213</v>
      </c>
      <c r="E64" s="96">
        <v>0</v>
      </c>
      <c r="F64" s="96">
        <v>0</v>
      </c>
      <c r="G64" s="57">
        <v>0</v>
      </c>
      <c r="H64" s="96">
        <v>0</v>
      </c>
      <c r="I64" s="96">
        <v>0</v>
      </c>
      <c r="J64" s="57">
        <v>0</v>
      </c>
      <c r="K64" s="96">
        <v>0</v>
      </c>
      <c r="L64" s="96">
        <v>0</v>
      </c>
      <c r="M64" s="57">
        <v>0</v>
      </c>
      <c r="N64" s="96">
        <v>0</v>
      </c>
      <c r="O64" s="96">
        <v>0</v>
      </c>
      <c r="P64" s="57">
        <v>0</v>
      </c>
      <c r="Q64" s="96">
        <v>0</v>
      </c>
      <c r="R64" s="96">
        <v>0</v>
      </c>
      <c r="S64" s="57">
        <v>0</v>
      </c>
      <c r="T64" s="96">
        <v>0</v>
      </c>
      <c r="U64" s="96">
        <v>0</v>
      </c>
      <c r="V64" s="58">
        <v>0</v>
      </c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CF64" s="50">
        <f t="shared" si="2"/>
        <v>0</v>
      </c>
    </row>
    <row r="65" spans="1:86" x14ac:dyDescent="0.35">
      <c r="A65" t="s">
        <v>214</v>
      </c>
      <c r="B65" s="13" t="s">
        <v>240</v>
      </c>
      <c r="C65" s="13" t="s">
        <v>53</v>
      </c>
      <c r="D65" s="13" t="s">
        <v>215</v>
      </c>
      <c r="E65" s="96">
        <v>0</v>
      </c>
      <c r="F65" s="96">
        <v>0</v>
      </c>
      <c r="G65" s="57">
        <v>0</v>
      </c>
      <c r="H65" s="96">
        <v>0</v>
      </c>
      <c r="I65" s="96">
        <v>0</v>
      </c>
      <c r="J65" s="57">
        <v>0</v>
      </c>
      <c r="K65" s="96">
        <v>0</v>
      </c>
      <c r="L65" s="96">
        <v>0</v>
      </c>
      <c r="M65" s="57">
        <v>0</v>
      </c>
      <c r="N65" s="96">
        <v>0</v>
      </c>
      <c r="O65" s="96">
        <v>0</v>
      </c>
      <c r="P65" s="57">
        <v>0</v>
      </c>
      <c r="Q65" s="96">
        <v>0</v>
      </c>
      <c r="R65" s="96">
        <v>0</v>
      </c>
      <c r="S65" s="57">
        <v>0</v>
      </c>
      <c r="T65" s="96">
        <v>0</v>
      </c>
      <c r="U65" s="96">
        <v>0</v>
      </c>
      <c r="V65" s="58">
        <v>0</v>
      </c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CF65" s="50">
        <f t="shared" si="2"/>
        <v>0</v>
      </c>
    </row>
    <row r="66" spans="1:86" ht="15" thickBot="1" x14ac:dyDescent="0.4">
      <c r="A66" t="s">
        <v>216</v>
      </c>
      <c r="B66" s="13" t="s">
        <v>240</v>
      </c>
      <c r="C66" s="13" t="s">
        <v>53</v>
      </c>
      <c r="D66" s="13" t="s">
        <v>217</v>
      </c>
      <c r="E66" s="59">
        <v>0</v>
      </c>
      <c r="F66" s="59">
        <v>0</v>
      </c>
      <c r="G66" s="60">
        <v>0</v>
      </c>
      <c r="H66" s="59">
        <v>0</v>
      </c>
      <c r="I66" s="59">
        <v>0</v>
      </c>
      <c r="J66" s="60">
        <v>0</v>
      </c>
      <c r="K66" s="59">
        <v>0</v>
      </c>
      <c r="L66" s="59">
        <v>0</v>
      </c>
      <c r="M66" s="60">
        <v>0</v>
      </c>
      <c r="N66" s="59">
        <v>0</v>
      </c>
      <c r="O66" s="59">
        <v>0</v>
      </c>
      <c r="P66" s="60">
        <v>0</v>
      </c>
      <c r="Q66" s="59">
        <v>0</v>
      </c>
      <c r="R66" s="59">
        <v>0</v>
      </c>
      <c r="S66" s="60">
        <v>0</v>
      </c>
      <c r="T66" s="59">
        <v>0</v>
      </c>
      <c r="U66" s="59">
        <v>0</v>
      </c>
      <c r="V66" s="61">
        <v>0</v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CF66" s="50">
        <f t="shared" si="2"/>
        <v>0</v>
      </c>
    </row>
    <row r="67" spans="1:86" x14ac:dyDescent="0.35">
      <c r="A67" t="s">
        <v>242</v>
      </c>
      <c r="B67" s="13" t="s">
        <v>241</v>
      </c>
      <c r="C67" s="13" t="s">
        <v>56</v>
      </c>
      <c r="D67" s="13" t="s">
        <v>243</v>
      </c>
      <c r="E67" s="96">
        <v>0</v>
      </c>
      <c r="F67" s="96">
        <v>0</v>
      </c>
      <c r="G67" s="57">
        <v>0</v>
      </c>
      <c r="H67" s="96">
        <v>0</v>
      </c>
      <c r="I67" s="96">
        <v>0</v>
      </c>
      <c r="J67" s="57">
        <v>0</v>
      </c>
      <c r="K67" s="96">
        <v>0</v>
      </c>
      <c r="L67" s="96">
        <v>0</v>
      </c>
      <c r="M67" s="57">
        <v>0</v>
      </c>
      <c r="N67" s="96">
        <v>0</v>
      </c>
      <c r="O67" s="96">
        <v>0</v>
      </c>
      <c r="P67" s="57">
        <v>0</v>
      </c>
      <c r="Q67" s="96">
        <v>0</v>
      </c>
      <c r="R67" s="96">
        <v>0</v>
      </c>
      <c r="S67" s="57">
        <v>0</v>
      </c>
      <c r="T67" s="96">
        <v>0</v>
      </c>
      <c r="U67" s="96">
        <v>0</v>
      </c>
      <c r="V67" s="58">
        <v>0</v>
      </c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CF67" s="50">
        <f t="shared" si="2"/>
        <v>0</v>
      </c>
    </row>
    <row r="68" spans="1:86" x14ac:dyDescent="0.35">
      <c r="A68" t="s">
        <v>202</v>
      </c>
      <c r="B68" s="13" t="s">
        <v>241</v>
      </c>
      <c r="C68" s="13" t="s">
        <v>56</v>
      </c>
      <c r="D68" s="13" t="s">
        <v>203</v>
      </c>
      <c r="E68" s="96">
        <v>0</v>
      </c>
      <c r="F68" s="96">
        <v>0</v>
      </c>
      <c r="G68" s="57">
        <v>0</v>
      </c>
      <c r="H68" s="96">
        <v>0</v>
      </c>
      <c r="I68" s="96">
        <v>0</v>
      </c>
      <c r="J68" s="57">
        <v>0</v>
      </c>
      <c r="K68" s="96">
        <v>0</v>
      </c>
      <c r="L68" s="96">
        <v>0</v>
      </c>
      <c r="M68" s="57">
        <v>0</v>
      </c>
      <c r="N68" s="96">
        <v>0</v>
      </c>
      <c r="O68" s="96">
        <v>0</v>
      </c>
      <c r="P68" s="57">
        <v>0</v>
      </c>
      <c r="Q68" s="96">
        <v>0</v>
      </c>
      <c r="R68" s="96">
        <v>0</v>
      </c>
      <c r="S68" s="57">
        <v>0</v>
      </c>
      <c r="T68" s="96">
        <v>0</v>
      </c>
      <c r="U68" s="96">
        <v>0</v>
      </c>
      <c r="V68" s="58">
        <v>0</v>
      </c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CF68" s="50">
        <f t="shared" si="2"/>
        <v>0</v>
      </c>
    </row>
    <row r="69" spans="1:86" x14ac:dyDescent="0.35">
      <c r="A69" t="s">
        <v>204</v>
      </c>
      <c r="B69" s="13" t="s">
        <v>241</v>
      </c>
      <c r="C69" s="13" t="s">
        <v>56</v>
      </c>
      <c r="D69" s="13" t="s">
        <v>205</v>
      </c>
      <c r="E69" s="96">
        <v>0</v>
      </c>
      <c r="F69" s="96">
        <v>0</v>
      </c>
      <c r="G69" s="57">
        <v>0</v>
      </c>
      <c r="H69" s="96">
        <v>0</v>
      </c>
      <c r="I69" s="96">
        <v>0</v>
      </c>
      <c r="J69" s="57">
        <v>0</v>
      </c>
      <c r="K69" s="96">
        <v>0</v>
      </c>
      <c r="L69" s="96">
        <v>0</v>
      </c>
      <c r="M69" s="57">
        <v>0</v>
      </c>
      <c r="N69" s="96">
        <v>0</v>
      </c>
      <c r="O69" s="96">
        <v>0</v>
      </c>
      <c r="P69" s="57">
        <v>0</v>
      </c>
      <c r="Q69" s="96">
        <v>0</v>
      </c>
      <c r="R69" s="96">
        <v>0</v>
      </c>
      <c r="S69" s="57">
        <v>0</v>
      </c>
      <c r="T69" s="96">
        <v>0</v>
      </c>
      <c r="U69" s="96">
        <v>0</v>
      </c>
      <c r="V69" s="58">
        <v>0</v>
      </c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CF69" s="50">
        <f t="shared" si="2"/>
        <v>0</v>
      </c>
    </row>
    <row r="70" spans="1:86" x14ac:dyDescent="0.35">
      <c r="A70" t="s">
        <v>206</v>
      </c>
      <c r="B70" s="13" t="s">
        <v>241</v>
      </c>
      <c r="C70" s="13" t="s">
        <v>56</v>
      </c>
      <c r="D70" s="13" t="s">
        <v>207</v>
      </c>
      <c r="E70" s="96">
        <v>0</v>
      </c>
      <c r="F70" s="96">
        <v>0</v>
      </c>
      <c r="G70" s="57">
        <v>0</v>
      </c>
      <c r="H70" s="96">
        <v>0</v>
      </c>
      <c r="I70" s="96">
        <v>0</v>
      </c>
      <c r="J70" s="57">
        <v>0</v>
      </c>
      <c r="K70" s="96">
        <v>0</v>
      </c>
      <c r="L70" s="96">
        <v>0</v>
      </c>
      <c r="M70" s="57">
        <v>0</v>
      </c>
      <c r="N70" s="96">
        <v>0</v>
      </c>
      <c r="O70" s="96">
        <v>0</v>
      </c>
      <c r="P70" s="57">
        <v>0</v>
      </c>
      <c r="Q70" s="96">
        <v>0</v>
      </c>
      <c r="R70" s="96">
        <v>0</v>
      </c>
      <c r="S70" s="57">
        <v>0</v>
      </c>
      <c r="T70" s="96">
        <v>0</v>
      </c>
      <c r="U70" s="96">
        <v>0</v>
      </c>
      <c r="V70" s="58">
        <v>0</v>
      </c>
      <c r="W70" s="54"/>
      <c r="AG70" s="54"/>
      <c r="AH70" s="54"/>
      <c r="AI70" s="54"/>
      <c r="AJ70" s="54"/>
      <c r="AK70" s="54"/>
      <c r="AL70" s="54"/>
      <c r="AM70" s="54"/>
      <c r="AN70" s="54"/>
      <c r="CF70" s="50">
        <f t="shared" si="2"/>
        <v>0</v>
      </c>
    </row>
    <row r="71" spans="1:86" x14ac:dyDescent="0.35">
      <c r="A71" t="s">
        <v>208</v>
      </c>
      <c r="B71" s="13" t="s">
        <v>241</v>
      </c>
      <c r="C71" s="13" t="s">
        <v>56</v>
      </c>
      <c r="D71" s="13" t="s">
        <v>209</v>
      </c>
      <c r="E71" s="96">
        <v>0</v>
      </c>
      <c r="F71" s="96">
        <v>0</v>
      </c>
      <c r="G71" s="57">
        <v>0</v>
      </c>
      <c r="H71" s="96">
        <v>0</v>
      </c>
      <c r="I71" s="96">
        <v>0</v>
      </c>
      <c r="J71" s="57">
        <v>0</v>
      </c>
      <c r="K71" s="96">
        <v>0</v>
      </c>
      <c r="L71" s="96">
        <v>0</v>
      </c>
      <c r="M71" s="57">
        <v>0</v>
      </c>
      <c r="N71" s="96">
        <v>0</v>
      </c>
      <c r="O71" s="96">
        <v>0</v>
      </c>
      <c r="P71" s="57">
        <v>0</v>
      </c>
      <c r="Q71" s="96">
        <v>0</v>
      </c>
      <c r="R71" s="96">
        <v>0</v>
      </c>
      <c r="S71" s="57">
        <v>0</v>
      </c>
      <c r="T71" s="96">
        <v>0</v>
      </c>
      <c r="U71" s="96">
        <v>0</v>
      </c>
      <c r="V71" s="58">
        <v>0</v>
      </c>
      <c r="W71" s="54"/>
      <c r="AG71" s="54"/>
      <c r="AH71" s="54"/>
      <c r="AI71" s="54"/>
      <c r="AJ71" s="54"/>
      <c r="AK71" s="54"/>
      <c r="AL71" s="54"/>
      <c r="AM71" s="54"/>
      <c r="AN71" s="54"/>
      <c r="CF71" s="50">
        <f t="shared" si="2"/>
        <v>0</v>
      </c>
    </row>
    <row r="72" spans="1:86" x14ac:dyDescent="0.35">
      <c r="A72" t="s">
        <v>210</v>
      </c>
      <c r="B72" s="13" t="s">
        <v>241</v>
      </c>
      <c r="C72" s="13" t="s">
        <v>56</v>
      </c>
      <c r="D72" s="13" t="s">
        <v>211</v>
      </c>
      <c r="E72" s="96">
        <v>0</v>
      </c>
      <c r="F72" s="96">
        <v>0</v>
      </c>
      <c r="G72" s="57">
        <v>0</v>
      </c>
      <c r="H72" s="96">
        <v>0</v>
      </c>
      <c r="I72" s="96">
        <v>0</v>
      </c>
      <c r="J72" s="57">
        <v>0</v>
      </c>
      <c r="K72" s="96">
        <v>0</v>
      </c>
      <c r="L72" s="96">
        <v>0</v>
      </c>
      <c r="M72" s="57">
        <v>0</v>
      </c>
      <c r="N72" s="96">
        <v>0</v>
      </c>
      <c r="O72" s="96">
        <v>0</v>
      </c>
      <c r="P72" s="57">
        <v>0</v>
      </c>
      <c r="Q72" s="96">
        <v>0</v>
      </c>
      <c r="R72" s="96">
        <v>0</v>
      </c>
      <c r="S72" s="57">
        <v>0</v>
      </c>
      <c r="T72" s="96">
        <v>0</v>
      </c>
      <c r="U72" s="96">
        <v>0</v>
      </c>
      <c r="V72" s="58">
        <v>0</v>
      </c>
      <c r="W72" s="54"/>
      <c r="AG72" s="54"/>
      <c r="AH72" s="54"/>
      <c r="AI72" s="54"/>
      <c r="AJ72" s="54"/>
      <c r="AK72" s="54"/>
      <c r="AL72" s="54"/>
      <c r="AM72" s="54"/>
      <c r="AN72" s="54"/>
      <c r="CF72" s="50">
        <f t="shared" si="2"/>
        <v>0</v>
      </c>
    </row>
    <row r="73" spans="1:86" x14ac:dyDescent="0.35">
      <c r="A73" t="s">
        <v>212</v>
      </c>
      <c r="B73" s="13" t="s">
        <v>241</v>
      </c>
      <c r="C73" s="13" t="s">
        <v>56</v>
      </c>
      <c r="D73" s="13" t="s">
        <v>213</v>
      </c>
      <c r="E73" s="96">
        <v>0</v>
      </c>
      <c r="F73" s="96">
        <v>0</v>
      </c>
      <c r="G73" s="57">
        <v>0</v>
      </c>
      <c r="H73" s="96">
        <v>0</v>
      </c>
      <c r="I73" s="96">
        <v>0</v>
      </c>
      <c r="J73" s="57">
        <v>0</v>
      </c>
      <c r="K73" s="96">
        <v>0</v>
      </c>
      <c r="L73" s="96">
        <v>0</v>
      </c>
      <c r="M73" s="57">
        <v>0</v>
      </c>
      <c r="N73" s="96">
        <v>0</v>
      </c>
      <c r="O73" s="96">
        <v>0</v>
      </c>
      <c r="P73" s="57">
        <v>0</v>
      </c>
      <c r="Q73" s="96">
        <v>0</v>
      </c>
      <c r="R73" s="96">
        <v>0</v>
      </c>
      <c r="S73" s="57">
        <v>0</v>
      </c>
      <c r="T73" s="96">
        <v>0</v>
      </c>
      <c r="U73" s="96">
        <v>0</v>
      </c>
      <c r="V73" s="58">
        <v>0</v>
      </c>
      <c r="W73" s="54"/>
      <c r="AG73" s="54"/>
      <c r="AH73" s="54"/>
      <c r="AI73" s="54"/>
      <c r="AJ73" s="54"/>
      <c r="AK73" s="54"/>
      <c r="AL73" s="54"/>
      <c r="AM73" s="54"/>
      <c r="AN73" s="54"/>
      <c r="CF73" s="50">
        <f t="shared" si="2"/>
        <v>0</v>
      </c>
    </row>
    <row r="74" spans="1:86" x14ac:dyDescent="0.35">
      <c r="A74" t="s">
        <v>214</v>
      </c>
      <c r="B74" s="13" t="s">
        <v>241</v>
      </c>
      <c r="C74" s="13" t="s">
        <v>53</v>
      </c>
      <c r="D74" s="13" t="s">
        <v>215</v>
      </c>
      <c r="E74" s="96">
        <v>0</v>
      </c>
      <c r="F74" s="96">
        <v>0</v>
      </c>
      <c r="G74" s="57">
        <v>0</v>
      </c>
      <c r="H74" s="96">
        <v>0</v>
      </c>
      <c r="I74" s="96">
        <v>0</v>
      </c>
      <c r="J74" s="57">
        <v>0</v>
      </c>
      <c r="K74" s="96">
        <v>0</v>
      </c>
      <c r="L74" s="96">
        <v>0</v>
      </c>
      <c r="M74" s="57">
        <v>0</v>
      </c>
      <c r="N74" s="96">
        <v>0</v>
      </c>
      <c r="O74" s="96">
        <v>0</v>
      </c>
      <c r="P74" s="57">
        <v>0</v>
      </c>
      <c r="Q74" s="96">
        <v>0</v>
      </c>
      <c r="R74" s="96">
        <v>0</v>
      </c>
      <c r="S74" s="57">
        <v>0</v>
      </c>
      <c r="T74" s="96">
        <v>0</v>
      </c>
      <c r="U74" s="96">
        <v>0</v>
      </c>
      <c r="V74" s="58">
        <v>0</v>
      </c>
      <c r="W74" s="56"/>
      <c r="X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CF74" s="50">
        <f t="shared" si="2"/>
        <v>0</v>
      </c>
    </row>
    <row r="75" spans="1:86" s="18" customFormat="1" ht="15" thickBot="1" x14ac:dyDescent="0.4">
      <c r="A75" s="18" t="s">
        <v>216</v>
      </c>
      <c r="B75" s="28" t="s">
        <v>241</v>
      </c>
      <c r="C75" s="28" t="s">
        <v>53</v>
      </c>
      <c r="D75" s="28" t="s">
        <v>217</v>
      </c>
      <c r="E75" s="62">
        <v>0</v>
      </c>
      <c r="F75" s="62">
        <v>0</v>
      </c>
      <c r="G75" s="63">
        <v>0</v>
      </c>
      <c r="H75" s="62">
        <v>0</v>
      </c>
      <c r="I75" s="62">
        <v>0</v>
      </c>
      <c r="J75" s="63">
        <v>0</v>
      </c>
      <c r="K75" s="62">
        <v>0</v>
      </c>
      <c r="L75" s="62">
        <v>0</v>
      </c>
      <c r="M75" s="63">
        <v>0</v>
      </c>
      <c r="N75" s="62">
        <v>0</v>
      </c>
      <c r="O75" s="62">
        <v>0</v>
      </c>
      <c r="P75" s="63">
        <v>0</v>
      </c>
      <c r="Q75" s="62">
        <v>0</v>
      </c>
      <c r="R75" s="62">
        <v>0</v>
      </c>
      <c r="S75" s="63">
        <v>0</v>
      </c>
      <c r="T75" s="62">
        <v>0</v>
      </c>
      <c r="U75" s="62">
        <v>0</v>
      </c>
      <c r="V75" s="64">
        <v>0</v>
      </c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BY75" s="28"/>
      <c r="BZ75" s="28"/>
      <c r="CA75" s="28"/>
      <c r="CB75" s="28"/>
      <c r="CC75" s="28"/>
      <c r="CD75" s="28"/>
      <c r="CF75" s="140">
        <f t="shared" si="2"/>
        <v>0</v>
      </c>
      <c r="CH75" s="28"/>
    </row>
    <row r="76" spans="1:86" x14ac:dyDescent="0.35">
      <c r="A76" t="s">
        <v>218</v>
      </c>
      <c r="B76" s="13" t="s">
        <v>29</v>
      </c>
      <c r="C76" s="13" t="s">
        <v>56</v>
      </c>
      <c r="D76" s="13" t="s">
        <v>219</v>
      </c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65"/>
      <c r="W76" s="98">
        <v>0</v>
      </c>
      <c r="X76" s="98">
        <v>0</v>
      </c>
      <c r="Y76" s="159">
        <f>'Steel_NG-DR'!$H$15*'Inputs by region '!G$5</f>
        <v>1.9500181678711294E-2</v>
      </c>
      <c r="Z76" s="159">
        <f>'Steel_100%H2-DR'!$H$15*'Inputs by region '!G$5</f>
        <v>1.9500181678711294E-2</v>
      </c>
      <c r="AA76" s="98">
        <v>0</v>
      </c>
      <c r="AB76" s="98">
        <v>0</v>
      </c>
      <c r="AC76" s="98">
        <v>0</v>
      </c>
      <c r="AD76" s="98">
        <v>0</v>
      </c>
      <c r="AE76" s="66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8">
        <v>0</v>
      </c>
      <c r="AL76" s="98">
        <v>0</v>
      </c>
      <c r="AM76" s="98">
        <v>0</v>
      </c>
      <c r="AN76" s="66">
        <v>0</v>
      </c>
      <c r="AO76" s="98">
        <v>0</v>
      </c>
      <c r="AP76" s="98">
        <v>0</v>
      </c>
      <c r="AQ76" s="98">
        <v>0</v>
      </c>
      <c r="AR76" s="98">
        <v>0</v>
      </c>
      <c r="AS76" s="98">
        <v>0</v>
      </c>
      <c r="AT76" s="98">
        <v>0</v>
      </c>
      <c r="AU76" s="98">
        <v>0</v>
      </c>
      <c r="AV76" s="98">
        <v>0</v>
      </c>
      <c r="AW76" s="66">
        <v>0</v>
      </c>
      <c r="AX76" s="98">
        <v>0</v>
      </c>
      <c r="AY76" s="98">
        <v>0</v>
      </c>
      <c r="AZ76" s="98">
        <v>0</v>
      </c>
      <c r="BA76" s="98">
        <v>0</v>
      </c>
      <c r="BB76" s="98">
        <v>0</v>
      </c>
      <c r="BC76" s="98">
        <v>0</v>
      </c>
      <c r="BD76" s="98">
        <v>0</v>
      </c>
      <c r="BE76" s="98">
        <v>0</v>
      </c>
      <c r="BF76" s="66">
        <v>0</v>
      </c>
      <c r="BG76" s="98">
        <v>0</v>
      </c>
      <c r="BH76" s="98">
        <v>0</v>
      </c>
      <c r="BI76" s="98">
        <v>0</v>
      </c>
      <c r="BJ76" s="98">
        <v>0</v>
      </c>
      <c r="BK76" s="98">
        <v>0</v>
      </c>
      <c r="BL76" s="98">
        <v>0</v>
      </c>
      <c r="BM76" s="98">
        <v>0</v>
      </c>
      <c r="BN76" s="98">
        <v>0</v>
      </c>
      <c r="BO76" s="66">
        <v>0</v>
      </c>
      <c r="BP76" s="98">
        <v>0</v>
      </c>
      <c r="BQ76" s="98">
        <v>0</v>
      </c>
      <c r="BR76" s="98">
        <v>0</v>
      </c>
      <c r="BS76" s="98">
        <v>0</v>
      </c>
      <c r="BT76" s="98">
        <v>0</v>
      </c>
      <c r="BU76" s="98">
        <v>0</v>
      </c>
      <c r="BV76" s="98">
        <v>0</v>
      </c>
      <c r="BW76" s="98">
        <v>0</v>
      </c>
      <c r="BX76" s="98">
        <v>0</v>
      </c>
    </row>
    <row r="77" spans="1:86" x14ac:dyDescent="0.35">
      <c r="A77" s="12" t="s">
        <v>220</v>
      </c>
      <c r="B77" s="13" t="s">
        <v>29</v>
      </c>
      <c r="C77" s="13" t="s">
        <v>56</v>
      </c>
      <c r="D77" s="13" t="s">
        <v>221</v>
      </c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65"/>
      <c r="W77" s="98">
        <v>0</v>
      </c>
      <c r="X77" s="98">
        <v>0</v>
      </c>
      <c r="Y77" s="98">
        <f>'Steel_NG-DR'!$H$29*'Inputs by region '!G$6</f>
        <v>0</v>
      </c>
      <c r="Z77" s="98">
        <f>'Steel_100%H2-DR'!$H$29*'Inputs by region '!G$6</f>
        <v>0</v>
      </c>
      <c r="AA77" s="98">
        <v>0</v>
      </c>
      <c r="AB77" s="98">
        <v>0</v>
      </c>
      <c r="AC77" s="98">
        <v>0</v>
      </c>
      <c r="AD77" s="98">
        <v>0</v>
      </c>
      <c r="AE77" s="66">
        <v>0</v>
      </c>
      <c r="AF77" s="98">
        <v>0</v>
      </c>
      <c r="AG77" s="98">
        <v>0</v>
      </c>
      <c r="AH77" s="98">
        <v>0</v>
      </c>
      <c r="AI77" s="98">
        <v>0</v>
      </c>
      <c r="AJ77" s="98">
        <v>0</v>
      </c>
      <c r="AK77" s="98">
        <v>0</v>
      </c>
      <c r="AL77" s="98">
        <v>0</v>
      </c>
      <c r="AM77" s="98">
        <v>0</v>
      </c>
      <c r="AN77" s="66">
        <v>0</v>
      </c>
      <c r="AO77" s="98">
        <v>0</v>
      </c>
      <c r="AP77" s="98">
        <v>0</v>
      </c>
      <c r="AQ77" s="98">
        <v>0</v>
      </c>
      <c r="AR77" s="98">
        <v>0</v>
      </c>
      <c r="AS77" s="98">
        <v>0</v>
      </c>
      <c r="AT77" s="98">
        <v>0</v>
      </c>
      <c r="AU77" s="98">
        <v>0</v>
      </c>
      <c r="AV77" s="98">
        <v>0</v>
      </c>
      <c r="AW77" s="66">
        <v>0</v>
      </c>
      <c r="AX77" s="98">
        <v>0</v>
      </c>
      <c r="AY77" s="98">
        <v>0</v>
      </c>
      <c r="AZ77" s="98">
        <v>0</v>
      </c>
      <c r="BA77" s="98">
        <v>0</v>
      </c>
      <c r="BB77" s="98">
        <v>0</v>
      </c>
      <c r="BC77" s="98">
        <v>0</v>
      </c>
      <c r="BD77" s="98">
        <v>0</v>
      </c>
      <c r="BE77" s="98">
        <v>0</v>
      </c>
      <c r="BF77" s="66">
        <v>0</v>
      </c>
      <c r="BG77" s="98">
        <v>0</v>
      </c>
      <c r="BH77" s="98">
        <v>0</v>
      </c>
      <c r="BI77" s="98">
        <v>0</v>
      </c>
      <c r="BJ77" s="98">
        <v>0</v>
      </c>
      <c r="BK77" s="98">
        <v>0</v>
      </c>
      <c r="BL77" s="98">
        <v>0</v>
      </c>
      <c r="BM77" s="98">
        <v>0</v>
      </c>
      <c r="BN77" s="98">
        <v>0</v>
      </c>
      <c r="BO77" s="66">
        <v>0</v>
      </c>
      <c r="BP77" s="98">
        <v>0</v>
      </c>
      <c r="BQ77" s="98">
        <v>0</v>
      </c>
      <c r="BR77" s="98">
        <v>0</v>
      </c>
      <c r="BS77" s="98">
        <v>0</v>
      </c>
      <c r="BT77" s="98">
        <v>0</v>
      </c>
      <c r="BU77" s="98">
        <v>0</v>
      </c>
      <c r="BV77" s="98">
        <v>0</v>
      </c>
      <c r="BW77" s="98">
        <v>0</v>
      </c>
      <c r="BX77" s="98">
        <v>0</v>
      </c>
    </row>
    <row r="78" spans="1:86" x14ac:dyDescent="0.35">
      <c r="A78" t="s">
        <v>222</v>
      </c>
      <c r="B78" s="13" t="s">
        <v>29</v>
      </c>
      <c r="C78" s="13" t="s">
        <v>56</v>
      </c>
      <c r="D78" s="13" t="s">
        <v>223</v>
      </c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Q78" s="54"/>
      <c r="R78" s="54"/>
      <c r="S78" s="54"/>
      <c r="T78" s="54"/>
      <c r="U78" s="54"/>
      <c r="V78" s="65"/>
      <c r="W78" s="98">
        <v>0</v>
      </c>
      <c r="X78" s="98">
        <v>0</v>
      </c>
      <c r="Y78" s="159">
        <f>'Steel_NG-DR'!$H$31*'Inputs by region '!G$7</f>
        <v>1.9404661061278542E-3</v>
      </c>
      <c r="Z78" s="159">
        <f>'Steel_100%H2-DR'!$H$31*'Inputs by region '!G$7</f>
        <v>1.9404661061278542E-3</v>
      </c>
      <c r="AA78" s="98">
        <v>0</v>
      </c>
      <c r="AB78" s="98">
        <v>0</v>
      </c>
      <c r="AC78" s="98">
        <v>0</v>
      </c>
      <c r="AD78" s="98">
        <v>0</v>
      </c>
      <c r="AE78" s="66">
        <v>0</v>
      </c>
      <c r="AF78" s="98">
        <v>0</v>
      </c>
      <c r="AG78" s="98">
        <v>0</v>
      </c>
      <c r="AH78" s="98">
        <v>0</v>
      </c>
      <c r="AI78" s="98">
        <v>0</v>
      </c>
      <c r="AJ78" s="98">
        <v>0</v>
      </c>
      <c r="AK78" s="98">
        <v>0</v>
      </c>
      <c r="AL78" s="98">
        <v>0</v>
      </c>
      <c r="AM78" s="98">
        <v>0</v>
      </c>
      <c r="AN78" s="66">
        <v>0</v>
      </c>
      <c r="AO78" s="98">
        <v>0</v>
      </c>
      <c r="AP78" s="98">
        <v>0</v>
      </c>
      <c r="AQ78" s="98">
        <v>0</v>
      </c>
      <c r="AR78" s="98">
        <v>0</v>
      </c>
      <c r="AS78" s="98">
        <v>0</v>
      </c>
      <c r="AT78" s="98">
        <v>0</v>
      </c>
      <c r="AU78" s="98">
        <v>0</v>
      </c>
      <c r="AV78" s="98">
        <v>0</v>
      </c>
      <c r="AW78" s="66">
        <v>0</v>
      </c>
      <c r="AX78" s="98">
        <v>0</v>
      </c>
      <c r="AY78" s="98">
        <v>0</v>
      </c>
      <c r="AZ78" s="98">
        <v>0</v>
      </c>
      <c r="BA78" s="98">
        <v>0</v>
      </c>
      <c r="BB78" s="98">
        <v>0</v>
      </c>
      <c r="BC78" s="98">
        <v>0</v>
      </c>
      <c r="BD78" s="98">
        <v>0</v>
      </c>
      <c r="BE78" s="98">
        <v>0</v>
      </c>
      <c r="BF78" s="66">
        <v>0</v>
      </c>
      <c r="BG78" s="98">
        <v>0</v>
      </c>
      <c r="BH78" s="98">
        <v>0</v>
      </c>
      <c r="BI78" s="98">
        <v>0</v>
      </c>
      <c r="BJ78" s="98">
        <v>0</v>
      </c>
      <c r="BK78" s="98">
        <v>0</v>
      </c>
      <c r="BL78" s="98">
        <v>0</v>
      </c>
      <c r="BM78" s="98">
        <v>0</v>
      </c>
      <c r="BN78" s="98">
        <v>0</v>
      </c>
      <c r="BO78" s="66">
        <v>0</v>
      </c>
      <c r="BP78" s="98">
        <v>0</v>
      </c>
      <c r="BQ78" s="98">
        <v>0</v>
      </c>
      <c r="BR78" s="98">
        <v>0</v>
      </c>
      <c r="BS78" s="98">
        <v>0</v>
      </c>
      <c r="BT78" s="98">
        <v>0</v>
      </c>
      <c r="BU78" s="98">
        <v>0</v>
      </c>
      <c r="BV78" s="98">
        <v>0</v>
      </c>
      <c r="BW78" s="98">
        <v>0</v>
      </c>
      <c r="BX78" s="98">
        <v>0</v>
      </c>
    </row>
    <row r="79" spans="1:86" x14ac:dyDescent="0.35">
      <c r="A79" t="s">
        <v>224</v>
      </c>
      <c r="B79" s="13" t="s">
        <v>29</v>
      </c>
      <c r="C79" s="13" t="s">
        <v>56</v>
      </c>
      <c r="D79" s="13" t="s">
        <v>225</v>
      </c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65"/>
      <c r="W79" s="98">
        <v>0</v>
      </c>
      <c r="X79" s="98">
        <v>0</v>
      </c>
      <c r="Y79" s="159">
        <f>'Steel_NG-DR'!$H$32*'Inputs by region '!G$8</f>
        <v>5.8423628191201782E-3</v>
      </c>
      <c r="Z79" s="159">
        <f>'Steel_100%H2-DR'!$H$32*'Inputs by region '!G$8</f>
        <v>5.8423628191201782E-3</v>
      </c>
      <c r="AA79" s="98">
        <v>0</v>
      </c>
      <c r="AB79" s="98">
        <v>0</v>
      </c>
      <c r="AC79" s="98">
        <v>0</v>
      </c>
      <c r="AD79" s="98">
        <v>0</v>
      </c>
      <c r="AE79" s="66">
        <v>0</v>
      </c>
      <c r="AF79" s="98">
        <v>0</v>
      </c>
      <c r="AG79" s="98">
        <v>0</v>
      </c>
      <c r="AH79" s="98">
        <v>0</v>
      </c>
      <c r="AI79" s="98">
        <v>0</v>
      </c>
      <c r="AJ79" s="98">
        <v>0</v>
      </c>
      <c r="AK79" s="98">
        <v>0</v>
      </c>
      <c r="AL79" s="98">
        <v>0</v>
      </c>
      <c r="AM79" s="98">
        <v>0</v>
      </c>
      <c r="AN79" s="66">
        <v>0</v>
      </c>
      <c r="AO79" s="98">
        <v>0</v>
      </c>
      <c r="AP79" s="98">
        <v>0</v>
      </c>
      <c r="AQ79" s="98">
        <v>0</v>
      </c>
      <c r="AR79" s="98">
        <v>0</v>
      </c>
      <c r="AS79" s="98">
        <v>0</v>
      </c>
      <c r="AT79" s="98">
        <v>0</v>
      </c>
      <c r="AU79" s="98">
        <v>0</v>
      </c>
      <c r="AV79" s="98">
        <v>0</v>
      </c>
      <c r="AW79" s="66">
        <v>0</v>
      </c>
      <c r="AX79" s="98">
        <v>0</v>
      </c>
      <c r="AY79" s="98">
        <v>0</v>
      </c>
      <c r="AZ79" s="98">
        <v>0</v>
      </c>
      <c r="BA79" s="98">
        <v>0</v>
      </c>
      <c r="BB79" s="98">
        <v>0</v>
      </c>
      <c r="BC79" s="98">
        <v>0</v>
      </c>
      <c r="BD79" s="98">
        <v>0</v>
      </c>
      <c r="BE79" s="98">
        <v>0</v>
      </c>
      <c r="BF79" s="66">
        <v>0</v>
      </c>
      <c r="BG79" s="98">
        <v>0</v>
      </c>
      <c r="BH79" s="98">
        <v>0</v>
      </c>
      <c r="BI79" s="98">
        <v>0</v>
      </c>
      <c r="BJ79" s="98">
        <v>0</v>
      </c>
      <c r="BK79" s="98">
        <v>0</v>
      </c>
      <c r="BL79" s="98">
        <v>0</v>
      </c>
      <c r="BM79" s="98">
        <v>0</v>
      </c>
      <c r="BN79" s="98">
        <v>0</v>
      </c>
      <c r="BO79" s="66">
        <v>0</v>
      </c>
      <c r="BP79" s="98">
        <v>0</v>
      </c>
      <c r="BQ79" s="98">
        <v>0</v>
      </c>
      <c r="BR79" s="98">
        <v>0</v>
      </c>
      <c r="BS79" s="98">
        <v>0</v>
      </c>
      <c r="BT79" s="98">
        <v>0</v>
      </c>
      <c r="BU79" s="98">
        <v>0</v>
      </c>
      <c r="BV79" s="98">
        <v>0</v>
      </c>
      <c r="BW79" s="98">
        <v>0</v>
      </c>
      <c r="BX79" s="98">
        <v>0</v>
      </c>
    </row>
    <row r="80" spans="1:86" x14ac:dyDescent="0.35">
      <c r="A80" t="s">
        <v>226</v>
      </c>
      <c r="B80" s="13" t="s">
        <v>29</v>
      </c>
      <c r="C80" s="13" t="s">
        <v>56</v>
      </c>
      <c r="D80" s="13" t="s">
        <v>227</v>
      </c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65"/>
      <c r="W80" s="98">
        <v>0</v>
      </c>
      <c r="X80" s="159">
        <f>'Steel_BF-BOF with H2'!$H$39*'Steel_BF-BOF with H2'!N27</f>
        <v>7.0611384178638645E-2</v>
      </c>
      <c r="Y80" s="159">
        <f>'Steel_NG-DR'!$H$33*'Inputs by region '!G$9</f>
        <v>4.8981233243967828E-4</v>
      </c>
      <c r="Z80" s="159">
        <f>'Steel_100%H2-DR'!$H$33*'Inputs by region '!G$9</f>
        <v>4.8981233243967828E-4</v>
      </c>
      <c r="AA80" s="159">
        <f>'Steel_BF-BOF with char (+CCUS)'!$H$26*'Steel_BF-BOF with char (+CCUS)'!N26</f>
        <v>1.4658301341380521E-2</v>
      </c>
      <c r="AB80" s="159">
        <f>'Steel_BF-BOF with char (+CCUS)'!$H$53*'Steel_BF-BOF with char (+CCUS)'!N53</f>
        <v>1.4658301341380521E-2</v>
      </c>
      <c r="AC80" s="98">
        <v>0</v>
      </c>
      <c r="AD80" s="98">
        <v>0</v>
      </c>
      <c r="AE80" s="66">
        <v>0</v>
      </c>
      <c r="AF80" s="98">
        <v>0</v>
      </c>
      <c r="AG80" s="98">
        <v>0</v>
      </c>
      <c r="AH80" s="98">
        <v>0</v>
      </c>
      <c r="AI80" s="98">
        <v>0</v>
      </c>
      <c r="AJ80" s="98">
        <v>0</v>
      </c>
      <c r="AK80" s="98">
        <v>0</v>
      </c>
      <c r="AL80" s="98">
        <v>0</v>
      </c>
      <c r="AM80" s="98">
        <v>0</v>
      </c>
      <c r="AN80" s="66">
        <v>0</v>
      </c>
      <c r="AO80" s="98">
        <v>0</v>
      </c>
      <c r="AP80" s="98">
        <v>0</v>
      </c>
      <c r="AQ80" s="98">
        <v>0</v>
      </c>
      <c r="AR80" s="98">
        <v>0</v>
      </c>
      <c r="AS80" s="98">
        <v>0</v>
      </c>
      <c r="AT80" s="98">
        <v>0</v>
      </c>
      <c r="AU80" s="98">
        <v>0</v>
      </c>
      <c r="AV80" s="98">
        <v>0</v>
      </c>
      <c r="AW80" s="66">
        <v>0</v>
      </c>
      <c r="AX80" s="98">
        <v>0</v>
      </c>
      <c r="AY80" s="98">
        <v>0</v>
      </c>
      <c r="AZ80" s="98">
        <v>0</v>
      </c>
      <c r="BA80" s="98">
        <v>0</v>
      </c>
      <c r="BB80" s="98">
        <v>0</v>
      </c>
      <c r="BC80" s="98">
        <v>0</v>
      </c>
      <c r="BD80" s="98">
        <v>0</v>
      </c>
      <c r="BE80" s="98">
        <v>0</v>
      </c>
      <c r="BF80" s="66">
        <v>0</v>
      </c>
      <c r="BG80" s="98">
        <v>0</v>
      </c>
      <c r="BH80" s="98">
        <v>0</v>
      </c>
      <c r="BI80" s="98">
        <v>0</v>
      </c>
      <c r="BJ80" s="98">
        <v>0</v>
      </c>
      <c r="BK80" s="98">
        <v>0</v>
      </c>
      <c r="BL80" s="98">
        <v>0</v>
      </c>
      <c r="BM80" s="98">
        <v>0</v>
      </c>
      <c r="BN80" s="98">
        <v>0</v>
      </c>
      <c r="BO80" s="66">
        <v>0</v>
      </c>
      <c r="BP80" s="98">
        <v>0</v>
      </c>
      <c r="BQ80" s="98">
        <v>0</v>
      </c>
      <c r="BR80" s="98">
        <v>0</v>
      </c>
      <c r="BS80" s="98">
        <v>0</v>
      </c>
      <c r="BT80" s="98">
        <v>0</v>
      </c>
      <c r="BU80" s="98">
        <v>0</v>
      </c>
      <c r="BV80" s="98">
        <v>0</v>
      </c>
      <c r="BW80" s="98">
        <v>0</v>
      </c>
      <c r="BX80" s="98">
        <v>0</v>
      </c>
    </row>
    <row r="81" spans="1:76" x14ac:dyDescent="0.35">
      <c r="A81" t="s">
        <v>83</v>
      </c>
      <c r="B81" s="13" t="s">
        <v>29</v>
      </c>
      <c r="C81" s="13" t="s">
        <v>56</v>
      </c>
      <c r="D81" s="13" t="s">
        <v>228</v>
      </c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65"/>
      <c r="W81" s="98">
        <v>0</v>
      </c>
      <c r="X81" s="98">
        <v>0</v>
      </c>
      <c r="Y81" s="98">
        <v>0</v>
      </c>
      <c r="Z81" s="98">
        <v>0</v>
      </c>
      <c r="AA81" s="159">
        <f>'Steel_BF-BOF with char (+CCUS)'!$H$27*'Inputs by region '!G$9</f>
        <v>3.0740776778828832E-3</v>
      </c>
      <c r="AB81" s="159">
        <f>'Steel_BF-BOF with char (+CCUS)'!$H$54*'Inputs by region '!G$9</f>
        <v>3.0740776778828832E-3</v>
      </c>
      <c r="AC81" s="98">
        <v>0</v>
      </c>
      <c r="AD81" s="98">
        <v>0</v>
      </c>
      <c r="AE81" s="66">
        <v>0</v>
      </c>
      <c r="AF81" s="98">
        <v>0</v>
      </c>
      <c r="AG81" s="98">
        <v>0</v>
      </c>
      <c r="AH81" s="98">
        <v>0</v>
      </c>
      <c r="AI81" s="98">
        <v>0</v>
      </c>
      <c r="AJ81" s="98">
        <v>0</v>
      </c>
      <c r="AK81" s="98">
        <v>0</v>
      </c>
      <c r="AL81" s="98">
        <v>0</v>
      </c>
      <c r="AM81" s="98">
        <v>0</v>
      </c>
      <c r="AN81" s="66">
        <v>0</v>
      </c>
      <c r="AO81" s="98">
        <v>0</v>
      </c>
      <c r="AP81" s="98">
        <v>0</v>
      </c>
      <c r="AQ81" s="98">
        <v>0</v>
      </c>
      <c r="AR81" s="98">
        <v>0</v>
      </c>
      <c r="AS81" s="98">
        <v>0</v>
      </c>
      <c r="AT81" s="98">
        <v>0</v>
      </c>
      <c r="AU81" s="98">
        <v>0</v>
      </c>
      <c r="AV81" s="98">
        <v>0</v>
      </c>
      <c r="AW81" s="66">
        <v>0</v>
      </c>
      <c r="AX81" s="98">
        <v>0</v>
      </c>
      <c r="AY81" s="98">
        <v>0</v>
      </c>
      <c r="AZ81" s="98">
        <v>0</v>
      </c>
      <c r="BA81" s="98">
        <v>0</v>
      </c>
      <c r="BB81" s="98">
        <v>0</v>
      </c>
      <c r="BC81" s="98">
        <v>0</v>
      </c>
      <c r="BD81" s="98">
        <v>0</v>
      </c>
      <c r="BE81" s="98">
        <v>0</v>
      </c>
      <c r="BF81" s="66">
        <v>0</v>
      </c>
      <c r="BG81" s="98">
        <v>0</v>
      </c>
      <c r="BH81" s="98">
        <v>0</v>
      </c>
      <c r="BI81" s="98">
        <v>0</v>
      </c>
      <c r="BJ81" s="98">
        <v>0</v>
      </c>
      <c r="BK81" s="98">
        <v>0</v>
      </c>
      <c r="BL81" s="98">
        <v>0</v>
      </c>
      <c r="BM81" s="98">
        <v>0</v>
      </c>
      <c r="BN81" s="98">
        <v>0</v>
      </c>
      <c r="BO81" s="66">
        <v>0</v>
      </c>
      <c r="BP81" s="98">
        <v>0</v>
      </c>
      <c r="BQ81" s="98">
        <v>0</v>
      </c>
      <c r="BR81" s="98">
        <v>0</v>
      </c>
      <c r="BS81" s="98">
        <v>0</v>
      </c>
      <c r="BT81" s="98">
        <v>0</v>
      </c>
      <c r="BU81" s="98">
        <v>0</v>
      </c>
      <c r="BV81" s="98">
        <v>0</v>
      </c>
      <c r="BW81" s="98">
        <v>0</v>
      </c>
      <c r="BX81" s="98">
        <v>0</v>
      </c>
    </row>
    <row r="82" spans="1:76" x14ac:dyDescent="0.35">
      <c r="A82" t="s">
        <v>229</v>
      </c>
      <c r="B82" s="13" t="s">
        <v>29</v>
      </c>
      <c r="C82" s="13" t="s">
        <v>56</v>
      </c>
      <c r="D82" s="13" t="s">
        <v>230</v>
      </c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65"/>
      <c r="W82" s="98">
        <v>0</v>
      </c>
      <c r="X82" s="98">
        <v>0</v>
      </c>
      <c r="Y82" s="159">
        <f>'Steel_NG-DR'!$H$34*'Inputs by region '!G$10</f>
        <v>2.4658201215687387E-3</v>
      </c>
      <c r="Z82" s="159">
        <f>'Steel_100%H2-DR'!$H$34*'Inputs by region '!G$10</f>
        <v>2.4658201215687387E-3</v>
      </c>
      <c r="AA82" s="98">
        <v>0</v>
      </c>
      <c r="AB82" s="98">
        <v>0</v>
      </c>
      <c r="AC82" s="98">
        <v>0</v>
      </c>
      <c r="AD82" s="98">
        <v>0</v>
      </c>
      <c r="AE82" s="66">
        <v>0</v>
      </c>
      <c r="AF82" s="98">
        <v>0</v>
      </c>
      <c r="AG82" s="98">
        <v>0</v>
      </c>
      <c r="AH82" s="98">
        <v>0</v>
      </c>
      <c r="AI82" s="98">
        <v>0</v>
      </c>
      <c r="AJ82" s="98">
        <v>0</v>
      </c>
      <c r="AK82" s="98">
        <v>0</v>
      </c>
      <c r="AL82" s="98">
        <v>0</v>
      </c>
      <c r="AM82" s="98">
        <v>0</v>
      </c>
      <c r="AN82" s="66">
        <v>0</v>
      </c>
      <c r="AO82" s="98">
        <v>0</v>
      </c>
      <c r="AP82" s="98">
        <v>0</v>
      </c>
      <c r="AQ82" s="98">
        <v>0</v>
      </c>
      <c r="AR82" s="98">
        <v>0</v>
      </c>
      <c r="AS82" s="98">
        <v>0</v>
      </c>
      <c r="AT82" s="98">
        <v>0</v>
      </c>
      <c r="AU82" s="98">
        <v>0</v>
      </c>
      <c r="AV82" s="98">
        <v>0</v>
      </c>
      <c r="AW82" s="66">
        <v>0</v>
      </c>
      <c r="AX82" s="98">
        <v>0</v>
      </c>
      <c r="AY82" s="98">
        <v>0</v>
      </c>
      <c r="AZ82" s="98">
        <v>0</v>
      </c>
      <c r="BA82" s="98">
        <v>0</v>
      </c>
      <c r="BB82" s="98">
        <v>0</v>
      </c>
      <c r="BC82" s="98">
        <v>0</v>
      </c>
      <c r="BD82" s="98">
        <v>0</v>
      </c>
      <c r="BE82" s="98">
        <v>0</v>
      </c>
      <c r="BF82" s="66">
        <v>0</v>
      </c>
      <c r="BG82" s="98">
        <v>0</v>
      </c>
      <c r="BH82" s="98">
        <v>0</v>
      </c>
      <c r="BI82" s="98">
        <v>0</v>
      </c>
      <c r="BJ82" s="98">
        <v>0</v>
      </c>
      <c r="BK82" s="98">
        <v>0</v>
      </c>
      <c r="BL82" s="98">
        <v>0</v>
      </c>
      <c r="BM82" s="98">
        <v>0</v>
      </c>
      <c r="BN82" s="98">
        <v>0</v>
      </c>
      <c r="BO82" s="66">
        <v>0</v>
      </c>
      <c r="BP82" s="98">
        <v>0</v>
      </c>
      <c r="BQ82" s="98">
        <v>0</v>
      </c>
      <c r="BR82" s="98">
        <v>0</v>
      </c>
      <c r="BS82" s="98">
        <v>0</v>
      </c>
      <c r="BT82" s="98">
        <v>0</v>
      </c>
      <c r="BU82" s="98">
        <v>0</v>
      </c>
      <c r="BV82" s="98">
        <v>0</v>
      </c>
      <c r="BW82" s="98">
        <v>0</v>
      </c>
      <c r="BX82" s="98">
        <v>0</v>
      </c>
    </row>
    <row r="83" spans="1:76" x14ac:dyDescent="0.35">
      <c r="A83" t="s">
        <v>231</v>
      </c>
      <c r="B83" s="13" t="s">
        <v>29</v>
      </c>
      <c r="C83" s="13" t="s">
        <v>56</v>
      </c>
      <c r="D83" s="13" t="s">
        <v>232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65"/>
      <c r="W83" s="98">
        <v>0</v>
      </c>
      <c r="X83" s="98">
        <v>0</v>
      </c>
      <c r="Y83" s="159">
        <f>'Steel_NG-DR'!$H$35*'Inputs by region '!G$11</f>
        <v>4.0654829615707994E-5</v>
      </c>
      <c r="Z83" s="159">
        <f>'Steel_100%H2-DR'!$H$35*'Inputs by region '!G$11</f>
        <v>4.0654829615707994E-5</v>
      </c>
      <c r="AA83" s="98">
        <v>0</v>
      </c>
      <c r="AB83" s="98">
        <v>0</v>
      </c>
      <c r="AC83" s="98">
        <v>0</v>
      </c>
      <c r="AD83" s="98">
        <v>0</v>
      </c>
      <c r="AE83" s="66">
        <v>0</v>
      </c>
      <c r="AF83" s="98">
        <v>0</v>
      </c>
      <c r="AG83" s="98">
        <v>0</v>
      </c>
      <c r="AH83" s="98">
        <v>0</v>
      </c>
      <c r="AI83" s="98">
        <v>0</v>
      </c>
      <c r="AJ83" s="98">
        <v>0</v>
      </c>
      <c r="AK83" s="98">
        <v>0</v>
      </c>
      <c r="AL83" s="98">
        <v>0</v>
      </c>
      <c r="AM83" s="98">
        <v>0</v>
      </c>
      <c r="AN83" s="66">
        <v>0</v>
      </c>
      <c r="AO83" s="98">
        <v>0</v>
      </c>
      <c r="AP83" s="98">
        <v>0</v>
      </c>
      <c r="AQ83" s="98">
        <v>0</v>
      </c>
      <c r="AR83" s="98">
        <v>0</v>
      </c>
      <c r="AS83" s="98">
        <v>0</v>
      </c>
      <c r="AT83" s="98">
        <v>0</v>
      </c>
      <c r="AU83" s="98">
        <v>0</v>
      </c>
      <c r="AV83" s="98">
        <v>0</v>
      </c>
      <c r="AW83" s="66">
        <v>0</v>
      </c>
      <c r="AX83" s="98">
        <v>0</v>
      </c>
      <c r="AY83" s="98">
        <v>0</v>
      </c>
      <c r="AZ83" s="98">
        <v>0</v>
      </c>
      <c r="BA83" s="98">
        <v>0</v>
      </c>
      <c r="BB83" s="98">
        <v>0</v>
      </c>
      <c r="BC83" s="98">
        <v>0</v>
      </c>
      <c r="BD83" s="98">
        <v>0</v>
      </c>
      <c r="BE83" s="98">
        <v>0</v>
      </c>
      <c r="BF83" s="66">
        <v>0</v>
      </c>
      <c r="BG83" s="98">
        <v>0</v>
      </c>
      <c r="BH83" s="98">
        <v>0</v>
      </c>
      <c r="BI83" s="98">
        <v>0</v>
      </c>
      <c r="BJ83" s="98">
        <v>0</v>
      </c>
      <c r="BK83" s="98">
        <v>0</v>
      </c>
      <c r="BL83" s="98">
        <v>0</v>
      </c>
      <c r="BM83" s="98">
        <v>0</v>
      </c>
      <c r="BN83" s="98">
        <v>0</v>
      </c>
      <c r="BO83" s="66">
        <v>0</v>
      </c>
      <c r="BP83" s="98">
        <v>0</v>
      </c>
      <c r="BQ83" s="98">
        <v>0</v>
      </c>
      <c r="BR83" s="98">
        <v>0</v>
      </c>
      <c r="BS83" s="98">
        <v>0</v>
      </c>
      <c r="BT83" s="98">
        <v>0</v>
      </c>
      <c r="BU83" s="98">
        <v>0</v>
      </c>
      <c r="BV83" s="98">
        <v>0</v>
      </c>
      <c r="BW83" s="98">
        <v>0</v>
      </c>
      <c r="BX83" s="98">
        <v>0</v>
      </c>
    </row>
    <row r="84" spans="1:76" x14ac:dyDescent="0.35">
      <c r="A84" t="s">
        <v>233</v>
      </c>
      <c r="B84" s="13" t="s">
        <v>29</v>
      </c>
      <c r="C84" s="13" t="s">
        <v>56</v>
      </c>
      <c r="D84" s="13" t="s">
        <v>228</v>
      </c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65"/>
      <c r="W84" s="98">
        <v>0</v>
      </c>
      <c r="X84" s="98">
        <v>0</v>
      </c>
      <c r="Y84" s="98">
        <f>'Steel_NG-DR'!$H$36*'Inputs by region '!G$12</f>
        <v>0</v>
      </c>
      <c r="Z84" s="98">
        <f>'Steel_100%H2-DR'!$H$36*'Inputs by region '!G$12</f>
        <v>0</v>
      </c>
      <c r="AA84" s="98">
        <v>0</v>
      </c>
      <c r="AB84" s="98">
        <v>0</v>
      </c>
      <c r="AC84" s="98">
        <v>0</v>
      </c>
      <c r="AD84" s="98">
        <v>0</v>
      </c>
      <c r="AE84" s="66">
        <v>0</v>
      </c>
      <c r="AF84" s="98">
        <v>0</v>
      </c>
      <c r="AG84" s="98">
        <v>0</v>
      </c>
      <c r="AH84" s="98">
        <v>0</v>
      </c>
      <c r="AI84" s="98">
        <v>0</v>
      </c>
      <c r="AJ84" s="98">
        <v>0</v>
      </c>
      <c r="AK84" s="98">
        <v>0</v>
      </c>
      <c r="AL84" s="98">
        <v>0</v>
      </c>
      <c r="AM84" s="98">
        <v>0</v>
      </c>
      <c r="AN84" s="66">
        <v>0</v>
      </c>
      <c r="AO84" s="98">
        <v>0</v>
      </c>
      <c r="AP84" s="98">
        <v>0</v>
      </c>
      <c r="AQ84" s="98">
        <v>0</v>
      </c>
      <c r="AR84" s="98">
        <v>0</v>
      </c>
      <c r="AS84" s="98">
        <v>0</v>
      </c>
      <c r="AT84" s="98">
        <v>0</v>
      </c>
      <c r="AU84" s="98">
        <v>0</v>
      </c>
      <c r="AV84" s="98">
        <v>0</v>
      </c>
      <c r="AW84" s="66">
        <v>0</v>
      </c>
      <c r="AX84" s="98">
        <v>0</v>
      </c>
      <c r="AY84" s="98">
        <v>0</v>
      </c>
      <c r="AZ84" s="98">
        <v>0</v>
      </c>
      <c r="BA84" s="98">
        <v>0</v>
      </c>
      <c r="BB84" s="98">
        <v>0</v>
      </c>
      <c r="BC84" s="98">
        <v>0</v>
      </c>
      <c r="BD84" s="98">
        <v>0</v>
      </c>
      <c r="BE84" s="98">
        <v>0</v>
      </c>
      <c r="BF84" s="66">
        <v>0</v>
      </c>
      <c r="BG84" s="98">
        <v>0</v>
      </c>
      <c r="BH84" s="98">
        <v>0</v>
      </c>
      <c r="BI84" s="98">
        <v>0</v>
      </c>
      <c r="BJ84" s="98">
        <v>0</v>
      </c>
      <c r="BK84" s="98">
        <v>0</v>
      </c>
      <c r="BL84" s="98">
        <v>0</v>
      </c>
      <c r="BM84" s="98">
        <v>0</v>
      </c>
      <c r="BN84" s="98">
        <v>0</v>
      </c>
      <c r="BO84" s="66">
        <v>0</v>
      </c>
      <c r="BP84" s="98">
        <v>0</v>
      </c>
      <c r="BQ84" s="98">
        <v>0</v>
      </c>
      <c r="BR84" s="98">
        <v>0</v>
      </c>
      <c r="BS84" s="98">
        <v>0</v>
      </c>
      <c r="BT84" s="98">
        <v>0</v>
      </c>
      <c r="BU84" s="98">
        <v>0</v>
      </c>
      <c r="BV84" s="98">
        <v>0</v>
      </c>
      <c r="BW84" s="98">
        <v>0</v>
      </c>
      <c r="BX84" s="98">
        <v>0</v>
      </c>
    </row>
    <row r="85" spans="1:76" x14ac:dyDescent="0.35">
      <c r="A85" t="s">
        <v>101</v>
      </c>
      <c r="B85" s="13" t="s">
        <v>29</v>
      </c>
      <c r="C85" s="13" t="s">
        <v>103</v>
      </c>
      <c r="D85" s="13" t="s">
        <v>234</v>
      </c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65"/>
      <c r="W85" s="98">
        <v>0</v>
      </c>
      <c r="X85" s="98">
        <v>0</v>
      </c>
      <c r="Y85" s="159">
        <f>('Steel_NG-DR'!$H$37+'Steel_NG-DR'!$H$16)*'Inputs by region '!G$13</f>
        <v>1.4567715973119188E-3</v>
      </c>
      <c r="Z85" s="159">
        <f>('Steel_100%H2-DR'!$H$16+'Steel_100%H2-DR'!$H$37)*'Inputs by region '!G$13</f>
        <v>1.4077232662383567E-3</v>
      </c>
      <c r="AA85" s="98">
        <v>0</v>
      </c>
      <c r="AB85" s="98">
        <v>0</v>
      </c>
      <c r="AC85" s="98">
        <v>0</v>
      </c>
      <c r="AD85" s="98">
        <v>0</v>
      </c>
      <c r="AE85" s="66">
        <v>0</v>
      </c>
      <c r="AF85" s="98">
        <v>0</v>
      </c>
      <c r="AG85" s="98">
        <v>0</v>
      </c>
      <c r="AH85" s="98">
        <v>0</v>
      </c>
      <c r="AI85" s="98">
        <v>0</v>
      </c>
      <c r="AJ85" s="98">
        <v>0</v>
      </c>
      <c r="AK85" s="98">
        <v>0</v>
      </c>
      <c r="AL85" s="98">
        <v>0</v>
      </c>
      <c r="AM85" s="98">
        <v>0</v>
      </c>
      <c r="AN85" s="66">
        <v>0</v>
      </c>
      <c r="AO85" s="98">
        <v>0</v>
      </c>
      <c r="AP85" s="98">
        <v>0</v>
      </c>
      <c r="AQ85" s="98">
        <v>0</v>
      </c>
      <c r="AR85" s="98">
        <v>0</v>
      </c>
      <c r="AS85" s="98">
        <v>0</v>
      </c>
      <c r="AT85" s="98">
        <v>0</v>
      </c>
      <c r="AU85" s="98">
        <v>0</v>
      </c>
      <c r="AV85" s="98">
        <v>0</v>
      </c>
      <c r="AW85" s="66">
        <v>0</v>
      </c>
      <c r="AX85" s="98">
        <v>0</v>
      </c>
      <c r="AY85" s="98">
        <v>0</v>
      </c>
      <c r="AZ85" s="98">
        <v>0</v>
      </c>
      <c r="BA85" s="98">
        <v>0</v>
      </c>
      <c r="BB85" s="98">
        <v>0</v>
      </c>
      <c r="BC85" s="98">
        <v>0</v>
      </c>
      <c r="BD85" s="98">
        <v>0</v>
      </c>
      <c r="BE85" s="98">
        <v>0</v>
      </c>
      <c r="BF85" s="66">
        <v>0</v>
      </c>
      <c r="BG85" s="98">
        <v>0</v>
      </c>
      <c r="BH85" s="98">
        <v>0</v>
      </c>
      <c r="BI85" s="98">
        <v>0</v>
      </c>
      <c r="BJ85" s="98">
        <v>0</v>
      </c>
      <c r="BK85" s="98">
        <v>0</v>
      </c>
      <c r="BL85" s="98">
        <v>0</v>
      </c>
      <c r="BM85" s="98">
        <v>0</v>
      </c>
      <c r="BN85" s="98">
        <v>0</v>
      </c>
      <c r="BO85" s="66">
        <v>0</v>
      </c>
      <c r="BP85" s="98">
        <v>0</v>
      </c>
      <c r="BQ85" s="98">
        <v>0</v>
      </c>
      <c r="BR85" s="98">
        <v>0</v>
      </c>
      <c r="BS85" s="98">
        <v>0</v>
      </c>
      <c r="BT85" s="98">
        <v>0</v>
      </c>
      <c r="BU85" s="98">
        <v>0</v>
      </c>
      <c r="BV85" s="98">
        <v>0</v>
      </c>
      <c r="BW85" s="98">
        <v>0</v>
      </c>
      <c r="BX85" s="98">
        <v>0</v>
      </c>
    </row>
    <row r="86" spans="1:76" x14ac:dyDescent="0.35">
      <c r="A86" t="s">
        <v>104</v>
      </c>
      <c r="B86" s="13" t="s">
        <v>29</v>
      </c>
      <c r="C86" s="13" t="s">
        <v>103</v>
      </c>
      <c r="D86" s="13" t="s">
        <v>235</v>
      </c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65"/>
      <c r="W86" s="98">
        <v>0</v>
      </c>
      <c r="X86" s="98">
        <v>0</v>
      </c>
      <c r="Y86" s="159">
        <f>('Steel_NG-DR'!$H$37+'Steel_NG-DR'!$H$16)*'Inputs by region '!G$14</f>
        <v>8.3535480890614125E-4</v>
      </c>
      <c r="Z86" s="159">
        <f>('Steel_100%H2-DR'!$H$16+'Steel_100%H2-DR'!$H$37)*'Inputs by region '!G$14</f>
        <v>8.0722908260373052E-4</v>
      </c>
      <c r="AA86" s="98">
        <v>0</v>
      </c>
      <c r="AB86" s="98">
        <v>0</v>
      </c>
      <c r="AC86" s="98">
        <v>0</v>
      </c>
      <c r="AD86" s="98">
        <v>0</v>
      </c>
      <c r="AE86" s="66">
        <v>0</v>
      </c>
      <c r="AF86" s="98">
        <v>0</v>
      </c>
      <c r="AG86" s="98">
        <v>0</v>
      </c>
      <c r="AH86" s="98">
        <v>0</v>
      </c>
      <c r="AI86" s="98">
        <v>0</v>
      </c>
      <c r="AJ86" s="98">
        <v>0</v>
      </c>
      <c r="AK86" s="98">
        <v>0</v>
      </c>
      <c r="AL86" s="98">
        <v>0</v>
      </c>
      <c r="AM86" s="98">
        <v>0</v>
      </c>
      <c r="AN86" s="66">
        <v>0</v>
      </c>
      <c r="AO86" s="98">
        <v>0</v>
      </c>
      <c r="AP86" s="98">
        <v>0</v>
      </c>
      <c r="AQ86" s="98">
        <v>0</v>
      </c>
      <c r="AR86" s="98">
        <v>0</v>
      </c>
      <c r="AS86" s="98">
        <v>0</v>
      </c>
      <c r="AT86" s="98">
        <v>0</v>
      </c>
      <c r="AU86" s="98">
        <v>0</v>
      </c>
      <c r="AV86" s="98">
        <v>0</v>
      </c>
      <c r="AW86" s="66">
        <v>0</v>
      </c>
      <c r="AX86" s="98">
        <v>0</v>
      </c>
      <c r="AY86" s="98">
        <v>0</v>
      </c>
      <c r="AZ86" s="98">
        <v>0</v>
      </c>
      <c r="BA86" s="98">
        <v>0</v>
      </c>
      <c r="BB86" s="98">
        <v>0</v>
      </c>
      <c r="BC86" s="98">
        <v>0</v>
      </c>
      <c r="BD86" s="98">
        <v>0</v>
      </c>
      <c r="BE86" s="98">
        <v>0</v>
      </c>
      <c r="BF86" s="66">
        <v>0</v>
      </c>
      <c r="BG86" s="98">
        <v>0</v>
      </c>
      <c r="BH86" s="98">
        <v>0</v>
      </c>
      <c r="BI86" s="98">
        <v>0</v>
      </c>
      <c r="BJ86" s="98">
        <v>0</v>
      </c>
      <c r="BK86" s="98">
        <v>0</v>
      </c>
      <c r="BL86" s="98">
        <v>0</v>
      </c>
      <c r="BM86" s="98">
        <v>0</v>
      </c>
      <c r="BN86" s="98">
        <v>0</v>
      </c>
      <c r="BO86" s="66">
        <v>0</v>
      </c>
      <c r="BP86" s="98">
        <v>0</v>
      </c>
      <c r="BQ86" s="98">
        <v>0</v>
      </c>
      <c r="BR86" s="98">
        <v>0</v>
      </c>
      <c r="BS86" s="98">
        <v>0</v>
      </c>
      <c r="BT86" s="98">
        <v>0</v>
      </c>
      <c r="BU86" s="98">
        <v>0</v>
      </c>
      <c r="BV86" s="98">
        <v>0</v>
      </c>
      <c r="BW86" s="98">
        <v>0</v>
      </c>
      <c r="BX86" s="98">
        <v>0</v>
      </c>
    </row>
    <row r="87" spans="1:76" ht="15" thickBot="1" x14ac:dyDescent="0.4">
      <c r="A87" t="s">
        <v>106</v>
      </c>
      <c r="B87" s="13" t="s">
        <v>29</v>
      </c>
      <c r="C87" s="13" t="s">
        <v>103</v>
      </c>
      <c r="D87" s="13" t="s">
        <v>236</v>
      </c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65"/>
      <c r="W87" s="67">
        <v>0</v>
      </c>
      <c r="X87" s="67">
        <v>0</v>
      </c>
      <c r="Y87" s="206">
        <f>('Steel_NG-DR'!$H$37+'Steel_NG-DR'!$H$16)*'Inputs by region '!G$15</f>
        <v>1.2416531155153262E-3</v>
      </c>
      <c r="Z87" s="206">
        <f>('Steel_100%H2-DR'!$H$16+'Steel_100%H2-DR'!$H$37)*'Inputs by region '!G$15</f>
        <v>1.1998476511579127E-3</v>
      </c>
      <c r="AA87" s="67">
        <v>0</v>
      </c>
      <c r="AB87" s="67">
        <v>0</v>
      </c>
      <c r="AC87" s="67">
        <v>0</v>
      </c>
      <c r="AD87" s="67">
        <v>0</v>
      </c>
      <c r="AE87" s="68">
        <v>0</v>
      </c>
      <c r="AF87" s="67">
        <v>0</v>
      </c>
      <c r="AG87" s="67">
        <v>0</v>
      </c>
      <c r="AH87" s="67">
        <v>0</v>
      </c>
      <c r="AI87" s="67">
        <v>0</v>
      </c>
      <c r="AJ87" s="67">
        <v>0</v>
      </c>
      <c r="AK87" s="67">
        <v>0</v>
      </c>
      <c r="AL87" s="67">
        <v>0</v>
      </c>
      <c r="AM87" s="67">
        <v>0</v>
      </c>
      <c r="AN87" s="68">
        <v>0</v>
      </c>
      <c r="AO87" s="113">
        <v>0</v>
      </c>
      <c r="AP87" s="67">
        <v>0</v>
      </c>
      <c r="AQ87" s="67">
        <v>0</v>
      </c>
      <c r="AR87" s="67">
        <v>0</v>
      </c>
      <c r="AS87" s="67">
        <v>0</v>
      </c>
      <c r="AT87" s="67">
        <v>0</v>
      </c>
      <c r="AU87" s="67">
        <v>0</v>
      </c>
      <c r="AV87" s="67">
        <v>0</v>
      </c>
      <c r="AW87" s="68">
        <v>0</v>
      </c>
      <c r="AX87" s="67">
        <v>0</v>
      </c>
      <c r="AY87" s="67">
        <v>0</v>
      </c>
      <c r="AZ87" s="67">
        <v>0</v>
      </c>
      <c r="BA87" s="67">
        <v>0</v>
      </c>
      <c r="BB87" s="67">
        <v>0</v>
      </c>
      <c r="BC87" s="67">
        <v>0</v>
      </c>
      <c r="BD87" s="67">
        <v>0</v>
      </c>
      <c r="BE87" s="67">
        <v>0</v>
      </c>
      <c r="BF87" s="68">
        <v>0</v>
      </c>
      <c r="BG87" s="113">
        <v>0</v>
      </c>
      <c r="BH87" s="67">
        <v>0</v>
      </c>
      <c r="BI87" s="67">
        <v>0</v>
      </c>
      <c r="BJ87" s="67">
        <v>0</v>
      </c>
      <c r="BK87" s="67">
        <v>0</v>
      </c>
      <c r="BL87" s="67">
        <v>0</v>
      </c>
      <c r="BM87" s="67">
        <v>0</v>
      </c>
      <c r="BN87" s="67">
        <v>0</v>
      </c>
      <c r="BO87" s="68">
        <v>0</v>
      </c>
      <c r="BP87" s="67">
        <v>0</v>
      </c>
      <c r="BQ87" s="67">
        <v>0</v>
      </c>
      <c r="BR87" s="67">
        <v>0</v>
      </c>
      <c r="BS87" s="67">
        <v>0</v>
      </c>
      <c r="BT87" s="67">
        <v>0</v>
      </c>
      <c r="BU87" s="67">
        <v>0</v>
      </c>
      <c r="BV87" s="67">
        <v>0</v>
      </c>
      <c r="BW87" s="67">
        <v>0</v>
      </c>
      <c r="BX87" s="67">
        <v>0</v>
      </c>
    </row>
    <row r="88" spans="1:76" x14ac:dyDescent="0.35">
      <c r="A88" t="s">
        <v>218</v>
      </c>
      <c r="B88" s="13" t="s">
        <v>237</v>
      </c>
      <c r="C88" s="13" t="s">
        <v>56</v>
      </c>
      <c r="D88" s="13" t="s">
        <v>219</v>
      </c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65"/>
      <c r="W88" s="98">
        <v>0</v>
      </c>
      <c r="X88" s="98">
        <v>0</v>
      </c>
      <c r="Y88" s="159">
        <f>'Steel_NG-DR'!$H$15*'Inputs by region '!H$5</f>
        <v>0.16108845734587587</v>
      </c>
      <c r="Z88" s="159">
        <f>'Steel_100%H2-DR'!$H$15*'Inputs by region '!H$5</f>
        <v>0.16108845734587587</v>
      </c>
      <c r="AA88" s="98">
        <v>0</v>
      </c>
      <c r="AB88" s="98">
        <v>0</v>
      </c>
      <c r="AC88" s="98">
        <v>0</v>
      </c>
      <c r="AD88" s="98">
        <v>0</v>
      </c>
      <c r="AE88" s="66">
        <v>0</v>
      </c>
      <c r="AF88" s="98">
        <v>0</v>
      </c>
      <c r="AG88" s="98">
        <v>0</v>
      </c>
      <c r="AH88" s="98">
        <v>0</v>
      </c>
      <c r="AI88" s="98">
        <v>0</v>
      </c>
      <c r="AJ88" s="98">
        <v>0</v>
      </c>
      <c r="AK88" s="98">
        <v>0</v>
      </c>
      <c r="AL88" s="98">
        <v>0</v>
      </c>
      <c r="AM88" s="98">
        <v>0</v>
      </c>
      <c r="AN88" s="66">
        <v>0</v>
      </c>
      <c r="AO88" s="98">
        <v>0</v>
      </c>
      <c r="AP88" s="98">
        <v>0</v>
      </c>
      <c r="AQ88" s="98">
        <v>0</v>
      </c>
      <c r="AR88" s="98">
        <v>0</v>
      </c>
      <c r="AS88" s="98">
        <v>0</v>
      </c>
      <c r="AT88" s="98">
        <v>0</v>
      </c>
      <c r="AU88" s="98">
        <v>0</v>
      </c>
      <c r="AV88" s="98">
        <v>0</v>
      </c>
      <c r="AW88" s="66">
        <v>0</v>
      </c>
      <c r="AX88" s="98">
        <v>0</v>
      </c>
      <c r="AY88" s="98">
        <v>0</v>
      </c>
      <c r="AZ88" s="98">
        <v>0</v>
      </c>
      <c r="BA88" s="98">
        <v>0</v>
      </c>
      <c r="BB88" s="98">
        <v>0</v>
      </c>
      <c r="BC88" s="98">
        <v>0</v>
      </c>
      <c r="BD88" s="98">
        <v>0</v>
      </c>
      <c r="BE88" s="98">
        <v>0</v>
      </c>
      <c r="BF88" s="66">
        <v>0</v>
      </c>
      <c r="BG88" s="98">
        <v>0</v>
      </c>
      <c r="BH88" s="98">
        <v>0</v>
      </c>
      <c r="BI88" s="98">
        <v>0</v>
      </c>
      <c r="BJ88" s="98">
        <v>0</v>
      </c>
      <c r="BK88" s="98">
        <v>0</v>
      </c>
      <c r="BL88" s="98">
        <v>0</v>
      </c>
      <c r="BM88" s="98">
        <v>0</v>
      </c>
      <c r="BN88" s="98">
        <v>0</v>
      </c>
      <c r="BO88" s="66">
        <v>0</v>
      </c>
      <c r="BP88" s="98">
        <v>0</v>
      </c>
      <c r="BQ88" s="98">
        <v>0</v>
      </c>
      <c r="BR88" s="98">
        <v>0</v>
      </c>
      <c r="BS88" s="98">
        <v>0</v>
      </c>
      <c r="BT88" s="98">
        <v>0</v>
      </c>
      <c r="BU88" s="98">
        <v>0</v>
      </c>
      <c r="BV88" s="98">
        <v>0</v>
      </c>
      <c r="BW88" s="98">
        <v>0</v>
      </c>
      <c r="BX88" s="98">
        <v>0</v>
      </c>
    </row>
    <row r="89" spans="1:76" x14ac:dyDescent="0.35">
      <c r="A89" s="12" t="s">
        <v>220</v>
      </c>
      <c r="B89" s="13" t="s">
        <v>237</v>
      </c>
      <c r="C89" s="13" t="s">
        <v>56</v>
      </c>
      <c r="D89" s="13" t="s">
        <v>221</v>
      </c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65"/>
      <c r="W89" s="98">
        <v>0</v>
      </c>
      <c r="X89" s="98">
        <v>0</v>
      </c>
      <c r="Y89" s="98">
        <f>'Steel_NG-DR'!$H$29*'Inputs by region '!H$6</f>
        <v>0</v>
      </c>
      <c r="Z89" s="98">
        <f>'Steel_100%H2-DR'!$H$29*'Inputs by region '!H$6</f>
        <v>0</v>
      </c>
      <c r="AA89" s="98">
        <v>0</v>
      </c>
      <c r="AB89" s="98">
        <v>0</v>
      </c>
      <c r="AC89" s="98">
        <v>0</v>
      </c>
      <c r="AD89" s="98">
        <v>0</v>
      </c>
      <c r="AE89" s="66">
        <v>0</v>
      </c>
      <c r="AF89" s="98">
        <v>0</v>
      </c>
      <c r="AG89" s="98">
        <v>0</v>
      </c>
      <c r="AH89" s="98">
        <v>0</v>
      </c>
      <c r="AI89" s="98">
        <v>0</v>
      </c>
      <c r="AJ89" s="98">
        <v>0</v>
      </c>
      <c r="AK89" s="98">
        <v>0</v>
      </c>
      <c r="AL89" s="98">
        <v>0</v>
      </c>
      <c r="AM89" s="98">
        <v>0</v>
      </c>
      <c r="AN89" s="66">
        <v>0</v>
      </c>
      <c r="AO89" s="98">
        <v>0</v>
      </c>
      <c r="AP89" s="98">
        <v>0</v>
      </c>
      <c r="AQ89" s="98">
        <v>0</v>
      </c>
      <c r="AR89" s="98">
        <v>0</v>
      </c>
      <c r="AS89" s="98">
        <v>0</v>
      </c>
      <c r="AT89" s="98">
        <v>0</v>
      </c>
      <c r="AU89" s="98">
        <v>0</v>
      </c>
      <c r="AV89" s="98">
        <v>0</v>
      </c>
      <c r="AW89" s="66">
        <v>0</v>
      </c>
      <c r="AX89" s="98">
        <v>0</v>
      </c>
      <c r="AY89" s="98">
        <v>0</v>
      </c>
      <c r="AZ89" s="98">
        <v>0</v>
      </c>
      <c r="BA89" s="98">
        <v>0</v>
      </c>
      <c r="BB89" s="98">
        <v>0</v>
      </c>
      <c r="BC89" s="98">
        <v>0</v>
      </c>
      <c r="BD89" s="98">
        <v>0</v>
      </c>
      <c r="BE89" s="98">
        <v>0</v>
      </c>
      <c r="BF89" s="66">
        <v>0</v>
      </c>
      <c r="BG89" s="98">
        <v>0</v>
      </c>
      <c r="BH89" s="98">
        <v>0</v>
      </c>
      <c r="BI89" s="98">
        <v>0</v>
      </c>
      <c r="BJ89" s="98">
        <v>0</v>
      </c>
      <c r="BK89" s="98">
        <v>0</v>
      </c>
      <c r="BL89" s="98">
        <v>0</v>
      </c>
      <c r="BM89" s="98">
        <v>0</v>
      </c>
      <c r="BN89" s="98">
        <v>0</v>
      </c>
      <c r="BO89" s="66">
        <v>0</v>
      </c>
      <c r="BP89" s="98">
        <v>0</v>
      </c>
      <c r="BQ89" s="98">
        <v>0</v>
      </c>
      <c r="BR89" s="98">
        <v>0</v>
      </c>
      <c r="BS89" s="98">
        <v>0</v>
      </c>
      <c r="BT89" s="98">
        <v>0</v>
      </c>
      <c r="BU89" s="98">
        <v>0</v>
      </c>
      <c r="BV89" s="98">
        <v>0</v>
      </c>
      <c r="BW89" s="98">
        <v>0</v>
      </c>
      <c r="BX89" s="98">
        <v>0</v>
      </c>
    </row>
    <row r="90" spans="1:76" x14ac:dyDescent="0.35">
      <c r="A90" t="s">
        <v>222</v>
      </c>
      <c r="B90" s="13" t="s">
        <v>237</v>
      </c>
      <c r="C90" s="13" t="s">
        <v>56</v>
      </c>
      <c r="D90" s="13" t="s">
        <v>223</v>
      </c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65"/>
      <c r="W90" s="98">
        <v>0</v>
      </c>
      <c r="X90" s="98">
        <v>0</v>
      </c>
      <c r="Y90" s="159">
        <f>'Steel_NG-DR'!$H$31*'Inputs by region '!H$7</f>
        <v>5.0558836222750793E-4</v>
      </c>
      <c r="Z90" s="159">
        <f>'Steel_100%H2-DR'!$H$31*'Inputs by region '!H$7</f>
        <v>5.0558836222750793E-4</v>
      </c>
      <c r="AA90" s="98">
        <v>0</v>
      </c>
      <c r="AB90" s="98">
        <v>0</v>
      </c>
      <c r="AC90" s="98">
        <v>0</v>
      </c>
      <c r="AD90" s="98">
        <v>0</v>
      </c>
      <c r="AE90" s="66">
        <v>0</v>
      </c>
      <c r="AF90" s="98">
        <v>0</v>
      </c>
      <c r="AG90" s="98">
        <v>0</v>
      </c>
      <c r="AH90" s="98">
        <v>0</v>
      </c>
      <c r="AI90" s="98">
        <v>0</v>
      </c>
      <c r="AJ90" s="98">
        <v>0</v>
      </c>
      <c r="AK90" s="98">
        <v>0</v>
      </c>
      <c r="AL90" s="98">
        <v>0</v>
      </c>
      <c r="AM90" s="98">
        <v>0</v>
      </c>
      <c r="AN90" s="66">
        <v>0</v>
      </c>
      <c r="AO90" s="98">
        <v>0</v>
      </c>
      <c r="AP90" s="98">
        <v>0</v>
      </c>
      <c r="AQ90" s="98">
        <v>0</v>
      </c>
      <c r="AR90" s="98">
        <v>0</v>
      </c>
      <c r="AS90" s="98">
        <v>0</v>
      </c>
      <c r="AT90" s="98">
        <v>0</v>
      </c>
      <c r="AU90" s="98">
        <v>0</v>
      </c>
      <c r="AV90" s="98">
        <v>0</v>
      </c>
      <c r="AW90" s="66">
        <v>0</v>
      </c>
      <c r="AX90" s="98">
        <v>0</v>
      </c>
      <c r="AY90" s="98">
        <v>0</v>
      </c>
      <c r="AZ90" s="98">
        <v>0</v>
      </c>
      <c r="BA90" s="98">
        <v>0</v>
      </c>
      <c r="BB90" s="98">
        <v>0</v>
      </c>
      <c r="BC90" s="98">
        <v>0</v>
      </c>
      <c r="BD90" s="98">
        <v>0</v>
      </c>
      <c r="BE90" s="98">
        <v>0</v>
      </c>
      <c r="BF90" s="66">
        <v>0</v>
      </c>
      <c r="BG90" s="98">
        <v>0</v>
      </c>
      <c r="BH90" s="98">
        <v>0</v>
      </c>
      <c r="BI90" s="98">
        <v>0</v>
      </c>
      <c r="BJ90" s="98">
        <v>0</v>
      </c>
      <c r="BK90" s="98">
        <v>0</v>
      </c>
      <c r="BL90" s="98">
        <v>0</v>
      </c>
      <c r="BM90" s="98">
        <v>0</v>
      </c>
      <c r="BN90" s="98">
        <v>0</v>
      </c>
      <c r="BO90" s="66">
        <v>0</v>
      </c>
      <c r="BP90" s="98">
        <v>0</v>
      </c>
      <c r="BQ90" s="98">
        <v>0</v>
      </c>
      <c r="BR90" s="98">
        <v>0</v>
      </c>
      <c r="BS90" s="98">
        <v>0</v>
      </c>
      <c r="BT90" s="98">
        <v>0</v>
      </c>
      <c r="BU90" s="98">
        <v>0</v>
      </c>
      <c r="BV90" s="98">
        <v>0</v>
      </c>
      <c r="BW90" s="98">
        <v>0</v>
      </c>
      <c r="BX90" s="98">
        <v>0</v>
      </c>
    </row>
    <row r="91" spans="1:76" x14ac:dyDescent="0.35">
      <c r="A91" t="s">
        <v>224</v>
      </c>
      <c r="B91" s="13" t="s">
        <v>237</v>
      </c>
      <c r="C91" s="13" t="s">
        <v>56</v>
      </c>
      <c r="D91" s="13" t="s">
        <v>225</v>
      </c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65"/>
      <c r="W91" s="98">
        <v>0</v>
      </c>
      <c r="X91" s="98">
        <v>0</v>
      </c>
      <c r="Y91" s="159">
        <f>'Steel_NG-DR'!$H$32*'Inputs by region '!H$8</f>
        <v>4.8514464106651379E-3</v>
      </c>
      <c r="Z91" s="159">
        <f>'Steel_100%H2-DR'!$H$32*'Inputs by region '!H$8</f>
        <v>4.8514464106651379E-3</v>
      </c>
      <c r="AA91" s="98">
        <v>0</v>
      </c>
      <c r="AB91" s="98">
        <v>0</v>
      </c>
      <c r="AC91" s="98">
        <v>0</v>
      </c>
      <c r="AD91" s="98">
        <v>0</v>
      </c>
      <c r="AE91" s="66">
        <v>0</v>
      </c>
      <c r="AF91" s="98">
        <v>0</v>
      </c>
      <c r="AG91" s="98">
        <v>0</v>
      </c>
      <c r="AH91" s="98">
        <v>0</v>
      </c>
      <c r="AI91" s="98">
        <v>0</v>
      </c>
      <c r="AJ91" s="98">
        <v>0</v>
      </c>
      <c r="AK91" s="98">
        <v>0</v>
      </c>
      <c r="AL91" s="98">
        <v>0</v>
      </c>
      <c r="AM91" s="98">
        <v>0</v>
      </c>
      <c r="AN91" s="66">
        <v>0</v>
      </c>
      <c r="AO91" s="98">
        <v>0</v>
      </c>
      <c r="AP91" s="98">
        <v>0</v>
      </c>
      <c r="AQ91" s="98">
        <v>0</v>
      </c>
      <c r="AR91" s="98">
        <v>0</v>
      </c>
      <c r="AS91" s="98">
        <v>0</v>
      </c>
      <c r="AT91" s="98">
        <v>0</v>
      </c>
      <c r="AU91" s="98">
        <v>0</v>
      </c>
      <c r="AV91" s="98">
        <v>0</v>
      </c>
      <c r="AW91" s="66">
        <v>0</v>
      </c>
      <c r="AX91" s="98">
        <v>0</v>
      </c>
      <c r="AY91" s="98">
        <v>0</v>
      </c>
      <c r="AZ91" s="98">
        <v>0</v>
      </c>
      <c r="BA91" s="98">
        <v>0</v>
      </c>
      <c r="BB91" s="98">
        <v>0</v>
      </c>
      <c r="BC91" s="98">
        <v>0</v>
      </c>
      <c r="BD91" s="98">
        <v>0</v>
      </c>
      <c r="BE91" s="98">
        <v>0</v>
      </c>
      <c r="BF91" s="66">
        <v>0</v>
      </c>
      <c r="BG91" s="98">
        <v>0</v>
      </c>
      <c r="BH91" s="98">
        <v>0</v>
      </c>
      <c r="BI91" s="98">
        <v>0</v>
      </c>
      <c r="BJ91" s="98">
        <v>0</v>
      </c>
      <c r="BK91" s="98">
        <v>0</v>
      </c>
      <c r="BL91" s="98">
        <v>0</v>
      </c>
      <c r="BM91" s="98">
        <v>0</v>
      </c>
      <c r="BN91" s="98">
        <v>0</v>
      </c>
      <c r="BO91" s="66">
        <v>0</v>
      </c>
      <c r="BP91" s="98">
        <v>0</v>
      </c>
      <c r="BQ91" s="98">
        <v>0</v>
      </c>
      <c r="BR91" s="98">
        <v>0</v>
      </c>
      <c r="BS91" s="98">
        <v>0</v>
      </c>
      <c r="BT91" s="98">
        <v>0</v>
      </c>
      <c r="BU91" s="98">
        <v>0</v>
      </c>
      <c r="BV91" s="98">
        <v>0</v>
      </c>
      <c r="BW91" s="98">
        <v>0</v>
      </c>
      <c r="BX91" s="98">
        <v>0</v>
      </c>
    </row>
    <row r="92" spans="1:76" x14ac:dyDescent="0.35">
      <c r="A92" t="s">
        <v>226</v>
      </c>
      <c r="B92" s="13" t="s">
        <v>237</v>
      </c>
      <c r="C92" s="13" t="s">
        <v>56</v>
      </c>
      <c r="D92" s="13" t="s">
        <v>227</v>
      </c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65"/>
      <c r="W92" s="98">
        <v>0</v>
      </c>
      <c r="X92" s="159">
        <f>'Steel_BF-BOF with H2'!$H$39*'Steel_BF-BOF with H2'!N28</f>
        <v>4.4451090694311274E-2</v>
      </c>
      <c r="Y92" s="159">
        <f>'Steel_NG-DR'!$H$33*'Inputs by region '!H$9</f>
        <v>1.109418436791091E-2</v>
      </c>
      <c r="Z92" s="159">
        <f>'Steel_100%H2-DR'!$H$33*'Inputs by region '!H$9</f>
        <v>1.109418436791091E-2</v>
      </c>
      <c r="AA92" s="159">
        <f>'Steel_BF-BOF with char (+CCUS)'!$H$26*'Steel_BF-BOF with char (+CCUS)'!N27</f>
        <v>9.2276548594747033E-3</v>
      </c>
      <c r="AB92" s="159">
        <f>'Steel_BF-BOF with char (+CCUS)'!$H$53*'Steel_BF-BOF with char (+CCUS)'!N54</f>
        <v>9.2276548594747033E-3</v>
      </c>
      <c r="AC92" s="98">
        <v>0</v>
      </c>
      <c r="AD92" s="98">
        <v>0</v>
      </c>
      <c r="AE92" s="66">
        <v>0</v>
      </c>
      <c r="AF92" s="98">
        <v>0</v>
      </c>
      <c r="AG92" s="98">
        <v>0</v>
      </c>
      <c r="AH92" s="98">
        <v>0</v>
      </c>
      <c r="AI92" s="98">
        <v>0</v>
      </c>
      <c r="AJ92" s="98">
        <v>0</v>
      </c>
      <c r="AK92" s="98">
        <v>0</v>
      </c>
      <c r="AL92" s="98">
        <v>0</v>
      </c>
      <c r="AM92" s="98">
        <v>0</v>
      </c>
      <c r="AN92" s="66">
        <v>0</v>
      </c>
      <c r="AO92" s="98">
        <v>0</v>
      </c>
      <c r="AP92" s="98">
        <v>0</v>
      </c>
      <c r="AQ92" s="98">
        <v>0</v>
      </c>
      <c r="AR92" s="98">
        <v>0</v>
      </c>
      <c r="AS92" s="98">
        <v>0</v>
      </c>
      <c r="AT92" s="98">
        <v>0</v>
      </c>
      <c r="AU92" s="98">
        <v>0</v>
      </c>
      <c r="AV92" s="98">
        <v>0</v>
      </c>
      <c r="AW92" s="66">
        <v>0</v>
      </c>
      <c r="AX92" s="98">
        <v>0</v>
      </c>
      <c r="AY92" s="98">
        <v>0</v>
      </c>
      <c r="AZ92" s="98">
        <v>0</v>
      </c>
      <c r="BA92" s="98">
        <v>0</v>
      </c>
      <c r="BB92" s="98">
        <v>0</v>
      </c>
      <c r="BC92" s="98">
        <v>0</v>
      </c>
      <c r="BD92" s="98">
        <v>0</v>
      </c>
      <c r="BE92" s="98">
        <v>0</v>
      </c>
      <c r="BF92" s="66">
        <v>0</v>
      </c>
      <c r="BG92" s="98">
        <v>0</v>
      </c>
      <c r="BH92" s="98">
        <v>0</v>
      </c>
      <c r="BI92" s="98">
        <v>0</v>
      </c>
      <c r="BJ92" s="98">
        <v>0</v>
      </c>
      <c r="BK92" s="98">
        <v>0</v>
      </c>
      <c r="BL92" s="98">
        <v>0</v>
      </c>
      <c r="BM92" s="98">
        <v>0</v>
      </c>
      <c r="BN92" s="98">
        <v>0</v>
      </c>
      <c r="BO92" s="66">
        <v>0</v>
      </c>
      <c r="BP92" s="98">
        <v>0</v>
      </c>
      <c r="BQ92" s="98">
        <v>0</v>
      </c>
      <c r="BR92" s="98">
        <v>0</v>
      </c>
      <c r="BS92" s="98">
        <v>0</v>
      </c>
      <c r="BT92" s="98">
        <v>0</v>
      </c>
      <c r="BU92" s="98">
        <v>0</v>
      </c>
      <c r="BV92" s="98">
        <v>0</v>
      </c>
      <c r="BW92" s="98">
        <v>0</v>
      </c>
      <c r="BX92" s="98">
        <v>0</v>
      </c>
    </row>
    <row r="93" spans="1:76" x14ac:dyDescent="0.35">
      <c r="A93" t="s">
        <v>83</v>
      </c>
      <c r="B93" s="13" t="s">
        <v>237</v>
      </c>
      <c r="C93" s="13" t="s">
        <v>56</v>
      </c>
      <c r="D93" s="13" t="s">
        <v>228</v>
      </c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65"/>
      <c r="W93" s="98">
        <v>0</v>
      </c>
      <c r="X93" s="98">
        <v>0</v>
      </c>
      <c r="Y93" s="98">
        <v>0</v>
      </c>
      <c r="Z93" s="98">
        <v>0</v>
      </c>
      <c r="AA93" s="159">
        <f>'Steel_BF-BOF with char (+CCUS)'!$H$27*'Inputs by region '!H$9</f>
        <v>6.9627451701437512E-2</v>
      </c>
      <c r="AB93" s="159">
        <f>'Steel_BF-BOF with char (+CCUS)'!$H$54*'Inputs by region '!H$9</f>
        <v>6.9627451701437512E-2</v>
      </c>
      <c r="AC93" s="98">
        <v>0</v>
      </c>
      <c r="AD93" s="98">
        <v>0</v>
      </c>
      <c r="AE93" s="66">
        <v>0</v>
      </c>
      <c r="AF93" s="98">
        <v>0</v>
      </c>
      <c r="AG93" s="98">
        <v>0</v>
      </c>
      <c r="AH93" s="98">
        <v>0</v>
      </c>
      <c r="AI93" s="98">
        <v>0</v>
      </c>
      <c r="AJ93" s="98">
        <v>0</v>
      </c>
      <c r="AK93" s="98">
        <v>0</v>
      </c>
      <c r="AL93" s="98">
        <v>0</v>
      </c>
      <c r="AM93" s="98">
        <v>0</v>
      </c>
      <c r="AN93" s="66">
        <v>0</v>
      </c>
      <c r="AO93" s="98">
        <v>0</v>
      </c>
      <c r="AP93" s="98">
        <v>0</v>
      </c>
      <c r="AQ93" s="98">
        <v>0</v>
      </c>
      <c r="AR93" s="98">
        <v>0</v>
      </c>
      <c r="AS93" s="98">
        <v>0</v>
      </c>
      <c r="AT93" s="98">
        <v>0</v>
      </c>
      <c r="AU93" s="98">
        <v>0</v>
      </c>
      <c r="AV93" s="98">
        <v>0</v>
      </c>
      <c r="AW93" s="66">
        <v>0</v>
      </c>
      <c r="AX93" s="98">
        <v>0</v>
      </c>
      <c r="AY93" s="98">
        <v>0</v>
      </c>
      <c r="AZ93" s="98">
        <v>0</v>
      </c>
      <c r="BA93" s="98">
        <v>0</v>
      </c>
      <c r="BB93" s="98">
        <v>0</v>
      </c>
      <c r="BC93" s="98">
        <v>0</v>
      </c>
      <c r="BD93" s="98">
        <v>0</v>
      </c>
      <c r="BE93" s="98">
        <v>0</v>
      </c>
      <c r="BF93" s="66">
        <v>0</v>
      </c>
      <c r="BG93" s="98">
        <v>0</v>
      </c>
      <c r="BH93" s="98">
        <v>0</v>
      </c>
      <c r="BI93" s="98">
        <v>0</v>
      </c>
      <c r="BJ93" s="98">
        <v>0</v>
      </c>
      <c r="BK93" s="98">
        <v>0</v>
      </c>
      <c r="BL93" s="98">
        <v>0</v>
      </c>
      <c r="BM93" s="98">
        <v>0</v>
      </c>
      <c r="BN93" s="98">
        <v>0</v>
      </c>
      <c r="BO93" s="66">
        <v>0</v>
      </c>
      <c r="BP93" s="98">
        <v>0</v>
      </c>
      <c r="BQ93" s="98">
        <v>0</v>
      </c>
      <c r="BR93" s="98">
        <v>0</v>
      </c>
      <c r="BS93" s="98">
        <v>0</v>
      </c>
      <c r="BT93" s="98">
        <v>0</v>
      </c>
      <c r="BU93" s="98">
        <v>0</v>
      </c>
      <c r="BV93" s="98">
        <v>0</v>
      </c>
      <c r="BW93" s="98">
        <v>0</v>
      </c>
      <c r="BX93" s="98">
        <v>0</v>
      </c>
    </row>
    <row r="94" spans="1:76" x14ac:dyDescent="0.35">
      <c r="A94" t="s">
        <v>229</v>
      </c>
      <c r="B94" s="13" t="s">
        <v>237</v>
      </c>
      <c r="C94" s="13" t="s">
        <v>56</v>
      </c>
      <c r="D94" s="13" t="s">
        <v>230</v>
      </c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65"/>
      <c r="W94" s="98">
        <v>0</v>
      </c>
      <c r="X94" s="98">
        <v>0</v>
      </c>
      <c r="Y94" s="159">
        <f>'Steel_NG-DR'!$H$34*'Inputs by region '!H$10</f>
        <v>2.890870278990243E-5</v>
      </c>
      <c r="Z94" s="159">
        <f>'Steel_100%H2-DR'!$H$34*'Inputs by region '!H$10</f>
        <v>2.890870278990243E-5</v>
      </c>
      <c r="AA94" s="98">
        <v>0</v>
      </c>
      <c r="AB94" s="98">
        <v>0</v>
      </c>
      <c r="AC94" s="98">
        <v>0</v>
      </c>
      <c r="AD94" s="98">
        <v>0</v>
      </c>
      <c r="AE94" s="66">
        <v>0</v>
      </c>
      <c r="AF94" s="98">
        <v>0</v>
      </c>
      <c r="AG94" s="98">
        <v>0</v>
      </c>
      <c r="AH94" s="98">
        <v>0</v>
      </c>
      <c r="AI94" s="98">
        <v>0</v>
      </c>
      <c r="AJ94" s="98">
        <v>0</v>
      </c>
      <c r="AK94" s="98">
        <v>0</v>
      </c>
      <c r="AL94" s="98">
        <v>0</v>
      </c>
      <c r="AM94" s="98">
        <v>0</v>
      </c>
      <c r="AN94" s="66">
        <v>0</v>
      </c>
      <c r="AO94" s="98">
        <v>0</v>
      </c>
      <c r="AP94" s="98">
        <v>0</v>
      </c>
      <c r="AQ94" s="98">
        <v>0</v>
      </c>
      <c r="AR94" s="98">
        <v>0</v>
      </c>
      <c r="AS94" s="98">
        <v>0</v>
      </c>
      <c r="AT94" s="98">
        <v>0</v>
      </c>
      <c r="AU94" s="98">
        <v>0</v>
      </c>
      <c r="AV94" s="98">
        <v>0</v>
      </c>
      <c r="AW94" s="66">
        <v>0</v>
      </c>
      <c r="AX94" s="98">
        <v>0</v>
      </c>
      <c r="AY94" s="98">
        <v>0</v>
      </c>
      <c r="AZ94" s="98">
        <v>0</v>
      </c>
      <c r="BA94" s="98">
        <v>0</v>
      </c>
      <c r="BB94" s="98">
        <v>0</v>
      </c>
      <c r="BC94" s="98">
        <v>0</v>
      </c>
      <c r="BD94" s="98">
        <v>0</v>
      </c>
      <c r="BE94" s="98">
        <v>0</v>
      </c>
      <c r="BF94" s="66">
        <v>0</v>
      </c>
      <c r="BG94" s="98">
        <v>0</v>
      </c>
      <c r="BH94" s="98">
        <v>0</v>
      </c>
      <c r="BI94" s="98">
        <v>0</v>
      </c>
      <c r="BJ94" s="98">
        <v>0</v>
      </c>
      <c r="BK94" s="98">
        <v>0</v>
      </c>
      <c r="BL94" s="98">
        <v>0</v>
      </c>
      <c r="BM94" s="98">
        <v>0</v>
      </c>
      <c r="BN94" s="98">
        <v>0</v>
      </c>
      <c r="BO94" s="66">
        <v>0</v>
      </c>
      <c r="BP94" s="98">
        <v>0</v>
      </c>
      <c r="BQ94" s="98">
        <v>0</v>
      </c>
      <c r="BR94" s="98">
        <v>0</v>
      </c>
      <c r="BS94" s="98">
        <v>0</v>
      </c>
      <c r="BT94" s="98">
        <v>0</v>
      </c>
      <c r="BU94" s="98">
        <v>0</v>
      </c>
      <c r="BV94" s="98">
        <v>0</v>
      </c>
      <c r="BW94" s="98">
        <v>0</v>
      </c>
      <c r="BX94" s="98">
        <v>0</v>
      </c>
    </row>
    <row r="95" spans="1:76" x14ac:dyDescent="0.35">
      <c r="A95" t="s">
        <v>231</v>
      </c>
      <c r="B95" s="13" t="s">
        <v>237</v>
      </c>
      <c r="C95" s="13" t="s">
        <v>56</v>
      </c>
      <c r="D95" s="13" t="s">
        <v>232</v>
      </c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65"/>
      <c r="W95" s="98">
        <v>0</v>
      </c>
      <c r="X95" s="98">
        <v>0</v>
      </c>
      <c r="Y95" s="159">
        <f>'Steel_NG-DR'!$H$35*'Inputs by region '!H$11</f>
        <v>2.1939759632029279E-4</v>
      </c>
      <c r="Z95" s="159">
        <f>'Steel_100%H2-DR'!$H$35*'Inputs by region '!H$11</f>
        <v>2.1939759632029279E-4</v>
      </c>
      <c r="AA95" s="98">
        <v>0</v>
      </c>
      <c r="AB95" s="98">
        <v>0</v>
      </c>
      <c r="AC95" s="98">
        <v>0</v>
      </c>
      <c r="AD95" s="98">
        <v>0</v>
      </c>
      <c r="AE95" s="66">
        <v>0</v>
      </c>
      <c r="AF95" s="98">
        <v>0</v>
      </c>
      <c r="AG95" s="98">
        <v>0</v>
      </c>
      <c r="AH95" s="98">
        <v>0</v>
      </c>
      <c r="AI95" s="98">
        <v>0</v>
      </c>
      <c r="AJ95" s="98">
        <v>0</v>
      </c>
      <c r="AK95" s="98">
        <v>0</v>
      </c>
      <c r="AL95" s="98">
        <v>0</v>
      </c>
      <c r="AM95" s="98">
        <v>0</v>
      </c>
      <c r="AN95" s="66">
        <v>0</v>
      </c>
      <c r="AO95" s="98">
        <v>0</v>
      </c>
      <c r="AP95" s="98">
        <v>0</v>
      </c>
      <c r="AQ95" s="98">
        <v>0</v>
      </c>
      <c r="AR95" s="98">
        <v>0</v>
      </c>
      <c r="AS95" s="98">
        <v>0</v>
      </c>
      <c r="AT95" s="98">
        <v>0</v>
      </c>
      <c r="AU95" s="98">
        <v>0</v>
      </c>
      <c r="AV95" s="98">
        <v>0</v>
      </c>
      <c r="AW95" s="66">
        <v>0</v>
      </c>
      <c r="AX95" s="98">
        <v>0</v>
      </c>
      <c r="AY95" s="98">
        <v>0</v>
      </c>
      <c r="AZ95" s="98">
        <v>0</v>
      </c>
      <c r="BA95" s="98">
        <v>0</v>
      </c>
      <c r="BB95" s="98">
        <v>0</v>
      </c>
      <c r="BC95" s="98">
        <v>0</v>
      </c>
      <c r="BD95" s="98">
        <v>0</v>
      </c>
      <c r="BE95" s="98">
        <v>0</v>
      </c>
      <c r="BF95" s="66">
        <v>0</v>
      </c>
      <c r="BG95" s="98">
        <v>0</v>
      </c>
      <c r="BH95" s="98">
        <v>0</v>
      </c>
      <c r="BI95" s="98">
        <v>0</v>
      </c>
      <c r="BJ95" s="98">
        <v>0</v>
      </c>
      <c r="BK95" s="98">
        <v>0</v>
      </c>
      <c r="BL95" s="98">
        <v>0</v>
      </c>
      <c r="BM95" s="98">
        <v>0</v>
      </c>
      <c r="BN95" s="98">
        <v>0</v>
      </c>
      <c r="BO95" s="66">
        <v>0</v>
      </c>
      <c r="BP95" s="98">
        <v>0</v>
      </c>
      <c r="BQ95" s="98">
        <v>0</v>
      </c>
      <c r="BR95" s="98">
        <v>0</v>
      </c>
      <c r="BS95" s="98">
        <v>0</v>
      </c>
      <c r="BT95" s="98">
        <v>0</v>
      </c>
      <c r="BU95" s="98">
        <v>0</v>
      </c>
      <c r="BV95" s="98">
        <v>0</v>
      </c>
      <c r="BW95" s="98">
        <v>0</v>
      </c>
      <c r="BX95" s="98">
        <v>0</v>
      </c>
    </row>
    <row r="96" spans="1:76" x14ac:dyDescent="0.35">
      <c r="A96" t="s">
        <v>233</v>
      </c>
      <c r="B96" s="13" t="s">
        <v>237</v>
      </c>
      <c r="C96" s="13" t="s">
        <v>56</v>
      </c>
      <c r="D96" s="13" t="s">
        <v>228</v>
      </c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65"/>
      <c r="W96" s="98">
        <v>0</v>
      </c>
      <c r="X96" s="98">
        <v>0</v>
      </c>
      <c r="Y96" s="159">
        <f>'Steel_NG-DR'!$H$36*'Inputs by region '!H$12</f>
        <v>2.8514320987501449E-3</v>
      </c>
      <c r="Z96" s="159">
        <f>'Steel_100%H2-DR'!$H$36*'Inputs by region '!H$12</f>
        <v>2.8514320987501449E-3</v>
      </c>
      <c r="AA96" s="98">
        <v>0</v>
      </c>
      <c r="AB96" s="98">
        <v>0</v>
      </c>
      <c r="AC96" s="98">
        <v>0</v>
      </c>
      <c r="AD96" s="98">
        <v>0</v>
      </c>
      <c r="AE96" s="66">
        <v>0</v>
      </c>
      <c r="AF96" s="98">
        <v>0</v>
      </c>
      <c r="AG96" s="98">
        <v>0</v>
      </c>
      <c r="AH96" s="98">
        <v>0</v>
      </c>
      <c r="AI96" s="98">
        <v>0</v>
      </c>
      <c r="AJ96" s="98">
        <v>0</v>
      </c>
      <c r="AK96" s="98">
        <v>0</v>
      </c>
      <c r="AL96" s="98">
        <v>0</v>
      </c>
      <c r="AM96" s="98">
        <v>0</v>
      </c>
      <c r="AN96" s="66">
        <v>0</v>
      </c>
      <c r="AO96" s="98">
        <v>0</v>
      </c>
      <c r="AP96" s="98">
        <v>0</v>
      </c>
      <c r="AQ96" s="98">
        <v>0</v>
      </c>
      <c r="AR96" s="98">
        <v>0</v>
      </c>
      <c r="AS96" s="98">
        <v>0</v>
      </c>
      <c r="AT96" s="98">
        <v>0</v>
      </c>
      <c r="AU96" s="98">
        <v>0</v>
      </c>
      <c r="AV96" s="98">
        <v>0</v>
      </c>
      <c r="AW96" s="66">
        <v>0</v>
      </c>
      <c r="AX96" s="98">
        <v>0</v>
      </c>
      <c r="AY96" s="98">
        <v>0</v>
      </c>
      <c r="AZ96" s="98">
        <v>0</v>
      </c>
      <c r="BA96" s="98">
        <v>0</v>
      </c>
      <c r="BB96" s="98">
        <v>0</v>
      </c>
      <c r="BC96" s="98">
        <v>0</v>
      </c>
      <c r="BD96" s="98">
        <v>0</v>
      </c>
      <c r="BE96" s="98">
        <v>0</v>
      </c>
      <c r="BF96" s="66">
        <v>0</v>
      </c>
      <c r="BG96" s="98">
        <v>0</v>
      </c>
      <c r="BH96" s="98">
        <v>0</v>
      </c>
      <c r="BI96" s="98">
        <v>0</v>
      </c>
      <c r="BJ96" s="98">
        <v>0</v>
      </c>
      <c r="BK96" s="98">
        <v>0</v>
      </c>
      <c r="BL96" s="98">
        <v>0</v>
      </c>
      <c r="BM96" s="98">
        <v>0</v>
      </c>
      <c r="BN96" s="98">
        <v>0</v>
      </c>
      <c r="BO96" s="66">
        <v>0</v>
      </c>
      <c r="BP96" s="98">
        <v>0</v>
      </c>
      <c r="BQ96" s="98">
        <v>0</v>
      </c>
      <c r="BR96" s="98">
        <v>0</v>
      </c>
      <c r="BS96" s="98">
        <v>0</v>
      </c>
      <c r="BT96" s="98">
        <v>0</v>
      </c>
      <c r="BU96" s="98">
        <v>0</v>
      </c>
      <c r="BV96" s="98">
        <v>0</v>
      </c>
      <c r="BW96" s="98">
        <v>0</v>
      </c>
      <c r="BX96" s="98">
        <v>0</v>
      </c>
    </row>
    <row r="97" spans="1:76" x14ac:dyDescent="0.35">
      <c r="A97" t="s">
        <v>101</v>
      </c>
      <c r="B97" s="13" t="s">
        <v>237</v>
      </c>
      <c r="C97" s="13" t="s">
        <v>103</v>
      </c>
      <c r="D97" s="13" t="s">
        <v>234</v>
      </c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65"/>
      <c r="W97" s="98">
        <v>0</v>
      </c>
      <c r="X97" s="98">
        <v>0</v>
      </c>
      <c r="Y97" s="98">
        <f>('Steel_NG-DR'!$H$37+'Steel_NG-DR'!$H$16)*'Inputs by region '!H$13</f>
        <v>0</v>
      </c>
      <c r="Z97" s="98">
        <f>('Steel_100%H2-DR'!$H$16+'Steel_100%H2-DR'!$H$37)*'Inputs by region '!H$13</f>
        <v>0</v>
      </c>
      <c r="AA97" s="98">
        <v>0</v>
      </c>
      <c r="AB97" s="98">
        <v>0</v>
      </c>
      <c r="AC97" s="98">
        <v>0</v>
      </c>
      <c r="AD97" s="98">
        <v>0</v>
      </c>
      <c r="AE97" s="66">
        <v>0</v>
      </c>
      <c r="AF97" s="98">
        <v>0</v>
      </c>
      <c r="AG97" s="98">
        <v>0</v>
      </c>
      <c r="AH97" s="98">
        <v>0</v>
      </c>
      <c r="AI97" s="98">
        <v>0</v>
      </c>
      <c r="AJ97" s="98">
        <v>0</v>
      </c>
      <c r="AK97" s="98">
        <v>0</v>
      </c>
      <c r="AL97" s="98">
        <v>0</v>
      </c>
      <c r="AM97" s="98">
        <v>0</v>
      </c>
      <c r="AN97" s="66">
        <v>0</v>
      </c>
      <c r="AO97" s="98">
        <v>0</v>
      </c>
      <c r="AP97" s="98">
        <v>0</v>
      </c>
      <c r="AQ97" s="98">
        <v>0</v>
      </c>
      <c r="AR97" s="98">
        <v>0</v>
      </c>
      <c r="AS97" s="98">
        <v>0</v>
      </c>
      <c r="AT97" s="98">
        <v>0</v>
      </c>
      <c r="AU97" s="98">
        <v>0</v>
      </c>
      <c r="AV97" s="98">
        <v>0</v>
      </c>
      <c r="AW97" s="66">
        <v>0</v>
      </c>
      <c r="AX97" s="98">
        <v>0</v>
      </c>
      <c r="AY97" s="98">
        <v>0</v>
      </c>
      <c r="AZ97" s="98">
        <v>0</v>
      </c>
      <c r="BA97" s="98">
        <v>0</v>
      </c>
      <c r="BB97" s="98">
        <v>0</v>
      </c>
      <c r="BC97" s="98">
        <v>0</v>
      </c>
      <c r="BD97" s="98">
        <v>0</v>
      </c>
      <c r="BE97" s="98">
        <v>0</v>
      </c>
      <c r="BF97" s="66">
        <v>0</v>
      </c>
      <c r="BG97" s="98">
        <v>0</v>
      </c>
      <c r="BH97" s="98">
        <v>0</v>
      </c>
      <c r="BI97" s="98">
        <v>0</v>
      </c>
      <c r="BJ97" s="98">
        <v>0</v>
      </c>
      <c r="BK97" s="98">
        <v>0</v>
      </c>
      <c r="BL97" s="98">
        <v>0</v>
      </c>
      <c r="BM97" s="98">
        <v>0</v>
      </c>
      <c r="BN97" s="98">
        <v>0</v>
      </c>
      <c r="BO97" s="66">
        <v>0</v>
      </c>
      <c r="BP97" s="98">
        <v>0</v>
      </c>
      <c r="BQ97" s="98">
        <v>0</v>
      </c>
      <c r="BR97" s="98">
        <v>0</v>
      </c>
      <c r="BS97" s="98">
        <v>0</v>
      </c>
      <c r="BT97" s="98">
        <v>0</v>
      </c>
      <c r="BU97" s="98">
        <v>0</v>
      </c>
      <c r="BV97" s="98">
        <v>0</v>
      </c>
      <c r="BW97" s="98">
        <v>0</v>
      </c>
      <c r="BX97" s="98">
        <v>0</v>
      </c>
    </row>
    <row r="98" spans="1:76" x14ac:dyDescent="0.35">
      <c r="A98" t="s">
        <v>104</v>
      </c>
      <c r="B98" s="13" t="s">
        <v>237</v>
      </c>
      <c r="C98" s="13" t="s">
        <v>103</v>
      </c>
      <c r="D98" s="13" t="s">
        <v>235</v>
      </c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65"/>
      <c r="W98" s="98">
        <v>0</v>
      </c>
      <c r="X98" s="98">
        <v>0</v>
      </c>
      <c r="Y98" s="98">
        <f>('Steel_NG-DR'!$H$37+'Steel_NG-DR'!$H$16)*'Inputs by region '!H$13</f>
        <v>0</v>
      </c>
      <c r="Z98" s="98">
        <f>('Steel_100%H2-DR'!$H$16+'Steel_100%H2-DR'!$H$37)*'Inputs by region '!H$13</f>
        <v>0</v>
      </c>
      <c r="AA98" s="98">
        <v>0</v>
      </c>
      <c r="AB98" s="98">
        <v>0</v>
      </c>
      <c r="AC98" s="98">
        <v>0</v>
      </c>
      <c r="AD98" s="98">
        <v>0</v>
      </c>
      <c r="AE98" s="66">
        <v>0</v>
      </c>
      <c r="AF98" s="98">
        <v>0</v>
      </c>
      <c r="AG98" s="98">
        <v>0</v>
      </c>
      <c r="AH98" s="98">
        <v>0</v>
      </c>
      <c r="AI98" s="98">
        <v>0</v>
      </c>
      <c r="AJ98" s="98">
        <v>0</v>
      </c>
      <c r="AK98" s="98">
        <v>0</v>
      </c>
      <c r="AL98" s="98">
        <v>0</v>
      </c>
      <c r="AM98" s="98">
        <v>0</v>
      </c>
      <c r="AN98" s="66">
        <v>0</v>
      </c>
      <c r="AO98" s="98">
        <v>0</v>
      </c>
      <c r="AP98" s="98">
        <v>0</v>
      </c>
      <c r="AQ98" s="98">
        <v>0</v>
      </c>
      <c r="AR98" s="98">
        <v>0</v>
      </c>
      <c r="AS98" s="98">
        <v>0</v>
      </c>
      <c r="AT98" s="98">
        <v>0</v>
      </c>
      <c r="AU98" s="98">
        <v>0</v>
      </c>
      <c r="AV98" s="98">
        <v>0</v>
      </c>
      <c r="AW98" s="66">
        <v>0</v>
      </c>
      <c r="AX98" s="98">
        <v>0</v>
      </c>
      <c r="AY98" s="98">
        <v>0</v>
      </c>
      <c r="AZ98" s="98">
        <v>0</v>
      </c>
      <c r="BA98" s="98">
        <v>0</v>
      </c>
      <c r="BB98" s="98">
        <v>0</v>
      </c>
      <c r="BC98" s="98">
        <v>0</v>
      </c>
      <c r="BD98" s="98">
        <v>0</v>
      </c>
      <c r="BE98" s="98">
        <v>0</v>
      </c>
      <c r="BF98" s="66">
        <v>0</v>
      </c>
      <c r="BG98" s="98">
        <v>0</v>
      </c>
      <c r="BH98" s="98">
        <v>0</v>
      </c>
      <c r="BI98" s="98">
        <v>0</v>
      </c>
      <c r="BJ98" s="98">
        <v>0</v>
      </c>
      <c r="BK98" s="98">
        <v>0</v>
      </c>
      <c r="BL98" s="98">
        <v>0</v>
      </c>
      <c r="BM98" s="98">
        <v>0</v>
      </c>
      <c r="BN98" s="98">
        <v>0</v>
      </c>
      <c r="BO98" s="66">
        <v>0</v>
      </c>
      <c r="BP98" s="98">
        <v>0</v>
      </c>
      <c r="BQ98" s="98">
        <v>0</v>
      </c>
      <c r="BR98" s="98">
        <v>0</v>
      </c>
      <c r="BS98" s="98">
        <v>0</v>
      </c>
      <c r="BT98" s="98">
        <v>0</v>
      </c>
      <c r="BU98" s="98">
        <v>0</v>
      </c>
      <c r="BV98" s="98">
        <v>0</v>
      </c>
      <c r="BW98" s="98">
        <v>0</v>
      </c>
      <c r="BX98" s="98">
        <v>0</v>
      </c>
    </row>
    <row r="99" spans="1:76" ht="15" thickBot="1" x14ac:dyDescent="0.4">
      <c r="A99" t="s">
        <v>106</v>
      </c>
      <c r="B99" s="13" t="s">
        <v>237</v>
      </c>
      <c r="C99" s="13" t="s">
        <v>103</v>
      </c>
      <c r="D99" s="13" t="s">
        <v>236</v>
      </c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65"/>
      <c r="W99" s="67">
        <v>0</v>
      </c>
      <c r="X99" s="67">
        <v>0</v>
      </c>
      <c r="Y99" s="67">
        <f>('Steel_NG-DR'!$H$37+'Steel_NG-DR'!$H$16)*'Inputs by region '!H$15</f>
        <v>0</v>
      </c>
      <c r="Z99" s="67">
        <f>('Steel_100%H2-DR'!$H$16+'Steel_100%H2-DR'!$H$37)*'Inputs by region '!H$13</f>
        <v>0</v>
      </c>
      <c r="AA99" s="67">
        <v>0</v>
      </c>
      <c r="AB99" s="67">
        <v>0</v>
      </c>
      <c r="AC99" s="67">
        <v>0</v>
      </c>
      <c r="AD99" s="67">
        <v>0</v>
      </c>
      <c r="AE99" s="68">
        <v>0</v>
      </c>
      <c r="AF99" s="113">
        <v>0</v>
      </c>
      <c r="AG99" s="67">
        <v>0</v>
      </c>
      <c r="AH99" s="67">
        <v>0</v>
      </c>
      <c r="AI99" s="67">
        <v>0</v>
      </c>
      <c r="AJ99" s="67">
        <v>0</v>
      </c>
      <c r="AK99" s="67">
        <v>0</v>
      </c>
      <c r="AL99" s="67">
        <v>0</v>
      </c>
      <c r="AM99" s="67">
        <v>0</v>
      </c>
      <c r="AN99" s="68">
        <v>0</v>
      </c>
      <c r="AO99" s="113">
        <v>0</v>
      </c>
      <c r="AP99" s="67">
        <v>0</v>
      </c>
      <c r="AQ99" s="67">
        <v>0</v>
      </c>
      <c r="AR99" s="67">
        <v>0</v>
      </c>
      <c r="AS99" s="67">
        <v>0</v>
      </c>
      <c r="AT99" s="67">
        <v>0</v>
      </c>
      <c r="AU99" s="67">
        <v>0</v>
      </c>
      <c r="AV99" s="67">
        <v>0</v>
      </c>
      <c r="AW99" s="68">
        <v>0</v>
      </c>
      <c r="AX99" s="113">
        <v>0</v>
      </c>
      <c r="AY99" s="67">
        <v>0</v>
      </c>
      <c r="AZ99" s="67">
        <v>0</v>
      </c>
      <c r="BA99" s="67">
        <v>0</v>
      </c>
      <c r="BB99" s="67">
        <v>0</v>
      </c>
      <c r="BC99" s="67">
        <v>0</v>
      </c>
      <c r="BD99" s="67">
        <v>0</v>
      </c>
      <c r="BE99" s="67">
        <v>0</v>
      </c>
      <c r="BF99" s="68">
        <v>0</v>
      </c>
      <c r="BG99" s="113">
        <v>0</v>
      </c>
      <c r="BH99" s="67">
        <v>0</v>
      </c>
      <c r="BI99" s="67">
        <v>0</v>
      </c>
      <c r="BJ99" s="67">
        <v>0</v>
      </c>
      <c r="BK99" s="67">
        <v>0</v>
      </c>
      <c r="BL99" s="67">
        <v>0</v>
      </c>
      <c r="BM99" s="67">
        <v>0</v>
      </c>
      <c r="BN99" s="67">
        <v>0</v>
      </c>
      <c r="BO99" s="68">
        <v>0</v>
      </c>
      <c r="BP99" s="113">
        <v>0</v>
      </c>
      <c r="BQ99" s="67">
        <v>0</v>
      </c>
      <c r="BR99" s="67">
        <v>0</v>
      </c>
      <c r="BS99" s="67">
        <v>0</v>
      </c>
      <c r="BT99" s="67">
        <v>0</v>
      </c>
      <c r="BU99" s="67">
        <v>0</v>
      </c>
      <c r="BV99" s="67">
        <v>0</v>
      </c>
      <c r="BW99" s="67">
        <v>0</v>
      </c>
      <c r="BX99" s="67">
        <v>0</v>
      </c>
    </row>
    <row r="100" spans="1:76" x14ac:dyDescent="0.35">
      <c r="A100" t="s">
        <v>218</v>
      </c>
      <c r="B100" s="13" t="s">
        <v>238</v>
      </c>
      <c r="C100" s="13" t="s">
        <v>56</v>
      </c>
      <c r="D100" s="13" t="s">
        <v>219</v>
      </c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65"/>
      <c r="W100" s="98">
        <v>0</v>
      </c>
      <c r="X100" s="98">
        <v>0</v>
      </c>
      <c r="Y100" s="159">
        <f>'Steel_NG-DR'!$H$15*'Inputs by region '!I$5</f>
        <v>2.949251079979006E-2</v>
      </c>
      <c r="Z100" s="159">
        <f>'Steel_100%H2-DR'!$H$15*'Inputs by region '!I$5</f>
        <v>2.949251079979006E-2</v>
      </c>
      <c r="AA100" s="98">
        <v>0</v>
      </c>
      <c r="AB100" s="98">
        <v>0</v>
      </c>
      <c r="AC100" s="98">
        <v>0</v>
      </c>
      <c r="AD100" s="98">
        <v>0</v>
      </c>
      <c r="AE100" s="66">
        <v>0</v>
      </c>
      <c r="AF100" s="98">
        <v>0</v>
      </c>
      <c r="AG100" s="98">
        <v>0</v>
      </c>
      <c r="AH100" s="98">
        <v>0</v>
      </c>
      <c r="AI100" s="98">
        <v>0</v>
      </c>
      <c r="AJ100" s="98">
        <v>0</v>
      </c>
      <c r="AK100" s="98">
        <v>0</v>
      </c>
      <c r="AL100" s="98">
        <v>0</v>
      </c>
      <c r="AM100" s="98">
        <v>0</v>
      </c>
      <c r="AN100" s="66">
        <v>0</v>
      </c>
      <c r="AO100" s="98">
        <v>0</v>
      </c>
      <c r="AP100" s="98">
        <v>0</v>
      </c>
      <c r="AQ100" s="98">
        <v>0</v>
      </c>
      <c r="AR100" s="98">
        <v>0</v>
      </c>
      <c r="AS100" s="98">
        <v>0</v>
      </c>
      <c r="AT100" s="98">
        <v>0</v>
      </c>
      <c r="AU100" s="98">
        <v>0</v>
      </c>
      <c r="AV100" s="98">
        <v>0</v>
      </c>
      <c r="AW100" s="66">
        <v>0</v>
      </c>
      <c r="AX100" s="98">
        <v>0</v>
      </c>
      <c r="AY100" s="98">
        <v>0</v>
      </c>
      <c r="AZ100" s="98">
        <v>0</v>
      </c>
      <c r="BA100" s="98">
        <v>0</v>
      </c>
      <c r="BB100" s="98">
        <v>0</v>
      </c>
      <c r="BC100" s="98">
        <v>0</v>
      </c>
      <c r="BD100" s="98">
        <v>0</v>
      </c>
      <c r="BE100" s="98">
        <v>0</v>
      </c>
      <c r="BF100" s="66">
        <v>0</v>
      </c>
      <c r="BG100" s="98">
        <v>0</v>
      </c>
      <c r="BH100" s="98">
        <v>0</v>
      </c>
      <c r="BI100" s="98">
        <v>0</v>
      </c>
      <c r="BJ100" s="98">
        <v>0</v>
      </c>
      <c r="BK100" s="98">
        <v>0</v>
      </c>
      <c r="BL100" s="98">
        <v>0</v>
      </c>
      <c r="BM100" s="98">
        <v>0</v>
      </c>
      <c r="BN100" s="98">
        <v>0</v>
      </c>
      <c r="BO100" s="66">
        <v>0</v>
      </c>
      <c r="BP100" s="98">
        <v>0</v>
      </c>
      <c r="BQ100" s="98">
        <v>0</v>
      </c>
      <c r="BR100" s="98">
        <v>0</v>
      </c>
      <c r="BS100" s="98">
        <v>0</v>
      </c>
      <c r="BT100" s="98">
        <v>0</v>
      </c>
      <c r="BU100" s="98">
        <v>0</v>
      </c>
      <c r="BV100" s="98">
        <v>0</v>
      </c>
      <c r="BW100" s="98">
        <v>0</v>
      </c>
      <c r="BX100" s="98">
        <v>0</v>
      </c>
    </row>
    <row r="101" spans="1:76" x14ac:dyDescent="0.35">
      <c r="A101" s="12" t="s">
        <v>220</v>
      </c>
      <c r="B101" s="13" t="s">
        <v>238</v>
      </c>
      <c r="C101" s="13" t="s">
        <v>56</v>
      </c>
      <c r="D101" s="13" t="s">
        <v>221</v>
      </c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65"/>
      <c r="W101" s="98">
        <v>0</v>
      </c>
      <c r="X101" s="98">
        <v>0</v>
      </c>
      <c r="Y101" s="98">
        <f>'Steel_NG-DR'!$H$29*'Inputs by region '!I$6</f>
        <v>0</v>
      </c>
      <c r="Z101" s="98">
        <f>'Steel_100%H2-DR'!$H$29*'Inputs by region '!I$6</f>
        <v>0</v>
      </c>
      <c r="AA101" s="98">
        <v>0</v>
      </c>
      <c r="AB101" s="98">
        <v>0</v>
      </c>
      <c r="AC101" s="98">
        <v>0</v>
      </c>
      <c r="AD101" s="98">
        <v>0</v>
      </c>
      <c r="AE101" s="66">
        <v>0</v>
      </c>
      <c r="AF101" s="98">
        <v>0</v>
      </c>
      <c r="AG101" s="98">
        <v>0</v>
      </c>
      <c r="AH101" s="98">
        <v>0</v>
      </c>
      <c r="AI101" s="98">
        <v>0</v>
      </c>
      <c r="AJ101" s="98">
        <v>0</v>
      </c>
      <c r="AK101" s="98">
        <v>0</v>
      </c>
      <c r="AL101" s="98">
        <v>0</v>
      </c>
      <c r="AM101" s="98">
        <v>0</v>
      </c>
      <c r="AN101" s="66">
        <v>0</v>
      </c>
      <c r="AO101" s="98">
        <v>0</v>
      </c>
      <c r="AP101" s="98">
        <v>0</v>
      </c>
      <c r="AQ101" s="98">
        <v>0</v>
      </c>
      <c r="AR101" s="98">
        <v>0</v>
      </c>
      <c r="AS101" s="98">
        <v>0</v>
      </c>
      <c r="AT101" s="98">
        <v>0</v>
      </c>
      <c r="AU101" s="98">
        <v>0</v>
      </c>
      <c r="AV101" s="98">
        <v>0</v>
      </c>
      <c r="AW101" s="66">
        <v>0</v>
      </c>
      <c r="AX101" s="98">
        <v>0</v>
      </c>
      <c r="AY101" s="98">
        <v>0</v>
      </c>
      <c r="AZ101" s="98">
        <v>0</v>
      </c>
      <c r="BA101" s="98">
        <v>0</v>
      </c>
      <c r="BB101" s="98">
        <v>0</v>
      </c>
      <c r="BC101" s="98">
        <v>0</v>
      </c>
      <c r="BD101" s="98">
        <v>0</v>
      </c>
      <c r="BE101" s="98">
        <v>0</v>
      </c>
      <c r="BF101" s="66">
        <v>0</v>
      </c>
      <c r="BG101" s="98">
        <v>0</v>
      </c>
      <c r="BH101" s="98">
        <v>0</v>
      </c>
      <c r="BI101" s="98">
        <v>0</v>
      </c>
      <c r="BJ101" s="98">
        <v>0</v>
      </c>
      <c r="BK101" s="98">
        <v>0</v>
      </c>
      <c r="BL101" s="98">
        <v>0</v>
      </c>
      <c r="BM101" s="98">
        <v>0</v>
      </c>
      <c r="BN101" s="98">
        <v>0</v>
      </c>
      <c r="BO101" s="66">
        <v>0</v>
      </c>
      <c r="BP101" s="98">
        <v>0</v>
      </c>
      <c r="BQ101" s="98">
        <v>0</v>
      </c>
      <c r="BR101" s="98">
        <v>0</v>
      </c>
      <c r="BS101" s="98">
        <v>0</v>
      </c>
      <c r="BT101" s="98">
        <v>0</v>
      </c>
      <c r="BU101" s="98">
        <v>0</v>
      </c>
      <c r="BV101" s="98">
        <v>0</v>
      </c>
      <c r="BW101" s="98">
        <v>0</v>
      </c>
      <c r="BX101" s="98">
        <v>0</v>
      </c>
    </row>
    <row r="102" spans="1:76" x14ac:dyDescent="0.35">
      <c r="A102" t="s">
        <v>222</v>
      </c>
      <c r="B102" s="13" t="s">
        <v>238</v>
      </c>
      <c r="C102" s="13" t="s">
        <v>56</v>
      </c>
      <c r="D102" s="13" t="s">
        <v>223</v>
      </c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65"/>
      <c r="W102" s="98">
        <v>0</v>
      </c>
      <c r="X102" s="98">
        <v>0</v>
      </c>
      <c r="Y102" s="159">
        <f>'Steel_NG-DR'!$H$31*'Inputs by region '!I$7</f>
        <v>2.1047443073980527E-5</v>
      </c>
      <c r="Z102" s="159">
        <f>'Steel_100%H2-DR'!$H$31*'Inputs by region '!I$7</f>
        <v>2.1047443073980527E-5</v>
      </c>
      <c r="AA102" s="98">
        <v>0</v>
      </c>
      <c r="AB102" s="98">
        <v>0</v>
      </c>
      <c r="AC102" s="98">
        <v>0</v>
      </c>
      <c r="AD102" s="98">
        <v>0</v>
      </c>
      <c r="AE102" s="66">
        <v>0</v>
      </c>
      <c r="AF102" s="98">
        <v>0</v>
      </c>
      <c r="AG102" s="98">
        <v>0</v>
      </c>
      <c r="AH102" s="98">
        <v>0</v>
      </c>
      <c r="AI102" s="98">
        <v>0</v>
      </c>
      <c r="AJ102" s="98">
        <v>0</v>
      </c>
      <c r="AK102" s="98">
        <v>0</v>
      </c>
      <c r="AL102" s="98">
        <v>0</v>
      </c>
      <c r="AM102" s="98">
        <v>0</v>
      </c>
      <c r="AN102" s="66">
        <v>0</v>
      </c>
      <c r="AO102" s="98">
        <v>0</v>
      </c>
      <c r="AP102" s="98">
        <v>0</v>
      </c>
      <c r="AQ102" s="98">
        <v>0</v>
      </c>
      <c r="AR102" s="98">
        <v>0</v>
      </c>
      <c r="AS102" s="98">
        <v>0</v>
      </c>
      <c r="AT102" s="98">
        <v>0</v>
      </c>
      <c r="AU102" s="98">
        <v>0</v>
      </c>
      <c r="AV102" s="98">
        <v>0</v>
      </c>
      <c r="AW102" s="66">
        <v>0</v>
      </c>
      <c r="AX102" s="98">
        <v>0</v>
      </c>
      <c r="AY102" s="98">
        <v>0</v>
      </c>
      <c r="AZ102" s="98">
        <v>0</v>
      </c>
      <c r="BA102" s="98">
        <v>0</v>
      </c>
      <c r="BB102" s="98">
        <v>0</v>
      </c>
      <c r="BC102" s="98">
        <v>0</v>
      </c>
      <c r="BD102" s="98">
        <v>0</v>
      </c>
      <c r="BE102" s="98">
        <v>0</v>
      </c>
      <c r="BF102" s="66">
        <v>0</v>
      </c>
      <c r="BG102" s="98">
        <v>0</v>
      </c>
      <c r="BH102" s="98">
        <v>0</v>
      </c>
      <c r="BI102" s="98">
        <v>0</v>
      </c>
      <c r="BJ102" s="98">
        <v>0</v>
      </c>
      <c r="BK102" s="98">
        <v>0</v>
      </c>
      <c r="BL102" s="98">
        <v>0</v>
      </c>
      <c r="BM102" s="98">
        <v>0</v>
      </c>
      <c r="BN102" s="98">
        <v>0</v>
      </c>
      <c r="BO102" s="66">
        <v>0</v>
      </c>
      <c r="BP102" s="98">
        <v>0</v>
      </c>
      <c r="BQ102" s="98">
        <v>0</v>
      </c>
      <c r="BR102" s="98">
        <v>0</v>
      </c>
      <c r="BS102" s="98">
        <v>0</v>
      </c>
      <c r="BT102" s="98">
        <v>0</v>
      </c>
      <c r="BU102" s="98">
        <v>0</v>
      </c>
      <c r="BV102" s="98">
        <v>0</v>
      </c>
      <c r="BW102" s="98">
        <v>0</v>
      </c>
      <c r="BX102" s="98">
        <v>0</v>
      </c>
    </row>
    <row r="103" spans="1:76" x14ac:dyDescent="0.35">
      <c r="A103" t="s">
        <v>224</v>
      </c>
      <c r="B103" s="13" t="s">
        <v>238</v>
      </c>
      <c r="C103" s="13" t="s">
        <v>56</v>
      </c>
      <c r="D103" s="13" t="s">
        <v>225</v>
      </c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65"/>
      <c r="W103" s="98">
        <v>0</v>
      </c>
      <c r="X103" s="98">
        <v>0</v>
      </c>
      <c r="Y103" s="159">
        <f>'Steel_NG-DR'!$H$32*'Inputs by region '!I$8</f>
        <v>5.8414015621608938E-3</v>
      </c>
      <c r="Z103" s="159">
        <f>'Steel_100%H2-DR'!$H$32*'Inputs by region '!I$8</f>
        <v>5.8414015621608938E-3</v>
      </c>
      <c r="AA103" s="98">
        <v>0</v>
      </c>
      <c r="AB103" s="98">
        <v>0</v>
      </c>
      <c r="AC103" s="98">
        <v>0</v>
      </c>
      <c r="AD103" s="98">
        <v>0</v>
      </c>
      <c r="AE103" s="66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8">
        <v>0</v>
      </c>
      <c r="AL103" s="98">
        <v>0</v>
      </c>
      <c r="AM103" s="98">
        <v>0</v>
      </c>
      <c r="AN103" s="66">
        <v>0</v>
      </c>
      <c r="AO103" s="98">
        <v>0</v>
      </c>
      <c r="AP103" s="98">
        <v>0</v>
      </c>
      <c r="AQ103" s="98">
        <v>0</v>
      </c>
      <c r="AR103" s="98">
        <v>0</v>
      </c>
      <c r="AS103" s="98">
        <v>0</v>
      </c>
      <c r="AT103" s="98">
        <v>0</v>
      </c>
      <c r="AU103" s="98">
        <v>0</v>
      </c>
      <c r="AV103" s="98">
        <v>0</v>
      </c>
      <c r="AW103" s="66">
        <v>0</v>
      </c>
      <c r="AX103" s="98">
        <v>0</v>
      </c>
      <c r="AY103" s="98">
        <v>0</v>
      </c>
      <c r="AZ103" s="98">
        <v>0</v>
      </c>
      <c r="BA103" s="98">
        <v>0</v>
      </c>
      <c r="BB103" s="98">
        <v>0</v>
      </c>
      <c r="BC103" s="98">
        <v>0</v>
      </c>
      <c r="BD103" s="98">
        <v>0</v>
      </c>
      <c r="BE103" s="98">
        <v>0</v>
      </c>
      <c r="BF103" s="66">
        <v>0</v>
      </c>
      <c r="BG103" s="98">
        <v>0</v>
      </c>
      <c r="BH103" s="98">
        <v>0</v>
      </c>
      <c r="BI103" s="98">
        <v>0</v>
      </c>
      <c r="BJ103" s="98">
        <v>0</v>
      </c>
      <c r="BK103" s="98">
        <v>0</v>
      </c>
      <c r="BL103" s="98">
        <v>0</v>
      </c>
      <c r="BM103" s="98">
        <v>0</v>
      </c>
      <c r="BN103" s="98">
        <v>0</v>
      </c>
      <c r="BO103" s="66">
        <v>0</v>
      </c>
      <c r="BP103" s="98">
        <v>0</v>
      </c>
      <c r="BQ103" s="98">
        <v>0</v>
      </c>
      <c r="BR103" s="98">
        <v>0</v>
      </c>
      <c r="BS103" s="98">
        <v>0</v>
      </c>
      <c r="BT103" s="98">
        <v>0</v>
      </c>
      <c r="BU103" s="98">
        <v>0</v>
      </c>
      <c r="BV103" s="98">
        <v>0</v>
      </c>
      <c r="BW103" s="98">
        <v>0</v>
      </c>
      <c r="BX103" s="98">
        <v>0</v>
      </c>
    </row>
    <row r="104" spans="1:76" x14ac:dyDescent="0.35">
      <c r="A104" t="s">
        <v>226</v>
      </c>
      <c r="B104" s="13" t="s">
        <v>238</v>
      </c>
      <c r="C104" s="13" t="s">
        <v>56</v>
      </c>
      <c r="D104" s="13" t="s">
        <v>227</v>
      </c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65"/>
      <c r="W104" s="98">
        <v>0</v>
      </c>
      <c r="X104" s="159">
        <f>'Steel_BF-BOF with H2'!$H$39*'Steel_BF-BOF with H2'!N29</f>
        <v>1.0694147292515508E-5</v>
      </c>
      <c r="Y104" s="159">
        <f>'Steel_NG-DR'!$H$33*'Inputs by region '!I$9</f>
        <v>1.4521138379047227E-3</v>
      </c>
      <c r="Z104" s="159">
        <f>'Steel_100%H2-DR'!$H$33*'Inputs by region '!I$9</f>
        <v>1.4521138379047227E-3</v>
      </c>
      <c r="AA104" s="159">
        <f>'Steel_BF-BOF with char (+CCUS)'!$H$26*'Steel_BF-BOF with char (+CCUS)'!N28</f>
        <v>2.2200107734217647E-6</v>
      </c>
      <c r="AB104" s="159">
        <f>'Steel_BF-BOF with char (+CCUS)'!$H$53*'Steel_BF-BOF with char (+CCUS)'!N55</f>
        <v>2.2200107734217647E-6</v>
      </c>
      <c r="AC104" s="98">
        <v>0</v>
      </c>
      <c r="AD104" s="98">
        <v>0</v>
      </c>
      <c r="AE104" s="66">
        <v>0</v>
      </c>
      <c r="AF104" s="98">
        <v>0</v>
      </c>
      <c r="AG104" s="98">
        <v>0</v>
      </c>
      <c r="AH104" s="98">
        <v>0</v>
      </c>
      <c r="AI104" s="98">
        <v>0</v>
      </c>
      <c r="AJ104" s="98">
        <v>0</v>
      </c>
      <c r="AK104" s="98">
        <v>0</v>
      </c>
      <c r="AL104" s="98">
        <v>0</v>
      </c>
      <c r="AM104" s="98">
        <v>0</v>
      </c>
      <c r="AN104" s="66">
        <v>0</v>
      </c>
      <c r="AO104" s="98">
        <v>0</v>
      </c>
      <c r="AP104" s="98">
        <v>0</v>
      </c>
      <c r="AQ104" s="98">
        <v>0</v>
      </c>
      <c r="AR104" s="98">
        <v>0</v>
      </c>
      <c r="AS104" s="98">
        <v>0</v>
      </c>
      <c r="AT104" s="98">
        <v>0</v>
      </c>
      <c r="AU104" s="98">
        <v>0</v>
      </c>
      <c r="AV104" s="98">
        <v>0</v>
      </c>
      <c r="AW104" s="66">
        <v>0</v>
      </c>
      <c r="AX104" s="98">
        <v>0</v>
      </c>
      <c r="AY104" s="98">
        <v>0</v>
      </c>
      <c r="AZ104" s="98">
        <v>0</v>
      </c>
      <c r="BA104" s="98">
        <v>0</v>
      </c>
      <c r="BB104" s="98">
        <v>0</v>
      </c>
      <c r="BC104" s="98">
        <v>0</v>
      </c>
      <c r="BD104" s="98">
        <v>0</v>
      </c>
      <c r="BE104" s="98">
        <v>0</v>
      </c>
      <c r="BF104" s="66">
        <v>0</v>
      </c>
      <c r="BG104" s="98">
        <v>0</v>
      </c>
      <c r="BH104" s="98">
        <v>0</v>
      </c>
      <c r="BI104" s="98">
        <v>0</v>
      </c>
      <c r="BJ104" s="98">
        <v>0</v>
      </c>
      <c r="BK104" s="98">
        <v>0</v>
      </c>
      <c r="BL104" s="98">
        <v>0</v>
      </c>
      <c r="BM104" s="98">
        <v>0</v>
      </c>
      <c r="BN104" s="98">
        <v>0</v>
      </c>
      <c r="BO104" s="66">
        <v>0</v>
      </c>
      <c r="BP104" s="98">
        <v>0</v>
      </c>
      <c r="BQ104" s="98">
        <v>0</v>
      </c>
      <c r="BR104" s="98">
        <v>0</v>
      </c>
      <c r="BS104" s="98">
        <v>0</v>
      </c>
      <c r="BT104" s="98">
        <v>0</v>
      </c>
      <c r="BU104" s="98">
        <v>0</v>
      </c>
      <c r="BV104" s="98">
        <v>0</v>
      </c>
      <c r="BW104" s="98">
        <v>0</v>
      </c>
      <c r="BX104" s="98">
        <v>0</v>
      </c>
    </row>
    <row r="105" spans="1:76" x14ac:dyDescent="0.35">
      <c r="A105" t="s">
        <v>83</v>
      </c>
      <c r="B105" s="13" t="s">
        <v>238</v>
      </c>
      <c r="C105" s="13" t="s">
        <v>56</v>
      </c>
      <c r="D105" s="13" t="s">
        <v>228</v>
      </c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65"/>
      <c r="W105" s="98">
        <v>0</v>
      </c>
      <c r="X105" s="98">
        <v>0</v>
      </c>
      <c r="Y105" s="98">
        <v>0</v>
      </c>
      <c r="Z105" s="98">
        <v>0</v>
      </c>
      <c r="AA105" s="159">
        <f>'Steel_BF-BOF with char (+CCUS)'!$H$27*'Inputs by region '!I$9</f>
        <v>9.1135123377023061E-3</v>
      </c>
      <c r="AB105" s="159">
        <f>'Steel_BF-BOF with char (+CCUS)'!$H$54*'Inputs by region '!I$9</f>
        <v>9.1135123377023061E-3</v>
      </c>
      <c r="AC105" s="98">
        <v>0</v>
      </c>
      <c r="AD105" s="98">
        <v>0</v>
      </c>
      <c r="AE105" s="66">
        <v>0</v>
      </c>
      <c r="AF105" s="98">
        <v>0</v>
      </c>
      <c r="AG105" s="98">
        <v>0</v>
      </c>
      <c r="AH105" s="98">
        <v>0</v>
      </c>
      <c r="AI105" s="98">
        <v>0</v>
      </c>
      <c r="AJ105" s="98">
        <v>0</v>
      </c>
      <c r="AK105" s="98">
        <v>0</v>
      </c>
      <c r="AL105" s="98">
        <v>0</v>
      </c>
      <c r="AM105" s="98">
        <v>0</v>
      </c>
      <c r="AN105" s="66">
        <v>0</v>
      </c>
      <c r="AO105" s="98">
        <v>0</v>
      </c>
      <c r="AP105" s="98">
        <v>0</v>
      </c>
      <c r="AQ105" s="98">
        <v>0</v>
      </c>
      <c r="AR105" s="98">
        <v>0</v>
      </c>
      <c r="AS105" s="98">
        <v>0</v>
      </c>
      <c r="AT105" s="98">
        <v>0</v>
      </c>
      <c r="AU105" s="98">
        <v>0</v>
      </c>
      <c r="AV105" s="98">
        <v>0</v>
      </c>
      <c r="AW105" s="66">
        <v>0</v>
      </c>
      <c r="AX105" s="98">
        <v>0</v>
      </c>
      <c r="AY105" s="98">
        <v>0</v>
      </c>
      <c r="AZ105" s="98">
        <v>0</v>
      </c>
      <c r="BA105" s="98">
        <v>0</v>
      </c>
      <c r="BB105" s="98">
        <v>0</v>
      </c>
      <c r="BC105" s="98">
        <v>0</v>
      </c>
      <c r="BD105" s="98">
        <v>0</v>
      </c>
      <c r="BE105" s="98">
        <v>0</v>
      </c>
      <c r="BF105" s="66">
        <v>0</v>
      </c>
      <c r="BG105" s="98">
        <v>0</v>
      </c>
      <c r="BH105" s="98">
        <v>0</v>
      </c>
      <c r="BI105" s="98">
        <v>0</v>
      </c>
      <c r="BJ105" s="98">
        <v>0</v>
      </c>
      <c r="BK105" s="98">
        <v>0</v>
      </c>
      <c r="BL105" s="98">
        <v>0</v>
      </c>
      <c r="BM105" s="98">
        <v>0</v>
      </c>
      <c r="BN105" s="98">
        <v>0</v>
      </c>
      <c r="BO105" s="66">
        <v>0</v>
      </c>
      <c r="BP105" s="98">
        <v>0</v>
      </c>
      <c r="BQ105" s="98">
        <v>0</v>
      </c>
      <c r="BR105" s="98">
        <v>0</v>
      </c>
      <c r="BS105" s="98">
        <v>0</v>
      </c>
      <c r="BT105" s="98">
        <v>0</v>
      </c>
      <c r="BU105" s="98">
        <v>0</v>
      </c>
      <c r="BV105" s="98">
        <v>0</v>
      </c>
      <c r="BW105" s="98">
        <v>0</v>
      </c>
      <c r="BX105" s="98">
        <v>0</v>
      </c>
    </row>
    <row r="106" spans="1:76" x14ac:dyDescent="0.35">
      <c r="A106" t="s">
        <v>229</v>
      </c>
      <c r="B106" s="13" t="s">
        <v>238</v>
      </c>
      <c r="C106" s="13" t="s">
        <v>56</v>
      </c>
      <c r="D106" s="13" t="s">
        <v>230</v>
      </c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65"/>
      <c r="W106" s="98">
        <v>0</v>
      </c>
      <c r="X106" s="98">
        <v>0</v>
      </c>
      <c r="Y106" s="159">
        <f>'Steel_NG-DR'!$H$34*'Inputs by region '!I$10</f>
        <v>6.5130870114372285E-5</v>
      </c>
      <c r="Z106" s="159">
        <f>'Steel_100%H2-DR'!$H$34*'Inputs by region '!I$10</f>
        <v>6.5130870114372285E-5</v>
      </c>
      <c r="AA106" s="98">
        <v>0</v>
      </c>
      <c r="AB106" s="98">
        <v>0</v>
      </c>
      <c r="AC106" s="98">
        <v>0</v>
      </c>
      <c r="AD106" s="98">
        <v>0</v>
      </c>
      <c r="AE106" s="66">
        <v>0</v>
      </c>
      <c r="AF106" s="98">
        <v>0</v>
      </c>
      <c r="AG106" s="98">
        <v>0</v>
      </c>
      <c r="AH106" s="98">
        <v>0</v>
      </c>
      <c r="AI106" s="98">
        <v>0</v>
      </c>
      <c r="AJ106" s="98">
        <v>0</v>
      </c>
      <c r="AK106" s="98">
        <v>0</v>
      </c>
      <c r="AL106" s="98">
        <v>0</v>
      </c>
      <c r="AM106" s="98">
        <v>0</v>
      </c>
      <c r="AN106" s="66">
        <v>0</v>
      </c>
      <c r="AO106" s="98">
        <v>0</v>
      </c>
      <c r="AP106" s="98">
        <v>0</v>
      </c>
      <c r="AQ106" s="98">
        <v>0</v>
      </c>
      <c r="AR106" s="98">
        <v>0</v>
      </c>
      <c r="AS106" s="98">
        <v>0</v>
      </c>
      <c r="AT106" s="98">
        <v>0</v>
      </c>
      <c r="AU106" s="98">
        <v>0</v>
      </c>
      <c r="AV106" s="98">
        <v>0</v>
      </c>
      <c r="AW106" s="66">
        <v>0</v>
      </c>
      <c r="AX106" s="98">
        <v>0</v>
      </c>
      <c r="AY106" s="98">
        <v>0</v>
      </c>
      <c r="AZ106" s="98">
        <v>0</v>
      </c>
      <c r="BA106" s="98">
        <v>0</v>
      </c>
      <c r="BB106" s="98">
        <v>0</v>
      </c>
      <c r="BC106" s="98">
        <v>0</v>
      </c>
      <c r="BD106" s="98">
        <v>0</v>
      </c>
      <c r="BE106" s="98">
        <v>0</v>
      </c>
      <c r="BF106" s="66">
        <v>0</v>
      </c>
      <c r="BG106" s="98">
        <v>0</v>
      </c>
      <c r="BH106" s="98">
        <v>0</v>
      </c>
      <c r="BI106" s="98">
        <v>0</v>
      </c>
      <c r="BJ106" s="98">
        <v>0</v>
      </c>
      <c r="BK106" s="98">
        <v>0</v>
      </c>
      <c r="BL106" s="98">
        <v>0</v>
      </c>
      <c r="BM106" s="98">
        <v>0</v>
      </c>
      <c r="BN106" s="98">
        <v>0</v>
      </c>
      <c r="BO106" s="66">
        <v>0</v>
      </c>
      <c r="BP106" s="98">
        <v>0</v>
      </c>
      <c r="BQ106" s="98">
        <v>0</v>
      </c>
      <c r="BR106" s="98">
        <v>0</v>
      </c>
      <c r="BS106" s="98">
        <v>0</v>
      </c>
      <c r="BT106" s="98">
        <v>0</v>
      </c>
      <c r="BU106" s="98">
        <v>0</v>
      </c>
      <c r="BV106" s="98">
        <v>0</v>
      </c>
      <c r="BW106" s="98">
        <v>0</v>
      </c>
      <c r="BX106" s="98">
        <v>0</v>
      </c>
    </row>
    <row r="107" spans="1:76" x14ac:dyDescent="0.35">
      <c r="A107" t="s">
        <v>231</v>
      </c>
      <c r="B107" s="13" t="s">
        <v>238</v>
      </c>
      <c r="C107" s="13" t="s">
        <v>56</v>
      </c>
      <c r="D107" s="13" t="s">
        <v>232</v>
      </c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65"/>
      <c r="W107" s="98">
        <v>0</v>
      </c>
      <c r="X107" s="98">
        <v>0</v>
      </c>
      <c r="Y107" s="159">
        <f>'Steel_NG-DR'!$H$35*'Inputs by region '!I$11</f>
        <v>9.6800039566744163E-4</v>
      </c>
      <c r="Z107" s="159">
        <f>'Steel_100%H2-DR'!$H$35*'Inputs by region '!I$11</f>
        <v>9.6800039566744163E-4</v>
      </c>
      <c r="AA107" s="98">
        <v>0</v>
      </c>
      <c r="AB107" s="98">
        <v>0</v>
      </c>
      <c r="AC107" s="98">
        <v>0</v>
      </c>
      <c r="AD107" s="98">
        <v>0</v>
      </c>
      <c r="AE107" s="66">
        <v>0</v>
      </c>
      <c r="AF107" s="98">
        <v>0</v>
      </c>
      <c r="AG107" s="98">
        <v>0</v>
      </c>
      <c r="AH107" s="98">
        <v>0</v>
      </c>
      <c r="AI107" s="98">
        <v>0</v>
      </c>
      <c r="AJ107" s="98">
        <v>0</v>
      </c>
      <c r="AK107" s="98">
        <v>0</v>
      </c>
      <c r="AL107" s="98">
        <v>0</v>
      </c>
      <c r="AM107" s="98">
        <v>0</v>
      </c>
      <c r="AN107" s="66">
        <v>0</v>
      </c>
      <c r="AO107" s="98">
        <v>0</v>
      </c>
      <c r="AP107" s="98">
        <v>0</v>
      </c>
      <c r="AQ107" s="98">
        <v>0</v>
      </c>
      <c r="AR107" s="98">
        <v>0</v>
      </c>
      <c r="AS107" s="98">
        <v>0</v>
      </c>
      <c r="AT107" s="98">
        <v>0</v>
      </c>
      <c r="AU107" s="98">
        <v>0</v>
      </c>
      <c r="AV107" s="98">
        <v>0</v>
      </c>
      <c r="AW107" s="66">
        <v>0</v>
      </c>
      <c r="AX107" s="98">
        <v>0</v>
      </c>
      <c r="AY107" s="98">
        <v>0</v>
      </c>
      <c r="AZ107" s="98">
        <v>0</v>
      </c>
      <c r="BA107" s="98">
        <v>0</v>
      </c>
      <c r="BB107" s="98">
        <v>0</v>
      </c>
      <c r="BC107" s="98">
        <v>0</v>
      </c>
      <c r="BD107" s="98">
        <v>0</v>
      </c>
      <c r="BE107" s="98">
        <v>0</v>
      </c>
      <c r="BF107" s="66">
        <v>0</v>
      </c>
      <c r="BG107" s="98">
        <v>0</v>
      </c>
      <c r="BH107" s="98">
        <v>0</v>
      </c>
      <c r="BI107" s="98">
        <v>0</v>
      </c>
      <c r="BJ107" s="98">
        <v>0</v>
      </c>
      <c r="BK107" s="98">
        <v>0</v>
      </c>
      <c r="BL107" s="98">
        <v>0</v>
      </c>
      <c r="BM107" s="98">
        <v>0</v>
      </c>
      <c r="BN107" s="98">
        <v>0</v>
      </c>
      <c r="BO107" s="66">
        <v>0</v>
      </c>
      <c r="BP107" s="98">
        <v>0</v>
      </c>
      <c r="BQ107" s="98">
        <v>0</v>
      </c>
      <c r="BR107" s="98">
        <v>0</v>
      </c>
      <c r="BS107" s="98">
        <v>0</v>
      </c>
      <c r="BT107" s="98">
        <v>0</v>
      </c>
      <c r="BU107" s="98">
        <v>0</v>
      </c>
      <c r="BV107" s="98">
        <v>0</v>
      </c>
      <c r="BW107" s="98">
        <v>0</v>
      </c>
      <c r="BX107" s="98">
        <v>0</v>
      </c>
    </row>
    <row r="108" spans="1:76" x14ac:dyDescent="0.35">
      <c r="A108" t="s">
        <v>233</v>
      </c>
      <c r="B108" s="13" t="s">
        <v>238</v>
      </c>
      <c r="C108" s="13" t="s">
        <v>56</v>
      </c>
      <c r="D108" s="13" t="s">
        <v>228</v>
      </c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65"/>
      <c r="W108" s="98">
        <v>0</v>
      </c>
      <c r="X108" s="98">
        <v>0</v>
      </c>
      <c r="Y108" s="159">
        <f>'Steel_NG-DR'!$H$36*'Inputs by region '!I$12</f>
        <v>8.4821183458843076E-3</v>
      </c>
      <c r="Z108" s="159">
        <f>'Steel_100%H2-DR'!$H$36*'Inputs by region '!I$12</f>
        <v>8.4821183458843076E-3</v>
      </c>
      <c r="AA108" s="98">
        <v>0</v>
      </c>
      <c r="AB108" s="98">
        <v>0</v>
      </c>
      <c r="AC108" s="98">
        <v>0</v>
      </c>
      <c r="AD108" s="98">
        <v>0</v>
      </c>
      <c r="AE108" s="66">
        <v>0</v>
      </c>
      <c r="AF108" s="98">
        <v>0</v>
      </c>
      <c r="AG108" s="98">
        <v>0</v>
      </c>
      <c r="AH108" s="98">
        <v>0</v>
      </c>
      <c r="AI108" s="98">
        <v>0</v>
      </c>
      <c r="AJ108" s="98">
        <v>0</v>
      </c>
      <c r="AK108" s="98">
        <v>0</v>
      </c>
      <c r="AL108" s="98">
        <v>0</v>
      </c>
      <c r="AM108" s="98">
        <v>0</v>
      </c>
      <c r="AN108" s="66">
        <v>0</v>
      </c>
      <c r="AO108" s="98">
        <v>0</v>
      </c>
      <c r="AP108" s="98">
        <v>0</v>
      </c>
      <c r="AQ108" s="98">
        <v>0</v>
      </c>
      <c r="AR108" s="98">
        <v>0</v>
      </c>
      <c r="AS108" s="98">
        <v>0</v>
      </c>
      <c r="AT108" s="98">
        <v>0</v>
      </c>
      <c r="AU108" s="98">
        <v>0</v>
      </c>
      <c r="AV108" s="98">
        <v>0</v>
      </c>
      <c r="AW108" s="66">
        <v>0</v>
      </c>
      <c r="AX108" s="98">
        <v>0</v>
      </c>
      <c r="AY108" s="98">
        <v>0</v>
      </c>
      <c r="AZ108" s="98">
        <v>0</v>
      </c>
      <c r="BA108" s="98">
        <v>0</v>
      </c>
      <c r="BB108" s="98">
        <v>0</v>
      </c>
      <c r="BC108" s="98">
        <v>0</v>
      </c>
      <c r="BD108" s="98">
        <v>0</v>
      </c>
      <c r="BE108" s="98">
        <v>0</v>
      </c>
      <c r="BF108" s="66">
        <v>0</v>
      </c>
      <c r="BG108" s="98">
        <v>0</v>
      </c>
      <c r="BH108" s="98">
        <v>0</v>
      </c>
      <c r="BI108" s="98">
        <v>0</v>
      </c>
      <c r="BJ108" s="98">
        <v>0</v>
      </c>
      <c r="BK108" s="98">
        <v>0</v>
      </c>
      <c r="BL108" s="98">
        <v>0</v>
      </c>
      <c r="BM108" s="98">
        <v>0</v>
      </c>
      <c r="BN108" s="98">
        <v>0</v>
      </c>
      <c r="BO108" s="66">
        <v>0</v>
      </c>
      <c r="BP108" s="98">
        <v>0</v>
      </c>
      <c r="BQ108" s="98">
        <v>0</v>
      </c>
      <c r="BR108" s="98">
        <v>0</v>
      </c>
      <c r="BS108" s="98">
        <v>0</v>
      </c>
      <c r="BT108" s="98">
        <v>0</v>
      </c>
      <c r="BU108" s="98">
        <v>0</v>
      </c>
      <c r="BV108" s="98">
        <v>0</v>
      </c>
      <c r="BW108" s="98">
        <v>0</v>
      </c>
      <c r="BX108" s="98">
        <v>0</v>
      </c>
    </row>
    <row r="109" spans="1:76" x14ac:dyDescent="0.35">
      <c r="A109" t="s">
        <v>101</v>
      </c>
      <c r="B109" s="13" t="s">
        <v>238</v>
      </c>
      <c r="C109" s="13" t="s">
        <v>103</v>
      </c>
      <c r="D109" s="13" t="s">
        <v>234</v>
      </c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65"/>
      <c r="W109" s="98">
        <v>0</v>
      </c>
      <c r="X109" s="98">
        <v>0</v>
      </c>
      <c r="Y109" s="98">
        <f>('Steel_NG-DR'!$H$37+'Steel_NG-DR'!$H$16)*'Inputs by region '!I$13</f>
        <v>0</v>
      </c>
      <c r="Z109" s="98">
        <f>('Steel_100%H2-DR'!$H$16+'Steel_100%H2-DR'!$H$37)*'Inputs by region '!I$13</f>
        <v>0</v>
      </c>
      <c r="AA109" s="98">
        <v>0</v>
      </c>
      <c r="AB109" s="98">
        <v>0</v>
      </c>
      <c r="AC109" s="98">
        <v>0</v>
      </c>
      <c r="AD109" s="98">
        <v>0</v>
      </c>
      <c r="AE109" s="66">
        <v>0</v>
      </c>
      <c r="AF109" s="98">
        <v>0</v>
      </c>
      <c r="AG109" s="98">
        <v>0</v>
      </c>
      <c r="AH109" s="98">
        <v>0</v>
      </c>
      <c r="AI109" s="98">
        <v>0</v>
      </c>
      <c r="AJ109" s="98">
        <v>0</v>
      </c>
      <c r="AK109" s="98">
        <v>0</v>
      </c>
      <c r="AL109" s="98">
        <v>0</v>
      </c>
      <c r="AM109" s="98">
        <v>0</v>
      </c>
      <c r="AN109" s="66">
        <v>0</v>
      </c>
      <c r="AO109" s="98">
        <v>0</v>
      </c>
      <c r="AP109" s="98">
        <v>0</v>
      </c>
      <c r="AQ109" s="98">
        <v>0</v>
      </c>
      <c r="AR109" s="98">
        <v>0</v>
      </c>
      <c r="AS109" s="98">
        <v>0</v>
      </c>
      <c r="AT109" s="98">
        <v>0</v>
      </c>
      <c r="AU109" s="98">
        <v>0</v>
      </c>
      <c r="AV109" s="98">
        <v>0</v>
      </c>
      <c r="AW109" s="66">
        <v>0</v>
      </c>
      <c r="AX109" s="98">
        <v>0</v>
      </c>
      <c r="AY109" s="98">
        <v>0</v>
      </c>
      <c r="AZ109" s="98">
        <v>0</v>
      </c>
      <c r="BA109" s="98">
        <v>0</v>
      </c>
      <c r="BB109" s="98">
        <v>0</v>
      </c>
      <c r="BC109" s="98">
        <v>0</v>
      </c>
      <c r="BD109" s="98">
        <v>0</v>
      </c>
      <c r="BE109" s="98">
        <v>0</v>
      </c>
      <c r="BF109" s="66">
        <v>0</v>
      </c>
      <c r="BG109" s="98">
        <v>0</v>
      </c>
      <c r="BH109" s="98">
        <v>0</v>
      </c>
      <c r="BI109" s="98">
        <v>0</v>
      </c>
      <c r="BJ109" s="98">
        <v>0</v>
      </c>
      <c r="BK109" s="98">
        <v>0</v>
      </c>
      <c r="BL109" s="98">
        <v>0</v>
      </c>
      <c r="BM109" s="98">
        <v>0</v>
      </c>
      <c r="BN109" s="98">
        <v>0</v>
      </c>
      <c r="BO109" s="66">
        <v>0</v>
      </c>
      <c r="BP109" s="98">
        <v>0</v>
      </c>
      <c r="BQ109" s="98">
        <v>0</v>
      </c>
      <c r="BR109" s="98">
        <v>0</v>
      </c>
      <c r="BS109" s="98">
        <v>0</v>
      </c>
      <c r="BT109" s="98">
        <v>0</v>
      </c>
      <c r="BU109" s="98">
        <v>0</v>
      </c>
      <c r="BV109" s="98">
        <v>0</v>
      </c>
      <c r="BW109" s="98">
        <v>0</v>
      </c>
      <c r="BX109" s="98">
        <v>0</v>
      </c>
    </row>
    <row r="110" spans="1:76" x14ac:dyDescent="0.35">
      <c r="A110" t="s">
        <v>104</v>
      </c>
      <c r="B110" s="13" t="s">
        <v>238</v>
      </c>
      <c r="C110" s="13" t="s">
        <v>103</v>
      </c>
      <c r="D110" s="13" t="s">
        <v>235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65"/>
      <c r="W110" s="98">
        <v>0</v>
      </c>
      <c r="X110" s="98">
        <v>0</v>
      </c>
      <c r="Y110" s="98">
        <f>('Steel_NG-DR'!$H$37+'Steel_NG-DR'!$H$16)*'Inputs by region '!I$14</f>
        <v>0</v>
      </c>
      <c r="Z110" s="98">
        <f>('Steel_100%H2-DR'!$H$16+'Steel_100%H2-DR'!$H$37)*'Inputs by region '!I$14</f>
        <v>0</v>
      </c>
      <c r="AA110" s="98">
        <v>0</v>
      </c>
      <c r="AB110" s="98">
        <v>0</v>
      </c>
      <c r="AC110" s="98">
        <v>0</v>
      </c>
      <c r="AD110" s="98">
        <v>0</v>
      </c>
      <c r="AE110" s="66">
        <v>0</v>
      </c>
      <c r="AF110" s="98">
        <v>0</v>
      </c>
      <c r="AG110" s="98">
        <v>0</v>
      </c>
      <c r="AH110" s="98">
        <v>0</v>
      </c>
      <c r="AI110" s="98">
        <v>0</v>
      </c>
      <c r="AJ110" s="98">
        <v>0</v>
      </c>
      <c r="AK110" s="98">
        <v>0</v>
      </c>
      <c r="AL110" s="98">
        <v>0</v>
      </c>
      <c r="AM110" s="98">
        <v>0</v>
      </c>
      <c r="AN110" s="66">
        <v>0</v>
      </c>
      <c r="AO110" s="98">
        <v>0</v>
      </c>
      <c r="AP110" s="98">
        <v>0</v>
      </c>
      <c r="AQ110" s="98">
        <v>0</v>
      </c>
      <c r="AR110" s="98">
        <v>0</v>
      </c>
      <c r="AS110" s="98">
        <v>0</v>
      </c>
      <c r="AT110" s="98">
        <v>0</v>
      </c>
      <c r="AU110" s="98">
        <v>0</v>
      </c>
      <c r="AV110" s="98">
        <v>0</v>
      </c>
      <c r="AW110" s="66">
        <v>0</v>
      </c>
      <c r="AX110" s="98">
        <v>0</v>
      </c>
      <c r="AY110" s="98">
        <v>0</v>
      </c>
      <c r="AZ110" s="98">
        <v>0</v>
      </c>
      <c r="BA110" s="98">
        <v>0</v>
      </c>
      <c r="BB110" s="98">
        <v>0</v>
      </c>
      <c r="BC110" s="98">
        <v>0</v>
      </c>
      <c r="BD110" s="98">
        <v>0</v>
      </c>
      <c r="BE110" s="98">
        <v>0</v>
      </c>
      <c r="BF110" s="66">
        <v>0</v>
      </c>
      <c r="BG110" s="98">
        <v>0</v>
      </c>
      <c r="BH110" s="98">
        <v>0</v>
      </c>
      <c r="BI110" s="98">
        <v>0</v>
      </c>
      <c r="BJ110" s="98">
        <v>0</v>
      </c>
      <c r="BK110" s="98">
        <v>0</v>
      </c>
      <c r="BL110" s="98">
        <v>0</v>
      </c>
      <c r="BM110" s="98">
        <v>0</v>
      </c>
      <c r="BN110" s="98">
        <v>0</v>
      </c>
      <c r="BO110" s="66">
        <v>0</v>
      </c>
      <c r="BP110" s="98">
        <v>0</v>
      </c>
      <c r="BQ110" s="98">
        <v>0</v>
      </c>
      <c r="BR110" s="98">
        <v>0</v>
      </c>
      <c r="BS110" s="98">
        <v>0</v>
      </c>
      <c r="BT110" s="98">
        <v>0</v>
      </c>
      <c r="BU110" s="98">
        <v>0</v>
      </c>
      <c r="BV110" s="98">
        <v>0</v>
      </c>
      <c r="BW110" s="98">
        <v>0</v>
      </c>
      <c r="BX110" s="98">
        <v>0</v>
      </c>
    </row>
    <row r="111" spans="1:76" ht="15" thickBot="1" x14ac:dyDescent="0.4">
      <c r="A111" t="s">
        <v>106</v>
      </c>
      <c r="B111" s="13" t="s">
        <v>238</v>
      </c>
      <c r="C111" s="13" t="s">
        <v>103</v>
      </c>
      <c r="D111" s="13" t="s">
        <v>236</v>
      </c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65"/>
      <c r="W111" s="67">
        <v>0</v>
      </c>
      <c r="X111" s="67">
        <v>0</v>
      </c>
      <c r="Y111" s="67">
        <f>('Steel_NG-DR'!$H$37+'Steel_NG-DR'!$H$16)*'Inputs by region '!I$15</f>
        <v>0</v>
      </c>
      <c r="Z111" s="67">
        <f>('Steel_100%H2-DR'!$H$16+'Steel_100%H2-DR'!$H$37)*'Inputs by region '!I$15</f>
        <v>0</v>
      </c>
      <c r="AA111" s="67">
        <v>0</v>
      </c>
      <c r="AB111" s="67">
        <v>0</v>
      </c>
      <c r="AC111" s="67">
        <v>0</v>
      </c>
      <c r="AD111" s="67">
        <v>0</v>
      </c>
      <c r="AE111" s="68">
        <v>0</v>
      </c>
      <c r="AF111" s="113">
        <v>0</v>
      </c>
      <c r="AG111" s="67">
        <v>0</v>
      </c>
      <c r="AH111" s="67">
        <v>0</v>
      </c>
      <c r="AI111" s="67">
        <v>0</v>
      </c>
      <c r="AJ111" s="67">
        <v>0</v>
      </c>
      <c r="AK111" s="67">
        <v>0</v>
      </c>
      <c r="AL111" s="67">
        <v>0</v>
      </c>
      <c r="AM111" s="67">
        <v>0</v>
      </c>
      <c r="AN111" s="68">
        <v>0</v>
      </c>
      <c r="AO111" s="113">
        <v>0</v>
      </c>
      <c r="AP111" s="67">
        <v>0</v>
      </c>
      <c r="AQ111" s="67">
        <v>0</v>
      </c>
      <c r="AR111" s="67">
        <v>0</v>
      </c>
      <c r="AS111" s="67">
        <v>0</v>
      </c>
      <c r="AT111" s="67">
        <v>0</v>
      </c>
      <c r="AU111" s="67">
        <v>0</v>
      </c>
      <c r="AV111" s="67">
        <v>0</v>
      </c>
      <c r="AW111" s="68">
        <v>0</v>
      </c>
      <c r="AX111" s="113">
        <v>0</v>
      </c>
      <c r="AY111" s="67">
        <v>0</v>
      </c>
      <c r="AZ111" s="67">
        <v>0</v>
      </c>
      <c r="BA111" s="67">
        <v>0</v>
      </c>
      <c r="BB111" s="67">
        <v>0</v>
      </c>
      <c r="BC111" s="67">
        <v>0</v>
      </c>
      <c r="BD111" s="67">
        <v>0</v>
      </c>
      <c r="BE111" s="67">
        <v>0</v>
      </c>
      <c r="BF111" s="68">
        <v>0</v>
      </c>
      <c r="BG111" s="113">
        <v>0</v>
      </c>
      <c r="BH111" s="67">
        <v>0</v>
      </c>
      <c r="BI111" s="67">
        <v>0</v>
      </c>
      <c r="BJ111" s="67">
        <v>0</v>
      </c>
      <c r="BK111" s="67">
        <v>0</v>
      </c>
      <c r="BL111" s="67">
        <v>0</v>
      </c>
      <c r="BM111" s="67">
        <v>0</v>
      </c>
      <c r="BN111" s="67">
        <v>0</v>
      </c>
      <c r="BO111" s="68">
        <v>0</v>
      </c>
      <c r="BP111" s="113">
        <v>0</v>
      </c>
      <c r="BQ111" s="67">
        <v>0</v>
      </c>
      <c r="BR111" s="67">
        <v>0</v>
      </c>
      <c r="BS111" s="67">
        <v>0</v>
      </c>
      <c r="BT111" s="67">
        <v>0</v>
      </c>
      <c r="BU111" s="67">
        <v>0</v>
      </c>
      <c r="BV111" s="67">
        <v>0</v>
      </c>
      <c r="BW111" s="67">
        <v>0</v>
      </c>
      <c r="BX111" s="67">
        <v>0</v>
      </c>
    </row>
    <row r="112" spans="1:76" x14ac:dyDescent="0.35">
      <c r="A112" t="s">
        <v>218</v>
      </c>
      <c r="B112" s="13" t="s">
        <v>239</v>
      </c>
      <c r="C112" s="13" t="s">
        <v>56</v>
      </c>
      <c r="D112" s="13" t="s">
        <v>219</v>
      </c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65"/>
      <c r="W112" s="98">
        <v>0</v>
      </c>
      <c r="X112" s="98">
        <v>0</v>
      </c>
      <c r="Y112" s="159">
        <f>'Steel_NG-DR'!$H$15*'Inputs by region '!J$5</f>
        <v>0.15097500908393557</v>
      </c>
      <c r="Z112" s="159">
        <f>'Steel_100%H2-DR'!$H$15*'Inputs by region '!J$5</f>
        <v>0.15097500908393557</v>
      </c>
      <c r="AA112" s="98">
        <v>0</v>
      </c>
      <c r="AB112" s="98">
        <v>0</v>
      </c>
      <c r="AC112" s="98">
        <v>0</v>
      </c>
      <c r="AD112" s="98">
        <v>0</v>
      </c>
      <c r="AE112" s="66">
        <v>0</v>
      </c>
      <c r="AF112" s="98">
        <v>0</v>
      </c>
      <c r="AG112" s="98">
        <v>0</v>
      </c>
      <c r="AH112" s="98">
        <v>0</v>
      </c>
      <c r="AI112" s="98">
        <v>0</v>
      </c>
      <c r="AJ112" s="98">
        <v>0</v>
      </c>
      <c r="AK112" s="98">
        <v>0</v>
      </c>
      <c r="AL112" s="98">
        <v>0</v>
      </c>
      <c r="AM112" s="98">
        <v>0</v>
      </c>
      <c r="AN112" s="66">
        <v>0</v>
      </c>
      <c r="AO112" s="98">
        <v>0</v>
      </c>
      <c r="AP112" s="98">
        <v>0</v>
      </c>
      <c r="AQ112" s="98">
        <v>0</v>
      </c>
      <c r="AR112" s="98">
        <v>0</v>
      </c>
      <c r="AS112" s="98">
        <v>0</v>
      </c>
      <c r="AT112" s="98">
        <v>0</v>
      </c>
      <c r="AU112" s="98">
        <v>0</v>
      </c>
      <c r="AV112" s="98">
        <v>0</v>
      </c>
      <c r="AW112" s="66">
        <v>0</v>
      </c>
      <c r="AX112" s="98">
        <v>0</v>
      </c>
      <c r="AY112" s="98">
        <v>0</v>
      </c>
      <c r="AZ112" s="98">
        <v>0</v>
      </c>
      <c r="BA112" s="98">
        <v>0</v>
      </c>
      <c r="BB112" s="98">
        <v>0</v>
      </c>
      <c r="BC112" s="98">
        <v>0</v>
      </c>
      <c r="BD112" s="98">
        <v>0</v>
      </c>
      <c r="BE112" s="98">
        <v>0</v>
      </c>
      <c r="BF112" s="66">
        <v>0</v>
      </c>
      <c r="BG112" s="98">
        <v>0</v>
      </c>
      <c r="BH112" s="98">
        <v>0</v>
      </c>
      <c r="BI112" s="98">
        <v>0</v>
      </c>
      <c r="BJ112" s="98">
        <v>0</v>
      </c>
      <c r="BK112" s="98">
        <v>0</v>
      </c>
      <c r="BL112" s="98">
        <v>0</v>
      </c>
      <c r="BM112" s="98">
        <v>0</v>
      </c>
      <c r="BN112" s="98">
        <v>0</v>
      </c>
      <c r="BO112" s="66">
        <v>0</v>
      </c>
      <c r="BP112" s="98">
        <v>0</v>
      </c>
      <c r="BQ112" s="98">
        <v>0</v>
      </c>
      <c r="BR112" s="98">
        <v>0</v>
      </c>
      <c r="BS112" s="98">
        <v>0</v>
      </c>
      <c r="BT112" s="98">
        <v>0</v>
      </c>
      <c r="BU112" s="98">
        <v>0</v>
      </c>
      <c r="BV112" s="98">
        <v>0</v>
      </c>
      <c r="BW112" s="98">
        <v>0</v>
      </c>
      <c r="BX112" s="98">
        <v>0</v>
      </c>
    </row>
    <row r="113" spans="1:76" x14ac:dyDescent="0.35">
      <c r="A113" s="12" t="s">
        <v>220</v>
      </c>
      <c r="B113" s="13" t="s">
        <v>239</v>
      </c>
      <c r="C113" s="13" t="s">
        <v>56</v>
      </c>
      <c r="D113" s="13" t="s">
        <v>221</v>
      </c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65"/>
      <c r="W113" s="98">
        <v>0</v>
      </c>
      <c r="X113" s="98">
        <v>0</v>
      </c>
      <c r="Y113" s="98">
        <f>'Steel_NG-DR'!$H$29*'Inputs by region '!J$6</f>
        <v>0</v>
      </c>
      <c r="Z113" s="98">
        <f>'Steel_100%H2-DR'!$H$29*'Inputs by region '!J$6</f>
        <v>0</v>
      </c>
      <c r="AA113" s="98">
        <v>0</v>
      </c>
      <c r="AB113" s="98">
        <v>0</v>
      </c>
      <c r="AC113" s="98">
        <v>0</v>
      </c>
      <c r="AD113" s="98">
        <v>0</v>
      </c>
      <c r="AE113" s="66">
        <v>0</v>
      </c>
      <c r="AF113" s="98">
        <v>0</v>
      </c>
      <c r="AG113" s="98">
        <v>0</v>
      </c>
      <c r="AH113" s="98">
        <v>0</v>
      </c>
      <c r="AI113" s="98">
        <v>0</v>
      </c>
      <c r="AJ113" s="98">
        <v>0</v>
      </c>
      <c r="AK113" s="98">
        <v>0</v>
      </c>
      <c r="AL113" s="98">
        <v>0</v>
      </c>
      <c r="AM113" s="98">
        <v>0</v>
      </c>
      <c r="AN113" s="66">
        <v>0</v>
      </c>
      <c r="AO113" s="98">
        <v>0</v>
      </c>
      <c r="AP113" s="98">
        <v>0</v>
      </c>
      <c r="AQ113" s="98">
        <v>0</v>
      </c>
      <c r="AR113" s="98">
        <v>0</v>
      </c>
      <c r="AS113" s="98">
        <v>0</v>
      </c>
      <c r="AT113" s="98">
        <v>0</v>
      </c>
      <c r="AU113" s="98">
        <v>0</v>
      </c>
      <c r="AV113" s="98">
        <v>0</v>
      </c>
      <c r="AW113" s="66">
        <v>0</v>
      </c>
      <c r="AX113" s="98">
        <v>0</v>
      </c>
      <c r="AY113" s="98">
        <v>0</v>
      </c>
      <c r="AZ113" s="98">
        <v>0</v>
      </c>
      <c r="BA113" s="98">
        <v>0</v>
      </c>
      <c r="BB113" s="98">
        <v>0</v>
      </c>
      <c r="BC113" s="98">
        <v>0</v>
      </c>
      <c r="BD113" s="98">
        <v>0</v>
      </c>
      <c r="BE113" s="98">
        <v>0</v>
      </c>
      <c r="BF113" s="66">
        <v>0</v>
      </c>
      <c r="BG113" s="98">
        <v>0</v>
      </c>
      <c r="BH113" s="98">
        <v>0</v>
      </c>
      <c r="BI113" s="98">
        <v>0</v>
      </c>
      <c r="BJ113" s="98">
        <v>0</v>
      </c>
      <c r="BK113" s="98">
        <v>0</v>
      </c>
      <c r="BL113" s="98">
        <v>0</v>
      </c>
      <c r="BM113" s="98">
        <v>0</v>
      </c>
      <c r="BN113" s="98">
        <v>0</v>
      </c>
      <c r="BO113" s="66">
        <v>0</v>
      </c>
      <c r="BP113" s="98">
        <v>0</v>
      </c>
      <c r="BQ113" s="98">
        <v>0</v>
      </c>
      <c r="BR113" s="98">
        <v>0</v>
      </c>
      <c r="BS113" s="98">
        <v>0</v>
      </c>
      <c r="BT113" s="98">
        <v>0</v>
      </c>
      <c r="BU113" s="98">
        <v>0</v>
      </c>
      <c r="BV113" s="98">
        <v>0</v>
      </c>
      <c r="BW113" s="98">
        <v>0</v>
      </c>
      <c r="BX113" s="98">
        <v>0</v>
      </c>
    </row>
    <row r="114" spans="1:76" x14ac:dyDescent="0.35">
      <c r="A114" t="s">
        <v>222</v>
      </c>
      <c r="B114" s="13" t="s">
        <v>239</v>
      </c>
      <c r="C114" s="13" t="s">
        <v>56</v>
      </c>
      <c r="D114" s="13" t="s">
        <v>223</v>
      </c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65"/>
      <c r="W114" s="98">
        <v>0</v>
      </c>
      <c r="X114" s="98">
        <v>0</v>
      </c>
      <c r="Y114" s="159">
        <f>'Steel_NG-DR'!$H$31*'Inputs by region '!J$7</f>
        <v>6.7728942399646885E-5</v>
      </c>
      <c r="Z114" s="159">
        <f>'Steel_100%H2-DR'!$H$31*'Inputs by region '!J$7</f>
        <v>6.7728942399646885E-5</v>
      </c>
      <c r="AA114" s="98">
        <v>0</v>
      </c>
      <c r="AB114" s="98">
        <v>0</v>
      </c>
      <c r="AC114" s="98">
        <v>0</v>
      </c>
      <c r="AD114" s="98">
        <v>0</v>
      </c>
      <c r="AE114" s="66">
        <v>0</v>
      </c>
      <c r="AF114" s="98">
        <v>0</v>
      </c>
      <c r="AG114" s="98">
        <v>0</v>
      </c>
      <c r="AH114" s="98">
        <v>0</v>
      </c>
      <c r="AI114" s="98">
        <v>0</v>
      </c>
      <c r="AJ114" s="98">
        <v>0</v>
      </c>
      <c r="AK114" s="98">
        <v>0</v>
      </c>
      <c r="AL114" s="98">
        <v>0</v>
      </c>
      <c r="AM114" s="98">
        <v>0</v>
      </c>
      <c r="AN114" s="66">
        <v>0</v>
      </c>
      <c r="AO114" s="98">
        <v>0</v>
      </c>
      <c r="AP114" s="98">
        <v>0</v>
      </c>
      <c r="AQ114" s="98">
        <v>0</v>
      </c>
      <c r="AR114" s="98">
        <v>0</v>
      </c>
      <c r="AS114" s="98">
        <v>0</v>
      </c>
      <c r="AT114" s="98">
        <v>0</v>
      </c>
      <c r="AU114" s="98">
        <v>0</v>
      </c>
      <c r="AV114" s="98">
        <v>0</v>
      </c>
      <c r="AW114" s="66">
        <v>0</v>
      </c>
      <c r="AX114" s="98">
        <v>0</v>
      </c>
      <c r="AY114" s="98">
        <v>0</v>
      </c>
      <c r="AZ114" s="98">
        <v>0</v>
      </c>
      <c r="BA114" s="98">
        <v>0</v>
      </c>
      <c r="BB114" s="98">
        <v>0</v>
      </c>
      <c r="BC114" s="98">
        <v>0</v>
      </c>
      <c r="BD114" s="98">
        <v>0</v>
      </c>
      <c r="BE114" s="98">
        <v>0</v>
      </c>
      <c r="BF114" s="66">
        <v>0</v>
      </c>
      <c r="BG114" s="98">
        <v>0</v>
      </c>
      <c r="BH114" s="98">
        <v>0</v>
      </c>
      <c r="BI114" s="98">
        <v>0</v>
      </c>
      <c r="BJ114" s="98">
        <v>0</v>
      </c>
      <c r="BK114" s="98">
        <v>0</v>
      </c>
      <c r="BL114" s="98">
        <v>0</v>
      </c>
      <c r="BM114" s="98">
        <v>0</v>
      </c>
      <c r="BN114" s="98">
        <v>0</v>
      </c>
      <c r="BO114" s="66">
        <v>0</v>
      </c>
      <c r="BP114" s="98">
        <v>0</v>
      </c>
      <c r="BQ114" s="98">
        <v>0</v>
      </c>
      <c r="BR114" s="98">
        <v>0</v>
      </c>
      <c r="BS114" s="98">
        <v>0</v>
      </c>
      <c r="BT114" s="98">
        <v>0</v>
      </c>
      <c r="BU114" s="98">
        <v>0</v>
      </c>
      <c r="BV114" s="98">
        <v>0</v>
      </c>
      <c r="BW114" s="98">
        <v>0</v>
      </c>
      <c r="BX114" s="98">
        <v>0</v>
      </c>
    </row>
    <row r="115" spans="1:76" x14ac:dyDescent="0.35">
      <c r="A115" t="s">
        <v>224</v>
      </c>
      <c r="B115" s="13" t="s">
        <v>239</v>
      </c>
      <c r="C115" s="13" t="s">
        <v>56</v>
      </c>
      <c r="D115" s="13" t="s">
        <v>225</v>
      </c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65"/>
      <c r="W115" s="98">
        <v>0</v>
      </c>
      <c r="X115" s="98">
        <v>0</v>
      </c>
      <c r="Y115" s="159">
        <f>'Steel_NG-DR'!$H$32*'Inputs by region '!J$8</f>
        <v>5.6233849622410815E-3</v>
      </c>
      <c r="Z115" s="159">
        <f>'Steel_100%H2-DR'!$H$32*'Inputs by region '!J$8</f>
        <v>5.6233849622410815E-3</v>
      </c>
      <c r="AA115" s="98">
        <v>0</v>
      </c>
      <c r="AB115" s="98">
        <v>0</v>
      </c>
      <c r="AC115" s="98">
        <v>0</v>
      </c>
      <c r="AD115" s="98">
        <v>0</v>
      </c>
      <c r="AE115" s="66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8">
        <v>0</v>
      </c>
      <c r="AL115" s="98">
        <v>0</v>
      </c>
      <c r="AM115" s="98">
        <v>0</v>
      </c>
      <c r="AN115" s="66">
        <v>0</v>
      </c>
      <c r="AO115" s="98">
        <v>0</v>
      </c>
      <c r="AP115" s="98">
        <v>0</v>
      </c>
      <c r="AQ115" s="98">
        <v>0</v>
      </c>
      <c r="AR115" s="98">
        <v>0</v>
      </c>
      <c r="AS115" s="98">
        <v>0</v>
      </c>
      <c r="AT115" s="98">
        <v>0</v>
      </c>
      <c r="AU115" s="98">
        <v>0</v>
      </c>
      <c r="AV115" s="98">
        <v>0</v>
      </c>
      <c r="AW115" s="66">
        <v>0</v>
      </c>
      <c r="AX115" s="98">
        <v>0</v>
      </c>
      <c r="AY115" s="98">
        <v>0</v>
      </c>
      <c r="AZ115" s="98">
        <v>0</v>
      </c>
      <c r="BA115" s="98">
        <v>0</v>
      </c>
      <c r="BB115" s="98">
        <v>0</v>
      </c>
      <c r="BC115" s="98">
        <v>0</v>
      </c>
      <c r="BD115" s="98">
        <v>0</v>
      </c>
      <c r="BE115" s="98">
        <v>0</v>
      </c>
      <c r="BF115" s="66">
        <v>0</v>
      </c>
      <c r="BG115" s="98">
        <v>0</v>
      </c>
      <c r="BH115" s="98">
        <v>0</v>
      </c>
      <c r="BI115" s="98">
        <v>0</v>
      </c>
      <c r="BJ115" s="98">
        <v>0</v>
      </c>
      <c r="BK115" s="98">
        <v>0</v>
      </c>
      <c r="BL115" s="98">
        <v>0</v>
      </c>
      <c r="BM115" s="98">
        <v>0</v>
      </c>
      <c r="BN115" s="98">
        <v>0</v>
      </c>
      <c r="BO115" s="66">
        <v>0</v>
      </c>
      <c r="BP115" s="98">
        <v>0</v>
      </c>
      <c r="BQ115" s="98">
        <v>0</v>
      </c>
      <c r="BR115" s="98">
        <v>0</v>
      </c>
      <c r="BS115" s="98">
        <v>0</v>
      </c>
      <c r="BT115" s="98">
        <v>0</v>
      </c>
      <c r="BU115" s="98">
        <v>0</v>
      </c>
      <c r="BV115" s="98">
        <v>0</v>
      </c>
      <c r="BW115" s="98">
        <v>0</v>
      </c>
      <c r="BX115" s="98">
        <v>0</v>
      </c>
    </row>
    <row r="116" spans="1:76" x14ac:dyDescent="0.35">
      <c r="A116" t="s">
        <v>226</v>
      </c>
      <c r="B116" s="13" t="s">
        <v>239</v>
      </c>
      <c r="C116" s="13" t="s">
        <v>56</v>
      </c>
      <c r="D116" s="13" t="s">
        <v>227</v>
      </c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65"/>
      <c r="W116" s="98">
        <v>0</v>
      </c>
      <c r="X116" s="159">
        <f>'Steel_BF-BOF with H2'!$H$39*'Steel_BF-BOF with H2'!N30</f>
        <v>2.0807907452574416E-3</v>
      </c>
      <c r="Y116" s="159">
        <f>'Steel_NG-DR'!$H$33*'Inputs by region '!J$9</f>
        <v>1.8068055269127655E-3</v>
      </c>
      <c r="Z116" s="159">
        <f>'Steel_100%H2-DR'!$H$33*'Inputs by region '!J$9</f>
        <v>1.8068055269127655E-3</v>
      </c>
      <c r="AA116" s="159">
        <f>'Steel_BF-BOF with char (+CCUS)'!$H$26*'Steel_BF-BOF with char (+CCUS)'!N29</f>
        <v>4.3195382907628159E-4</v>
      </c>
      <c r="AB116" s="159">
        <f>'Steel_BF-BOF with char (+CCUS)'!$H$53*'Steel_BF-BOF with char (+CCUS)'!N56</f>
        <v>4.3195382907628159E-4</v>
      </c>
      <c r="AC116" s="98">
        <v>0</v>
      </c>
      <c r="AD116" s="98">
        <v>0</v>
      </c>
      <c r="AE116" s="66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8">
        <v>0</v>
      </c>
      <c r="AL116" s="98">
        <v>0</v>
      </c>
      <c r="AM116" s="98">
        <v>0</v>
      </c>
      <c r="AN116" s="66">
        <v>0</v>
      </c>
      <c r="AO116" s="98">
        <v>0</v>
      </c>
      <c r="AP116" s="98">
        <v>0</v>
      </c>
      <c r="AQ116" s="98">
        <v>0</v>
      </c>
      <c r="AR116" s="98">
        <v>0</v>
      </c>
      <c r="AS116" s="98">
        <v>0</v>
      </c>
      <c r="AT116" s="98">
        <v>0</v>
      </c>
      <c r="AU116" s="98">
        <v>0</v>
      </c>
      <c r="AV116" s="98">
        <v>0</v>
      </c>
      <c r="AW116" s="66">
        <v>0</v>
      </c>
      <c r="AX116" s="98">
        <v>0</v>
      </c>
      <c r="AY116" s="98">
        <v>0</v>
      </c>
      <c r="AZ116" s="98">
        <v>0</v>
      </c>
      <c r="BA116" s="98">
        <v>0</v>
      </c>
      <c r="BB116" s="98">
        <v>0</v>
      </c>
      <c r="BC116" s="98">
        <v>0</v>
      </c>
      <c r="BD116" s="98">
        <v>0</v>
      </c>
      <c r="BE116" s="98">
        <v>0</v>
      </c>
      <c r="BF116" s="66">
        <v>0</v>
      </c>
      <c r="BG116" s="98">
        <v>0</v>
      </c>
      <c r="BH116" s="98">
        <v>0</v>
      </c>
      <c r="BI116" s="98">
        <v>0</v>
      </c>
      <c r="BJ116" s="98">
        <v>0</v>
      </c>
      <c r="BK116" s="98">
        <v>0</v>
      </c>
      <c r="BL116" s="98">
        <v>0</v>
      </c>
      <c r="BM116" s="98">
        <v>0</v>
      </c>
      <c r="BN116" s="98">
        <v>0</v>
      </c>
      <c r="BO116" s="66">
        <v>0</v>
      </c>
      <c r="BP116" s="98">
        <v>0</v>
      </c>
      <c r="BQ116" s="98">
        <v>0</v>
      </c>
      <c r="BR116" s="98">
        <v>0</v>
      </c>
      <c r="BS116" s="98">
        <v>0</v>
      </c>
      <c r="BT116" s="98">
        <v>0</v>
      </c>
      <c r="BU116" s="98">
        <v>0</v>
      </c>
      <c r="BV116" s="98">
        <v>0</v>
      </c>
      <c r="BW116" s="98">
        <v>0</v>
      </c>
      <c r="BX116" s="98">
        <v>0</v>
      </c>
    </row>
    <row r="117" spans="1:76" x14ac:dyDescent="0.35">
      <c r="A117" t="s">
        <v>83</v>
      </c>
      <c r="B117" s="13" t="s">
        <v>239</v>
      </c>
      <c r="C117" s="13" t="s">
        <v>56</v>
      </c>
      <c r="D117" s="13" t="s">
        <v>228</v>
      </c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65"/>
      <c r="W117" s="98">
        <v>0</v>
      </c>
      <c r="X117" s="98">
        <v>0</v>
      </c>
      <c r="Y117" s="98">
        <v>0</v>
      </c>
      <c r="Z117" s="98">
        <v>0</v>
      </c>
      <c r="AA117" s="159">
        <f>'Steel_BF-BOF with char (+CCUS)'!$H$27*'Inputs by region '!J$9</f>
        <v>1.1339568587203704E-2</v>
      </c>
      <c r="AB117" s="159">
        <f>'Steel_BF-BOF with char (+CCUS)'!$H$54*'Inputs by region '!J$9</f>
        <v>1.1339568587203704E-2</v>
      </c>
      <c r="AC117" s="98">
        <v>0</v>
      </c>
      <c r="AD117" s="98">
        <v>0</v>
      </c>
      <c r="AE117" s="66">
        <v>0</v>
      </c>
      <c r="AF117" s="98">
        <v>0</v>
      </c>
      <c r="AG117" s="98">
        <v>0</v>
      </c>
      <c r="AH117" s="98">
        <v>0</v>
      </c>
      <c r="AI117" s="98">
        <v>0</v>
      </c>
      <c r="AJ117" s="98">
        <v>0</v>
      </c>
      <c r="AK117" s="98">
        <v>0</v>
      </c>
      <c r="AL117" s="98">
        <v>0</v>
      </c>
      <c r="AM117" s="98">
        <v>0</v>
      </c>
      <c r="AN117" s="66">
        <v>0</v>
      </c>
      <c r="AO117" s="98">
        <v>0</v>
      </c>
      <c r="AP117" s="98">
        <v>0</v>
      </c>
      <c r="AQ117" s="98">
        <v>0</v>
      </c>
      <c r="AR117" s="98">
        <v>0</v>
      </c>
      <c r="AS117" s="98">
        <v>0</v>
      </c>
      <c r="AT117" s="98">
        <v>0</v>
      </c>
      <c r="AU117" s="98">
        <v>0</v>
      </c>
      <c r="AV117" s="98">
        <v>0</v>
      </c>
      <c r="AW117" s="66">
        <v>0</v>
      </c>
      <c r="AX117" s="98">
        <v>0</v>
      </c>
      <c r="AY117" s="98">
        <v>0</v>
      </c>
      <c r="AZ117" s="98">
        <v>0</v>
      </c>
      <c r="BA117" s="98">
        <v>0</v>
      </c>
      <c r="BB117" s="98">
        <v>0</v>
      </c>
      <c r="BC117" s="98">
        <v>0</v>
      </c>
      <c r="BD117" s="98">
        <v>0</v>
      </c>
      <c r="BE117" s="98">
        <v>0</v>
      </c>
      <c r="BF117" s="66">
        <v>0</v>
      </c>
      <c r="BG117" s="98">
        <v>0</v>
      </c>
      <c r="BH117" s="98">
        <v>0</v>
      </c>
      <c r="BI117" s="98">
        <v>0</v>
      </c>
      <c r="BJ117" s="98">
        <v>0</v>
      </c>
      <c r="BK117" s="98">
        <v>0</v>
      </c>
      <c r="BL117" s="98">
        <v>0</v>
      </c>
      <c r="BM117" s="98">
        <v>0</v>
      </c>
      <c r="BN117" s="98">
        <v>0</v>
      </c>
      <c r="BO117" s="66">
        <v>0</v>
      </c>
      <c r="BP117" s="98">
        <v>0</v>
      </c>
      <c r="BQ117" s="98">
        <v>0</v>
      </c>
      <c r="BR117" s="98">
        <v>0</v>
      </c>
      <c r="BS117" s="98">
        <v>0</v>
      </c>
      <c r="BT117" s="98">
        <v>0</v>
      </c>
      <c r="BU117" s="98">
        <v>0</v>
      </c>
      <c r="BV117" s="98">
        <v>0</v>
      </c>
      <c r="BW117" s="98">
        <v>0</v>
      </c>
      <c r="BX117" s="98">
        <v>0</v>
      </c>
    </row>
    <row r="118" spans="1:76" x14ac:dyDescent="0.35">
      <c r="A118" t="s">
        <v>229</v>
      </c>
      <c r="B118" s="13" t="s">
        <v>239</v>
      </c>
      <c r="C118" s="13" t="s">
        <v>56</v>
      </c>
      <c r="D118" s="13" t="s">
        <v>230</v>
      </c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65"/>
      <c r="W118" s="98">
        <v>0</v>
      </c>
      <c r="X118" s="98">
        <v>0</v>
      </c>
      <c r="Y118" s="159">
        <f>'Steel_NG-DR'!$H$34*'Inputs by region '!J$10</f>
        <v>5.6492118062760293E-6</v>
      </c>
      <c r="Z118" s="159">
        <f>'Steel_100%H2-DR'!$H$34*'Inputs by region '!J$10</f>
        <v>5.6492118062760293E-6</v>
      </c>
      <c r="AA118" s="98">
        <v>0</v>
      </c>
      <c r="AB118" s="98">
        <v>0</v>
      </c>
      <c r="AC118" s="98">
        <v>0</v>
      </c>
      <c r="AD118" s="98">
        <v>0</v>
      </c>
      <c r="AE118" s="66">
        <v>0</v>
      </c>
      <c r="AF118" s="98">
        <v>0</v>
      </c>
      <c r="AG118" s="98">
        <v>0</v>
      </c>
      <c r="AH118" s="98">
        <v>0</v>
      </c>
      <c r="AI118" s="98">
        <v>0</v>
      </c>
      <c r="AJ118" s="98">
        <v>0</v>
      </c>
      <c r="AK118" s="98">
        <v>0</v>
      </c>
      <c r="AL118" s="98">
        <v>0</v>
      </c>
      <c r="AM118" s="98">
        <v>0</v>
      </c>
      <c r="AN118" s="66">
        <v>0</v>
      </c>
      <c r="AO118" s="98">
        <v>0</v>
      </c>
      <c r="AP118" s="98">
        <v>0</v>
      </c>
      <c r="AQ118" s="98">
        <v>0</v>
      </c>
      <c r="AR118" s="98">
        <v>0</v>
      </c>
      <c r="AS118" s="98">
        <v>0</v>
      </c>
      <c r="AT118" s="98">
        <v>0</v>
      </c>
      <c r="AU118" s="98">
        <v>0</v>
      </c>
      <c r="AV118" s="98">
        <v>0</v>
      </c>
      <c r="AW118" s="66">
        <v>0</v>
      </c>
      <c r="AX118" s="98">
        <v>0</v>
      </c>
      <c r="AY118" s="98">
        <v>0</v>
      </c>
      <c r="AZ118" s="98">
        <v>0</v>
      </c>
      <c r="BA118" s="98">
        <v>0</v>
      </c>
      <c r="BB118" s="98">
        <v>0</v>
      </c>
      <c r="BC118" s="98">
        <v>0</v>
      </c>
      <c r="BD118" s="98">
        <v>0</v>
      </c>
      <c r="BE118" s="98">
        <v>0</v>
      </c>
      <c r="BF118" s="66">
        <v>0</v>
      </c>
      <c r="BG118" s="98">
        <v>0</v>
      </c>
      <c r="BH118" s="98">
        <v>0</v>
      </c>
      <c r="BI118" s="98">
        <v>0</v>
      </c>
      <c r="BJ118" s="98">
        <v>0</v>
      </c>
      <c r="BK118" s="98">
        <v>0</v>
      </c>
      <c r="BL118" s="98">
        <v>0</v>
      </c>
      <c r="BM118" s="98">
        <v>0</v>
      </c>
      <c r="BN118" s="98">
        <v>0</v>
      </c>
      <c r="BO118" s="66">
        <v>0</v>
      </c>
      <c r="BP118" s="98">
        <v>0</v>
      </c>
      <c r="BQ118" s="98">
        <v>0</v>
      </c>
      <c r="BR118" s="98">
        <v>0</v>
      </c>
      <c r="BS118" s="98">
        <v>0</v>
      </c>
      <c r="BT118" s="98">
        <v>0</v>
      </c>
      <c r="BU118" s="98">
        <v>0</v>
      </c>
      <c r="BV118" s="98">
        <v>0</v>
      </c>
      <c r="BW118" s="98">
        <v>0</v>
      </c>
      <c r="BX118" s="98">
        <v>0</v>
      </c>
    </row>
    <row r="119" spans="1:76" x14ac:dyDescent="0.35">
      <c r="A119" t="s">
        <v>231</v>
      </c>
      <c r="B119" s="13" t="s">
        <v>239</v>
      </c>
      <c r="C119" s="13" t="s">
        <v>56</v>
      </c>
      <c r="D119" s="13" t="s">
        <v>232</v>
      </c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65"/>
      <c r="W119" s="98">
        <v>0</v>
      </c>
      <c r="X119" s="98">
        <v>0</v>
      </c>
      <c r="Y119" s="159">
        <f>'Steel_NG-DR'!$H$35*'Inputs by region '!J$11</f>
        <v>2.9477224392897769E-5</v>
      </c>
      <c r="Z119" s="159">
        <f>'Steel_100%H2-DR'!$H$35*'Inputs by region '!J$11</f>
        <v>2.9477224392897769E-5</v>
      </c>
      <c r="AA119" s="98">
        <v>0</v>
      </c>
      <c r="AB119" s="98">
        <v>0</v>
      </c>
      <c r="AC119" s="98">
        <v>0</v>
      </c>
      <c r="AD119" s="98">
        <v>0</v>
      </c>
      <c r="AE119" s="66">
        <v>0</v>
      </c>
      <c r="AF119" s="98">
        <v>0</v>
      </c>
      <c r="AG119" s="98">
        <v>0</v>
      </c>
      <c r="AH119" s="98">
        <v>0</v>
      </c>
      <c r="AI119" s="98">
        <v>0</v>
      </c>
      <c r="AJ119" s="98">
        <v>0</v>
      </c>
      <c r="AK119" s="98">
        <v>0</v>
      </c>
      <c r="AL119" s="98">
        <v>0</v>
      </c>
      <c r="AM119" s="98">
        <v>0</v>
      </c>
      <c r="AN119" s="66">
        <v>0</v>
      </c>
      <c r="AO119" s="98">
        <v>0</v>
      </c>
      <c r="AP119" s="98">
        <v>0</v>
      </c>
      <c r="AQ119" s="98">
        <v>0</v>
      </c>
      <c r="AR119" s="98">
        <v>0</v>
      </c>
      <c r="AS119" s="98">
        <v>0</v>
      </c>
      <c r="AT119" s="98">
        <v>0</v>
      </c>
      <c r="AU119" s="98">
        <v>0</v>
      </c>
      <c r="AV119" s="98">
        <v>0</v>
      </c>
      <c r="AW119" s="66">
        <v>0</v>
      </c>
      <c r="AX119" s="98">
        <v>0</v>
      </c>
      <c r="AY119" s="98">
        <v>0</v>
      </c>
      <c r="AZ119" s="98">
        <v>0</v>
      </c>
      <c r="BA119" s="98">
        <v>0</v>
      </c>
      <c r="BB119" s="98">
        <v>0</v>
      </c>
      <c r="BC119" s="98">
        <v>0</v>
      </c>
      <c r="BD119" s="98">
        <v>0</v>
      </c>
      <c r="BE119" s="98">
        <v>0</v>
      </c>
      <c r="BF119" s="66">
        <v>0</v>
      </c>
      <c r="BG119" s="98">
        <v>0</v>
      </c>
      <c r="BH119" s="98">
        <v>0</v>
      </c>
      <c r="BI119" s="98">
        <v>0</v>
      </c>
      <c r="BJ119" s="98">
        <v>0</v>
      </c>
      <c r="BK119" s="98">
        <v>0</v>
      </c>
      <c r="BL119" s="98">
        <v>0</v>
      </c>
      <c r="BM119" s="98">
        <v>0</v>
      </c>
      <c r="BN119" s="98">
        <v>0</v>
      </c>
      <c r="BO119" s="66">
        <v>0</v>
      </c>
      <c r="BP119" s="98">
        <v>0</v>
      </c>
      <c r="BQ119" s="98">
        <v>0</v>
      </c>
      <c r="BR119" s="98">
        <v>0</v>
      </c>
      <c r="BS119" s="98">
        <v>0</v>
      </c>
      <c r="BT119" s="98">
        <v>0</v>
      </c>
      <c r="BU119" s="98">
        <v>0</v>
      </c>
      <c r="BV119" s="98">
        <v>0</v>
      </c>
      <c r="BW119" s="98">
        <v>0</v>
      </c>
      <c r="BX119" s="98">
        <v>0</v>
      </c>
    </row>
    <row r="120" spans="1:76" x14ac:dyDescent="0.35">
      <c r="A120" t="s">
        <v>233</v>
      </c>
      <c r="B120" s="13" t="s">
        <v>239</v>
      </c>
      <c r="C120" s="13" t="s">
        <v>56</v>
      </c>
      <c r="D120" s="13" t="s">
        <v>228</v>
      </c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65"/>
      <c r="W120" s="98">
        <v>0</v>
      </c>
      <c r="X120" s="98">
        <v>0</v>
      </c>
      <c r="Y120" s="159">
        <f>'Steel_NG-DR'!$H$36*'Inputs by region '!J$12</f>
        <v>8.1093795177776388E-4</v>
      </c>
      <c r="Z120" s="159">
        <f>'Steel_100%H2-DR'!$H$36*'Inputs by region '!J$12</f>
        <v>8.1093795177776388E-4</v>
      </c>
      <c r="AA120" s="98">
        <v>0</v>
      </c>
      <c r="AB120" s="98">
        <v>0</v>
      </c>
      <c r="AC120" s="98">
        <v>0</v>
      </c>
      <c r="AD120" s="98">
        <v>0</v>
      </c>
      <c r="AE120" s="66">
        <v>0</v>
      </c>
      <c r="AF120" s="98">
        <v>0</v>
      </c>
      <c r="AG120" s="98">
        <v>0</v>
      </c>
      <c r="AH120" s="98">
        <v>0</v>
      </c>
      <c r="AI120" s="98">
        <v>0</v>
      </c>
      <c r="AJ120" s="98">
        <v>0</v>
      </c>
      <c r="AK120" s="98">
        <v>0</v>
      </c>
      <c r="AL120" s="98">
        <v>0</v>
      </c>
      <c r="AM120" s="98">
        <v>0</v>
      </c>
      <c r="AN120" s="66">
        <v>0</v>
      </c>
      <c r="AO120" s="98">
        <v>0</v>
      </c>
      <c r="AP120" s="98">
        <v>0</v>
      </c>
      <c r="AQ120" s="98">
        <v>0</v>
      </c>
      <c r="AR120" s="98">
        <v>0</v>
      </c>
      <c r="AS120" s="98">
        <v>0</v>
      </c>
      <c r="AT120" s="98">
        <v>0</v>
      </c>
      <c r="AU120" s="98">
        <v>0</v>
      </c>
      <c r="AV120" s="98">
        <v>0</v>
      </c>
      <c r="AW120" s="66">
        <v>0</v>
      </c>
      <c r="AX120" s="98">
        <v>0</v>
      </c>
      <c r="AY120" s="98">
        <v>0</v>
      </c>
      <c r="AZ120" s="98">
        <v>0</v>
      </c>
      <c r="BA120" s="98">
        <v>0</v>
      </c>
      <c r="BB120" s="98">
        <v>0</v>
      </c>
      <c r="BC120" s="98">
        <v>0</v>
      </c>
      <c r="BD120" s="98">
        <v>0</v>
      </c>
      <c r="BE120" s="98">
        <v>0</v>
      </c>
      <c r="BF120" s="66">
        <v>0</v>
      </c>
      <c r="BG120" s="98">
        <v>0</v>
      </c>
      <c r="BH120" s="98">
        <v>0</v>
      </c>
      <c r="BI120" s="98">
        <v>0</v>
      </c>
      <c r="BJ120" s="98">
        <v>0</v>
      </c>
      <c r="BK120" s="98">
        <v>0</v>
      </c>
      <c r="BL120" s="98">
        <v>0</v>
      </c>
      <c r="BM120" s="98">
        <v>0</v>
      </c>
      <c r="BN120" s="98">
        <v>0</v>
      </c>
      <c r="BO120" s="66">
        <v>0</v>
      </c>
      <c r="BP120" s="98">
        <v>0</v>
      </c>
      <c r="BQ120" s="98">
        <v>0</v>
      </c>
      <c r="BR120" s="98">
        <v>0</v>
      </c>
      <c r="BS120" s="98">
        <v>0</v>
      </c>
      <c r="BT120" s="98">
        <v>0</v>
      </c>
      <c r="BU120" s="98">
        <v>0</v>
      </c>
      <c r="BV120" s="98">
        <v>0</v>
      </c>
      <c r="BW120" s="98">
        <v>0</v>
      </c>
      <c r="BX120" s="98">
        <v>0</v>
      </c>
    </row>
    <row r="121" spans="1:76" x14ac:dyDescent="0.35">
      <c r="A121" t="s">
        <v>101</v>
      </c>
      <c r="B121" s="13" t="s">
        <v>239</v>
      </c>
      <c r="C121" s="13" t="s">
        <v>103</v>
      </c>
      <c r="D121" s="13" t="s">
        <v>234</v>
      </c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65"/>
      <c r="W121" s="98">
        <v>0</v>
      </c>
      <c r="X121" s="98">
        <v>0</v>
      </c>
      <c r="Y121" s="98">
        <f>('Steel_NG-DR'!$H$37+'Steel_NG-DR'!$H$16)*'Inputs by region '!J$13</f>
        <v>0</v>
      </c>
      <c r="Z121" s="98">
        <f>('Steel_100%H2-DR'!$H$16+'Steel_100%H2-DR'!$H$37)*'Inputs by region '!J$13</f>
        <v>0</v>
      </c>
      <c r="AA121" s="98">
        <v>0</v>
      </c>
      <c r="AB121" s="98">
        <v>0</v>
      </c>
      <c r="AC121" s="98">
        <v>0</v>
      </c>
      <c r="AD121" s="98">
        <v>0</v>
      </c>
      <c r="AE121" s="66">
        <v>0</v>
      </c>
      <c r="AF121" s="98">
        <v>0</v>
      </c>
      <c r="AG121" s="98">
        <v>0</v>
      </c>
      <c r="AH121" s="98">
        <v>0</v>
      </c>
      <c r="AI121" s="98">
        <v>0</v>
      </c>
      <c r="AJ121" s="98">
        <v>0</v>
      </c>
      <c r="AK121" s="98">
        <v>0</v>
      </c>
      <c r="AL121" s="98">
        <v>0</v>
      </c>
      <c r="AM121" s="98">
        <v>0</v>
      </c>
      <c r="AN121" s="66">
        <v>0</v>
      </c>
      <c r="AO121" s="98">
        <v>0</v>
      </c>
      <c r="AP121" s="98">
        <v>0</v>
      </c>
      <c r="AQ121" s="98">
        <v>0</v>
      </c>
      <c r="AR121" s="98">
        <v>0</v>
      </c>
      <c r="AS121" s="98">
        <v>0</v>
      </c>
      <c r="AT121" s="98">
        <v>0</v>
      </c>
      <c r="AU121" s="98">
        <v>0</v>
      </c>
      <c r="AV121" s="98">
        <v>0</v>
      </c>
      <c r="AW121" s="66">
        <v>0</v>
      </c>
      <c r="AX121" s="98">
        <v>0</v>
      </c>
      <c r="AY121" s="98">
        <v>0</v>
      </c>
      <c r="AZ121" s="98">
        <v>0</v>
      </c>
      <c r="BA121" s="98">
        <v>0</v>
      </c>
      <c r="BB121" s="98">
        <v>0</v>
      </c>
      <c r="BC121" s="98">
        <v>0</v>
      </c>
      <c r="BD121" s="98">
        <v>0</v>
      </c>
      <c r="BE121" s="98">
        <v>0</v>
      </c>
      <c r="BF121" s="66">
        <v>0</v>
      </c>
      <c r="BG121" s="98">
        <v>0</v>
      </c>
      <c r="BH121" s="98">
        <v>0</v>
      </c>
      <c r="BI121" s="98">
        <v>0</v>
      </c>
      <c r="BJ121" s="98">
        <v>0</v>
      </c>
      <c r="BK121" s="98">
        <v>0</v>
      </c>
      <c r="BL121" s="98">
        <v>0</v>
      </c>
      <c r="BM121" s="98">
        <v>0</v>
      </c>
      <c r="BN121" s="98">
        <v>0</v>
      </c>
      <c r="BO121" s="66">
        <v>0</v>
      </c>
      <c r="BP121" s="98">
        <v>0</v>
      </c>
      <c r="BQ121" s="98">
        <v>0</v>
      </c>
      <c r="BR121" s="98">
        <v>0</v>
      </c>
      <c r="BS121" s="98">
        <v>0</v>
      </c>
      <c r="BT121" s="98">
        <v>0</v>
      </c>
      <c r="BU121" s="98">
        <v>0</v>
      </c>
      <c r="BV121" s="98">
        <v>0</v>
      </c>
      <c r="BW121" s="98">
        <v>0</v>
      </c>
      <c r="BX121" s="98">
        <v>0</v>
      </c>
    </row>
    <row r="122" spans="1:76" x14ac:dyDescent="0.35">
      <c r="A122" t="s">
        <v>104</v>
      </c>
      <c r="B122" s="13" t="s">
        <v>239</v>
      </c>
      <c r="C122" s="13" t="s">
        <v>103</v>
      </c>
      <c r="D122" s="13" t="s">
        <v>235</v>
      </c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65"/>
      <c r="W122" s="98">
        <v>0</v>
      </c>
      <c r="X122" s="98">
        <v>0</v>
      </c>
      <c r="Y122" s="98">
        <f>('Steel_NG-DR'!$H$37+'Steel_NG-DR'!$H$16)*'Inputs by region '!J$14</f>
        <v>0</v>
      </c>
      <c r="Z122" s="98">
        <f>('Steel_100%H2-DR'!$H$16+'Steel_100%H2-DR'!$H$37)*'Inputs by region '!J$14</f>
        <v>0</v>
      </c>
      <c r="AA122" s="98">
        <v>0</v>
      </c>
      <c r="AB122" s="98">
        <v>0</v>
      </c>
      <c r="AC122" s="98">
        <v>0</v>
      </c>
      <c r="AD122" s="98">
        <v>0</v>
      </c>
      <c r="AE122" s="66">
        <v>0</v>
      </c>
      <c r="AF122" s="98">
        <v>0</v>
      </c>
      <c r="AG122" s="98">
        <v>0</v>
      </c>
      <c r="AH122" s="98">
        <v>0</v>
      </c>
      <c r="AI122" s="98">
        <v>0</v>
      </c>
      <c r="AJ122" s="98">
        <v>0</v>
      </c>
      <c r="AK122" s="98">
        <v>0</v>
      </c>
      <c r="AL122" s="98">
        <v>0</v>
      </c>
      <c r="AM122" s="98">
        <v>0</v>
      </c>
      <c r="AN122" s="66">
        <v>0</v>
      </c>
      <c r="AO122" s="98">
        <v>0</v>
      </c>
      <c r="AP122" s="98">
        <v>0</v>
      </c>
      <c r="AQ122" s="98">
        <v>0</v>
      </c>
      <c r="AR122" s="98">
        <v>0</v>
      </c>
      <c r="AS122" s="98">
        <v>0</v>
      </c>
      <c r="AT122" s="98">
        <v>0</v>
      </c>
      <c r="AU122" s="98">
        <v>0</v>
      </c>
      <c r="AV122" s="98">
        <v>0</v>
      </c>
      <c r="AW122" s="66">
        <v>0</v>
      </c>
      <c r="AX122" s="98">
        <v>0</v>
      </c>
      <c r="AY122" s="98">
        <v>0</v>
      </c>
      <c r="AZ122" s="98">
        <v>0</v>
      </c>
      <c r="BA122" s="98">
        <v>0</v>
      </c>
      <c r="BB122" s="98">
        <v>0</v>
      </c>
      <c r="BC122" s="98">
        <v>0</v>
      </c>
      <c r="BD122" s="98">
        <v>0</v>
      </c>
      <c r="BE122" s="98">
        <v>0</v>
      </c>
      <c r="BF122" s="66">
        <v>0</v>
      </c>
      <c r="BG122" s="98">
        <v>0</v>
      </c>
      <c r="BH122" s="98">
        <v>0</v>
      </c>
      <c r="BI122" s="98">
        <v>0</v>
      </c>
      <c r="BJ122" s="98">
        <v>0</v>
      </c>
      <c r="BK122" s="98">
        <v>0</v>
      </c>
      <c r="BL122" s="98">
        <v>0</v>
      </c>
      <c r="BM122" s="98">
        <v>0</v>
      </c>
      <c r="BN122" s="98">
        <v>0</v>
      </c>
      <c r="BO122" s="66">
        <v>0</v>
      </c>
      <c r="BP122" s="98">
        <v>0</v>
      </c>
      <c r="BQ122" s="98">
        <v>0</v>
      </c>
      <c r="BR122" s="98">
        <v>0</v>
      </c>
      <c r="BS122" s="98">
        <v>0</v>
      </c>
      <c r="BT122" s="98">
        <v>0</v>
      </c>
      <c r="BU122" s="98">
        <v>0</v>
      </c>
      <c r="BV122" s="98">
        <v>0</v>
      </c>
      <c r="BW122" s="98">
        <v>0</v>
      </c>
      <c r="BX122" s="98">
        <v>0</v>
      </c>
    </row>
    <row r="123" spans="1:76" ht="15" thickBot="1" x14ac:dyDescent="0.4">
      <c r="A123" t="s">
        <v>106</v>
      </c>
      <c r="B123" s="13" t="s">
        <v>239</v>
      </c>
      <c r="C123" s="13" t="s">
        <v>103</v>
      </c>
      <c r="D123" s="13" t="s">
        <v>236</v>
      </c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65"/>
      <c r="W123" s="67">
        <v>0</v>
      </c>
      <c r="X123" s="67">
        <v>0</v>
      </c>
      <c r="Y123" s="67">
        <f>('Steel_NG-DR'!$H$37+'Steel_NG-DR'!$H$16)*'Inputs by region '!J$15</f>
        <v>0</v>
      </c>
      <c r="Z123" s="67">
        <f>('Steel_100%H2-DR'!$H$16+'Steel_100%H2-DR'!$H$37)*'Inputs by region '!J$15</f>
        <v>0</v>
      </c>
      <c r="AA123" s="67">
        <v>0</v>
      </c>
      <c r="AB123" s="67">
        <v>0</v>
      </c>
      <c r="AC123" s="67">
        <v>0</v>
      </c>
      <c r="AD123" s="67">
        <v>0</v>
      </c>
      <c r="AE123" s="68">
        <v>0</v>
      </c>
      <c r="AF123" s="113">
        <v>0</v>
      </c>
      <c r="AG123" s="67">
        <v>0</v>
      </c>
      <c r="AH123" s="67">
        <v>0</v>
      </c>
      <c r="AI123" s="67">
        <v>0</v>
      </c>
      <c r="AJ123" s="67">
        <v>0</v>
      </c>
      <c r="AK123" s="67">
        <v>0</v>
      </c>
      <c r="AL123" s="67">
        <v>0</v>
      </c>
      <c r="AM123" s="67">
        <v>0</v>
      </c>
      <c r="AN123" s="68">
        <v>0</v>
      </c>
      <c r="AO123" s="113">
        <v>0</v>
      </c>
      <c r="AP123" s="67">
        <v>0</v>
      </c>
      <c r="AQ123" s="67">
        <v>0</v>
      </c>
      <c r="AR123" s="67">
        <v>0</v>
      </c>
      <c r="AS123" s="67">
        <v>0</v>
      </c>
      <c r="AT123" s="67">
        <v>0</v>
      </c>
      <c r="AU123" s="67">
        <v>0</v>
      </c>
      <c r="AV123" s="67">
        <v>0</v>
      </c>
      <c r="AW123" s="68">
        <v>0</v>
      </c>
      <c r="AX123" s="113">
        <v>0</v>
      </c>
      <c r="AY123" s="67">
        <v>0</v>
      </c>
      <c r="AZ123" s="67">
        <v>0</v>
      </c>
      <c r="BA123" s="67">
        <v>0</v>
      </c>
      <c r="BB123" s="67">
        <v>0</v>
      </c>
      <c r="BC123" s="67">
        <v>0</v>
      </c>
      <c r="BD123" s="67">
        <v>0</v>
      </c>
      <c r="BE123" s="67">
        <v>0</v>
      </c>
      <c r="BF123" s="68">
        <v>0</v>
      </c>
      <c r="BG123" s="113">
        <v>0</v>
      </c>
      <c r="BH123" s="67">
        <v>0</v>
      </c>
      <c r="BI123" s="67">
        <v>0</v>
      </c>
      <c r="BJ123" s="67">
        <v>0</v>
      </c>
      <c r="BK123" s="67">
        <v>0</v>
      </c>
      <c r="BL123" s="67">
        <v>0</v>
      </c>
      <c r="BM123" s="67">
        <v>0</v>
      </c>
      <c r="BN123" s="67">
        <v>0</v>
      </c>
      <c r="BO123" s="68">
        <v>0</v>
      </c>
      <c r="BP123" s="113">
        <v>0</v>
      </c>
      <c r="BQ123" s="67">
        <v>0</v>
      </c>
      <c r="BR123" s="67">
        <v>0</v>
      </c>
      <c r="BS123" s="67">
        <v>0</v>
      </c>
      <c r="BT123" s="67">
        <v>0</v>
      </c>
      <c r="BU123" s="67">
        <v>0</v>
      </c>
      <c r="BV123" s="67">
        <v>0</v>
      </c>
      <c r="BW123" s="67">
        <v>0</v>
      </c>
      <c r="BX123" s="67">
        <v>0</v>
      </c>
    </row>
    <row r="124" spans="1:76" x14ac:dyDescent="0.35">
      <c r="A124" t="s">
        <v>218</v>
      </c>
      <c r="B124" s="13" t="s">
        <v>240</v>
      </c>
      <c r="C124" s="13" t="s">
        <v>56</v>
      </c>
      <c r="D124" s="13" t="s">
        <v>219</v>
      </c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65"/>
      <c r="W124" s="98">
        <v>0</v>
      </c>
      <c r="X124" s="98">
        <v>0</v>
      </c>
      <c r="Y124" s="159">
        <f>'Steel_NG-DR'!$H$15*'Inputs by region '!K$5</f>
        <v>0.13886309499777949</v>
      </c>
      <c r="Z124" s="159">
        <f>'Steel_100%H2-DR'!$H$15*'Inputs by region '!K$5</f>
        <v>0.13886309499777949</v>
      </c>
      <c r="AA124" s="98">
        <v>0</v>
      </c>
      <c r="AB124" s="98">
        <v>0</v>
      </c>
      <c r="AC124" s="98">
        <v>0</v>
      </c>
      <c r="AD124" s="98">
        <v>0</v>
      </c>
      <c r="AE124" s="66">
        <v>0</v>
      </c>
      <c r="AF124" s="98">
        <v>0</v>
      </c>
      <c r="AG124" s="98">
        <v>0</v>
      </c>
      <c r="AH124" s="98">
        <v>0</v>
      </c>
      <c r="AI124" s="98">
        <v>0</v>
      </c>
      <c r="AJ124" s="98">
        <v>0</v>
      </c>
      <c r="AK124" s="98">
        <v>0</v>
      </c>
      <c r="AL124" s="98">
        <v>0</v>
      </c>
      <c r="AM124" s="98">
        <v>0</v>
      </c>
      <c r="AN124" s="66">
        <v>0</v>
      </c>
      <c r="AO124" s="98">
        <v>0</v>
      </c>
      <c r="AP124" s="98">
        <v>0</v>
      </c>
      <c r="AQ124" s="98">
        <v>0</v>
      </c>
      <c r="AR124" s="98">
        <v>0</v>
      </c>
      <c r="AS124" s="98">
        <v>0</v>
      </c>
      <c r="AT124" s="98">
        <v>0</v>
      </c>
      <c r="AU124" s="98">
        <v>0</v>
      </c>
      <c r="AV124" s="98">
        <v>0</v>
      </c>
      <c r="AW124" s="66">
        <v>0</v>
      </c>
      <c r="AX124" s="98">
        <v>0</v>
      </c>
      <c r="AY124" s="98">
        <v>0</v>
      </c>
      <c r="AZ124" s="98">
        <v>0</v>
      </c>
      <c r="BA124" s="98">
        <v>0</v>
      </c>
      <c r="BB124" s="98">
        <v>0</v>
      </c>
      <c r="BC124" s="98">
        <v>0</v>
      </c>
      <c r="BD124" s="98">
        <v>0</v>
      </c>
      <c r="BE124" s="98">
        <v>0</v>
      </c>
      <c r="BF124" s="66">
        <v>0</v>
      </c>
      <c r="BG124" s="98">
        <v>0</v>
      </c>
      <c r="BH124" s="98">
        <v>0</v>
      </c>
      <c r="BI124" s="98">
        <v>0</v>
      </c>
      <c r="BJ124" s="98">
        <v>0</v>
      </c>
      <c r="BK124" s="98">
        <v>0</v>
      </c>
      <c r="BL124" s="98">
        <v>0</v>
      </c>
      <c r="BM124" s="98">
        <v>0</v>
      </c>
      <c r="BN124" s="98">
        <v>0</v>
      </c>
      <c r="BO124" s="66">
        <v>0</v>
      </c>
      <c r="BP124" s="98">
        <v>0</v>
      </c>
      <c r="BQ124" s="98">
        <v>0</v>
      </c>
      <c r="BR124" s="98">
        <v>0</v>
      </c>
      <c r="BS124" s="98">
        <v>0</v>
      </c>
      <c r="BT124" s="98">
        <v>0</v>
      </c>
      <c r="BU124" s="98">
        <v>0</v>
      </c>
      <c r="BV124" s="98">
        <v>0</v>
      </c>
      <c r="BW124" s="98">
        <v>0</v>
      </c>
      <c r="BX124" s="98">
        <v>0</v>
      </c>
    </row>
    <row r="125" spans="1:76" x14ac:dyDescent="0.35">
      <c r="A125" s="12" t="s">
        <v>220</v>
      </c>
      <c r="B125" s="13" t="s">
        <v>240</v>
      </c>
      <c r="C125" s="13" t="s">
        <v>56</v>
      </c>
      <c r="D125" s="13" t="s">
        <v>221</v>
      </c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65"/>
      <c r="W125" s="98">
        <v>0</v>
      </c>
      <c r="X125" s="98">
        <v>0</v>
      </c>
      <c r="Y125" s="98">
        <f>'Steel_NG-DR'!$H$29*'Inputs by region '!K$6</f>
        <v>0</v>
      </c>
      <c r="Z125" s="98">
        <f>'Steel_100%H2-DR'!$H$29*'Inputs by region '!K$6</f>
        <v>0</v>
      </c>
      <c r="AA125" s="98">
        <v>0</v>
      </c>
      <c r="AB125" s="98">
        <v>0</v>
      </c>
      <c r="AC125" s="98">
        <v>0</v>
      </c>
      <c r="AD125" s="98">
        <v>0</v>
      </c>
      <c r="AE125" s="66">
        <v>0</v>
      </c>
      <c r="AF125" s="98">
        <v>0</v>
      </c>
      <c r="AG125" s="98">
        <v>0</v>
      </c>
      <c r="AH125" s="98">
        <v>0</v>
      </c>
      <c r="AI125" s="98">
        <v>0</v>
      </c>
      <c r="AJ125" s="98">
        <v>0</v>
      </c>
      <c r="AK125" s="98">
        <v>0</v>
      </c>
      <c r="AL125" s="98">
        <v>0</v>
      </c>
      <c r="AM125" s="98">
        <v>0</v>
      </c>
      <c r="AN125" s="66">
        <v>0</v>
      </c>
      <c r="AO125" s="98">
        <v>0</v>
      </c>
      <c r="AP125" s="98">
        <v>0</v>
      </c>
      <c r="AQ125" s="98">
        <v>0</v>
      </c>
      <c r="AR125" s="98">
        <v>0</v>
      </c>
      <c r="AS125" s="98">
        <v>0</v>
      </c>
      <c r="AT125" s="98">
        <v>0</v>
      </c>
      <c r="AU125" s="98">
        <v>0</v>
      </c>
      <c r="AV125" s="98">
        <v>0</v>
      </c>
      <c r="AW125" s="66">
        <v>0</v>
      </c>
      <c r="AX125" s="98">
        <v>0</v>
      </c>
      <c r="AY125" s="98">
        <v>0</v>
      </c>
      <c r="AZ125" s="98">
        <v>0</v>
      </c>
      <c r="BA125" s="98">
        <v>0</v>
      </c>
      <c r="BB125" s="98">
        <v>0</v>
      </c>
      <c r="BC125" s="98">
        <v>0</v>
      </c>
      <c r="BD125" s="98">
        <v>0</v>
      </c>
      <c r="BE125" s="98">
        <v>0</v>
      </c>
      <c r="BF125" s="66">
        <v>0</v>
      </c>
      <c r="BG125" s="98">
        <v>0</v>
      </c>
      <c r="BH125" s="98">
        <v>0</v>
      </c>
      <c r="BI125" s="98">
        <v>0</v>
      </c>
      <c r="BJ125" s="98">
        <v>0</v>
      </c>
      <c r="BK125" s="98">
        <v>0</v>
      </c>
      <c r="BL125" s="98">
        <v>0</v>
      </c>
      <c r="BM125" s="98">
        <v>0</v>
      </c>
      <c r="BN125" s="98">
        <v>0</v>
      </c>
      <c r="BO125" s="66">
        <v>0</v>
      </c>
      <c r="BP125" s="98">
        <v>0</v>
      </c>
      <c r="BQ125" s="98">
        <v>0</v>
      </c>
      <c r="BR125" s="98">
        <v>0</v>
      </c>
      <c r="BS125" s="98">
        <v>0</v>
      </c>
      <c r="BT125" s="98">
        <v>0</v>
      </c>
      <c r="BU125" s="98">
        <v>0</v>
      </c>
      <c r="BV125" s="98">
        <v>0</v>
      </c>
      <c r="BW125" s="98">
        <v>0</v>
      </c>
      <c r="BX125" s="98">
        <v>0</v>
      </c>
    </row>
    <row r="126" spans="1:76" x14ac:dyDescent="0.35">
      <c r="A126" t="s">
        <v>222</v>
      </c>
      <c r="B126" s="13" t="s">
        <v>240</v>
      </c>
      <c r="C126" s="13" t="s">
        <v>56</v>
      </c>
      <c r="D126" s="13" t="s">
        <v>223</v>
      </c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65"/>
      <c r="W126" s="98">
        <v>0</v>
      </c>
      <c r="X126" s="98">
        <v>0</v>
      </c>
      <c r="Y126" s="159">
        <f>'Steel_NG-DR'!$H$31*'Inputs by region '!K$7</f>
        <v>9.2968907089085616E-5</v>
      </c>
      <c r="Z126" s="159">
        <f>'Steel_100%H2-DR'!$H$31*'Inputs by region '!K$7</f>
        <v>9.2968907089085616E-5</v>
      </c>
      <c r="AA126" s="98">
        <v>0</v>
      </c>
      <c r="AB126" s="98">
        <v>0</v>
      </c>
      <c r="AC126" s="98">
        <v>0</v>
      </c>
      <c r="AD126" s="98">
        <v>0</v>
      </c>
      <c r="AE126" s="66">
        <v>0</v>
      </c>
      <c r="AF126" s="98">
        <v>0</v>
      </c>
      <c r="AG126" s="98">
        <v>0</v>
      </c>
      <c r="AH126" s="98">
        <v>0</v>
      </c>
      <c r="AI126" s="98">
        <v>0</v>
      </c>
      <c r="AJ126" s="98">
        <v>0</v>
      </c>
      <c r="AK126" s="98">
        <v>0</v>
      </c>
      <c r="AL126" s="98">
        <v>0</v>
      </c>
      <c r="AM126" s="98">
        <v>0</v>
      </c>
      <c r="AN126" s="66">
        <v>0</v>
      </c>
      <c r="AO126" s="98">
        <v>0</v>
      </c>
      <c r="AP126" s="98">
        <v>0</v>
      </c>
      <c r="AQ126" s="98">
        <v>0</v>
      </c>
      <c r="AR126" s="98">
        <v>0</v>
      </c>
      <c r="AS126" s="98">
        <v>0</v>
      </c>
      <c r="AT126" s="98">
        <v>0</v>
      </c>
      <c r="AU126" s="98">
        <v>0</v>
      </c>
      <c r="AV126" s="98">
        <v>0</v>
      </c>
      <c r="AW126" s="66">
        <v>0</v>
      </c>
      <c r="AX126" s="98">
        <v>0</v>
      </c>
      <c r="AY126" s="98">
        <v>0</v>
      </c>
      <c r="AZ126" s="98">
        <v>0</v>
      </c>
      <c r="BA126" s="98">
        <v>0</v>
      </c>
      <c r="BB126" s="98">
        <v>0</v>
      </c>
      <c r="BC126" s="98">
        <v>0</v>
      </c>
      <c r="BD126" s="98">
        <v>0</v>
      </c>
      <c r="BE126" s="98">
        <v>0</v>
      </c>
      <c r="BF126" s="66">
        <v>0</v>
      </c>
      <c r="BG126" s="98">
        <v>0</v>
      </c>
      <c r="BH126" s="98">
        <v>0</v>
      </c>
      <c r="BI126" s="98">
        <v>0</v>
      </c>
      <c r="BJ126" s="98">
        <v>0</v>
      </c>
      <c r="BK126" s="98">
        <v>0</v>
      </c>
      <c r="BL126" s="98">
        <v>0</v>
      </c>
      <c r="BM126" s="98">
        <v>0</v>
      </c>
      <c r="BN126" s="98">
        <v>0</v>
      </c>
      <c r="BO126" s="66">
        <v>0</v>
      </c>
      <c r="BP126" s="98">
        <v>0</v>
      </c>
      <c r="BQ126" s="98">
        <v>0</v>
      </c>
      <c r="BR126" s="98">
        <v>0</v>
      </c>
      <c r="BS126" s="98">
        <v>0</v>
      </c>
      <c r="BT126" s="98">
        <v>0</v>
      </c>
      <c r="BU126" s="98">
        <v>0</v>
      </c>
      <c r="BV126" s="98">
        <v>0</v>
      </c>
      <c r="BW126" s="98">
        <v>0</v>
      </c>
      <c r="BX126" s="98">
        <v>0</v>
      </c>
    </row>
    <row r="127" spans="1:76" x14ac:dyDescent="0.35">
      <c r="A127" t="s">
        <v>224</v>
      </c>
      <c r="B127" s="13" t="s">
        <v>240</v>
      </c>
      <c r="C127" s="13" t="s">
        <v>56</v>
      </c>
      <c r="D127" s="13" t="s">
        <v>225</v>
      </c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65"/>
      <c r="W127" s="98">
        <v>0</v>
      </c>
      <c r="X127" s="98">
        <v>0</v>
      </c>
      <c r="Y127" s="98">
        <f>'Steel_NG-DR'!$H$32*'Inputs by region '!K$8</f>
        <v>0</v>
      </c>
      <c r="Z127" s="98">
        <f>'Steel_100%H2-DR'!$H$32*'Inputs by region '!K$8</f>
        <v>0</v>
      </c>
      <c r="AA127" s="98">
        <v>0</v>
      </c>
      <c r="AB127" s="98">
        <v>0</v>
      </c>
      <c r="AC127" s="98">
        <v>0</v>
      </c>
      <c r="AD127" s="98">
        <v>0</v>
      </c>
      <c r="AE127" s="66">
        <v>0</v>
      </c>
      <c r="AF127" s="98">
        <v>0</v>
      </c>
      <c r="AG127" s="98">
        <v>0</v>
      </c>
      <c r="AH127" s="98">
        <v>0</v>
      </c>
      <c r="AI127" s="98">
        <v>0</v>
      </c>
      <c r="AJ127" s="98">
        <v>0</v>
      </c>
      <c r="AK127" s="98">
        <v>0</v>
      </c>
      <c r="AL127" s="98">
        <v>0</v>
      </c>
      <c r="AM127" s="98">
        <v>0</v>
      </c>
      <c r="AN127" s="66">
        <v>0</v>
      </c>
      <c r="AO127" s="98">
        <v>0</v>
      </c>
      <c r="AP127" s="98">
        <v>0</v>
      </c>
      <c r="AQ127" s="98">
        <v>0</v>
      </c>
      <c r="AR127" s="98">
        <v>0</v>
      </c>
      <c r="AS127" s="98">
        <v>0</v>
      </c>
      <c r="AT127" s="98">
        <v>0</v>
      </c>
      <c r="AU127" s="98">
        <v>0</v>
      </c>
      <c r="AV127" s="98">
        <v>0</v>
      </c>
      <c r="AW127" s="66">
        <v>0</v>
      </c>
      <c r="AX127" s="98">
        <v>0</v>
      </c>
      <c r="AY127" s="98">
        <v>0</v>
      </c>
      <c r="AZ127" s="98">
        <v>0</v>
      </c>
      <c r="BA127" s="98">
        <v>0</v>
      </c>
      <c r="BB127" s="98">
        <v>0</v>
      </c>
      <c r="BC127" s="98">
        <v>0</v>
      </c>
      <c r="BD127" s="98">
        <v>0</v>
      </c>
      <c r="BE127" s="98">
        <v>0</v>
      </c>
      <c r="BF127" s="66">
        <v>0</v>
      </c>
      <c r="BG127" s="98">
        <v>0</v>
      </c>
      <c r="BH127" s="98">
        <v>0</v>
      </c>
      <c r="BI127" s="98">
        <v>0</v>
      </c>
      <c r="BJ127" s="98">
        <v>0</v>
      </c>
      <c r="BK127" s="98">
        <v>0</v>
      </c>
      <c r="BL127" s="98">
        <v>0</v>
      </c>
      <c r="BM127" s="98">
        <v>0</v>
      </c>
      <c r="BN127" s="98">
        <v>0</v>
      </c>
      <c r="BO127" s="66">
        <v>0</v>
      </c>
      <c r="BP127" s="98">
        <v>0</v>
      </c>
      <c r="BQ127" s="98">
        <v>0</v>
      </c>
      <c r="BR127" s="98">
        <v>0</v>
      </c>
      <c r="BS127" s="98">
        <v>0</v>
      </c>
      <c r="BT127" s="98">
        <v>0</v>
      </c>
      <c r="BU127" s="98">
        <v>0</v>
      </c>
      <c r="BV127" s="98">
        <v>0</v>
      </c>
      <c r="BW127" s="98">
        <v>0</v>
      </c>
      <c r="BX127" s="98">
        <v>0</v>
      </c>
    </row>
    <row r="128" spans="1:76" x14ac:dyDescent="0.35">
      <c r="A128" t="s">
        <v>226</v>
      </c>
      <c r="B128" s="13" t="s">
        <v>240</v>
      </c>
      <c r="C128" s="13" t="s">
        <v>56</v>
      </c>
      <c r="D128" s="13" t="s">
        <v>227</v>
      </c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65"/>
      <c r="W128" s="98">
        <v>0</v>
      </c>
      <c r="X128" s="159">
        <f>'Steel_BF-BOF with H2'!$H$39*'Steel_BF-BOF with H2'!N31</f>
        <v>2.8885571737041122E-3</v>
      </c>
      <c r="Y128" s="159">
        <f>'Steel_NG-DR'!$H$33*'Inputs by region '!K$9</f>
        <v>1.1251392039595793E-3</v>
      </c>
      <c r="Z128" s="159">
        <f>'Steel_100%H2-DR'!$H$33*'Inputs by region '!K$9</f>
        <v>1.1251392039595793E-3</v>
      </c>
      <c r="AA128" s="159">
        <f>'Steel_BF-BOF with char (+CCUS)'!$H$26*'Steel_BF-BOF with char (+CCUS)'!N30</f>
        <v>5.9963902402539811E-4</v>
      </c>
      <c r="AB128" s="159">
        <f>'Steel_BF-BOF with char (+CCUS)'!$H$53*'Steel_BF-BOF with char (+CCUS)'!N57</f>
        <v>5.9963902402539811E-4</v>
      </c>
      <c r="AC128" s="98">
        <v>0</v>
      </c>
      <c r="AD128" s="98">
        <v>0</v>
      </c>
      <c r="AE128" s="66">
        <v>0</v>
      </c>
      <c r="AF128" s="98">
        <v>0</v>
      </c>
      <c r="AG128" s="98">
        <v>0</v>
      </c>
      <c r="AH128" s="98">
        <v>0</v>
      </c>
      <c r="AI128" s="98">
        <v>0</v>
      </c>
      <c r="AJ128" s="98">
        <v>0</v>
      </c>
      <c r="AK128" s="98">
        <v>0</v>
      </c>
      <c r="AL128" s="98">
        <v>0</v>
      </c>
      <c r="AM128" s="98">
        <v>0</v>
      </c>
      <c r="AN128" s="66">
        <v>0</v>
      </c>
      <c r="AO128" s="98">
        <v>0</v>
      </c>
      <c r="AP128" s="98">
        <v>0</v>
      </c>
      <c r="AQ128" s="98">
        <v>0</v>
      </c>
      <c r="AR128" s="98">
        <v>0</v>
      </c>
      <c r="AS128" s="98">
        <v>0</v>
      </c>
      <c r="AT128" s="98">
        <v>0</v>
      </c>
      <c r="AU128" s="98">
        <v>0</v>
      </c>
      <c r="AV128" s="98">
        <v>0</v>
      </c>
      <c r="AW128" s="66">
        <v>0</v>
      </c>
      <c r="AX128" s="98">
        <v>0</v>
      </c>
      <c r="AY128" s="98">
        <v>0</v>
      </c>
      <c r="AZ128" s="98">
        <v>0</v>
      </c>
      <c r="BA128" s="98">
        <v>0</v>
      </c>
      <c r="BB128" s="98">
        <v>0</v>
      </c>
      <c r="BC128" s="98">
        <v>0</v>
      </c>
      <c r="BD128" s="98">
        <v>0</v>
      </c>
      <c r="BE128" s="98">
        <v>0</v>
      </c>
      <c r="BF128" s="66">
        <v>0</v>
      </c>
      <c r="BG128" s="98">
        <v>0</v>
      </c>
      <c r="BH128" s="98">
        <v>0</v>
      </c>
      <c r="BI128" s="98">
        <v>0</v>
      </c>
      <c r="BJ128" s="98">
        <v>0</v>
      </c>
      <c r="BK128" s="98">
        <v>0</v>
      </c>
      <c r="BL128" s="98">
        <v>0</v>
      </c>
      <c r="BM128" s="98">
        <v>0</v>
      </c>
      <c r="BN128" s="98">
        <v>0</v>
      </c>
      <c r="BO128" s="66">
        <v>0</v>
      </c>
      <c r="BP128" s="98">
        <v>0</v>
      </c>
      <c r="BQ128" s="98">
        <v>0</v>
      </c>
      <c r="BR128" s="98">
        <v>0</v>
      </c>
      <c r="BS128" s="98">
        <v>0</v>
      </c>
      <c r="BT128" s="98">
        <v>0</v>
      </c>
      <c r="BU128" s="98">
        <v>0</v>
      </c>
      <c r="BV128" s="98">
        <v>0</v>
      </c>
      <c r="BW128" s="98">
        <v>0</v>
      </c>
      <c r="BX128" s="98">
        <v>0</v>
      </c>
    </row>
    <row r="129" spans="1:76" x14ac:dyDescent="0.35">
      <c r="A129" t="s">
        <v>83</v>
      </c>
      <c r="B129" s="13" t="s">
        <v>240</v>
      </c>
      <c r="C129" s="13" t="s">
        <v>56</v>
      </c>
      <c r="D129" s="13" t="s">
        <v>228</v>
      </c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65"/>
      <c r="W129" s="98">
        <v>0</v>
      </c>
      <c r="X129" s="98">
        <v>0</v>
      </c>
      <c r="Y129" s="98">
        <v>0</v>
      </c>
      <c r="Z129" s="98">
        <v>0</v>
      </c>
      <c r="AA129" s="159">
        <f>'Steel_BF-BOF with char (+CCUS)'!$H$27*'Inputs by region '!K$9</f>
        <v>7.0614092017150581E-3</v>
      </c>
      <c r="AB129" s="159">
        <f>'Steel_BF-BOF with char (+CCUS)'!$H$54*'Inputs by region '!K$9</f>
        <v>7.0614092017150581E-3</v>
      </c>
      <c r="AC129" s="98">
        <v>0</v>
      </c>
      <c r="AD129" s="98">
        <v>0</v>
      </c>
      <c r="AE129" s="66">
        <v>0</v>
      </c>
      <c r="AF129" s="98">
        <v>0</v>
      </c>
      <c r="AG129" s="98">
        <v>0</v>
      </c>
      <c r="AH129" s="98">
        <v>0</v>
      </c>
      <c r="AI129" s="98">
        <v>0</v>
      </c>
      <c r="AJ129" s="98">
        <v>0</v>
      </c>
      <c r="AK129" s="98">
        <v>0</v>
      </c>
      <c r="AL129" s="98">
        <v>0</v>
      </c>
      <c r="AM129" s="98">
        <v>0</v>
      </c>
      <c r="AN129" s="66">
        <v>0</v>
      </c>
      <c r="AO129" s="98">
        <v>0</v>
      </c>
      <c r="AP129" s="98">
        <v>0</v>
      </c>
      <c r="AQ129" s="98">
        <v>0</v>
      </c>
      <c r="AR129" s="98">
        <v>0</v>
      </c>
      <c r="AS129" s="98">
        <v>0</v>
      </c>
      <c r="AT129" s="98">
        <v>0</v>
      </c>
      <c r="AU129" s="98">
        <v>0</v>
      </c>
      <c r="AV129" s="98">
        <v>0</v>
      </c>
      <c r="AW129" s="66">
        <v>0</v>
      </c>
      <c r="AX129" s="98">
        <v>0</v>
      </c>
      <c r="AY129" s="98">
        <v>0</v>
      </c>
      <c r="AZ129" s="98">
        <v>0</v>
      </c>
      <c r="BA129" s="98">
        <v>0</v>
      </c>
      <c r="BB129" s="98">
        <v>0</v>
      </c>
      <c r="BC129" s="98">
        <v>0</v>
      </c>
      <c r="BD129" s="98">
        <v>0</v>
      </c>
      <c r="BE129" s="98">
        <v>0</v>
      </c>
      <c r="BF129" s="66">
        <v>0</v>
      </c>
      <c r="BG129" s="98">
        <v>0</v>
      </c>
      <c r="BH129" s="98">
        <v>0</v>
      </c>
      <c r="BI129" s="98">
        <v>0</v>
      </c>
      <c r="BJ129" s="98">
        <v>0</v>
      </c>
      <c r="BK129" s="98">
        <v>0</v>
      </c>
      <c r="BL129" s="98">
        <v>0</v>
      </c>
      <c r="BM129" s="98">
        <v>0</v>
      </c>
      <c r="BN129" s="98">
        <v>0</v>
      </c>
      <c r="BO129" s="66">
        <v>0</v>
      </c>
      <c r="BP129" s="98">
        <v>0</v>
      </c>
      <c r="BQ129" s="98">
        <v>0</v>
      </c>
      <c r="BR129" s="98">
        <v>0</v>
      </c>
      <c r="BS129" s="98">
        <v>0</v>
      </c>
      <c r="BT129" s="98">
        <v>0</v>
      </c>
      <c r="BU129" s="98">
        <v>0</v>
      </c>
      <c r="BV129" s="98">
        <v>0</v>
      </c>
      <c r="BW129" s="98">
        <v>0</v>
      </c>
      <c r="BX129" s="98">
        <v>0</v>
      </c>
    </row>
    <row r="130" spans="1:76" x14ac:dyDescent="0.35">
      <c r="A130" t="s">
        <v>229</v>
      </c>
      <c r="B130" s="13" t="s">
        <v>240</v>
      </c>
      <c r="C130" s="13" t="s">
        <v>56</v>
      </c>
      <c r="D130" s="13" t="s">
        <v>230</v>
      </c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65"/>
      <c r="W130" s="98">
        <v>0</v>
      </c>
      <c r="X130" s="98">
        <v>0</v>
      </c>
      <c r="Y130" s="159">
        <f>'Steel_NG-DR'!$H$34*'Inputs by region '!K$10</f>
        <v>5.0048817841215026E-7</v>
      </c>
      <c r="Z130" s="159">
        <f>'Steel_100%H2-DR'!$H$34*'Inputs by region '!K$10</f>
        <v>5.0048817841215026E-7</v>
      </c>
      <c r="AA130" s="98">
        <v>0</v>
      </c>
      <c r="AB130" s="98">
        <v>0</v>
      </c>
      <c r="AC130" s="98">
        <v>0</v>
      </c>
      <c r="AD130" s="98">
        <v>0</v>
      </c>
      <c r="AE130" s="66">
        <v>0</v>
      </c>
      <c r="AF130" s="98">
        <v>0</v>
      </c>
      <c r="AG130" s="98">
        <v>0</v>
      </c>
      <c r="AH130" s="98">
        <v>0</v>
      </c>
      <c r="AI130" s="98">
        <v>0</v>
      </c>
      <c r="AJ130" s="98">
        <v>0</v>
      </c>
      <c r="AK130" s="98">
        <v>0</v>
      </c>
      <c r="AL130" s="98">
        <v>0</v>
      </c>
      <c r="AM130" s="98">
        <v>0</v>
      </c>
      <c r="AN130" s="66">
        <v>0</v>
      </c>
      <c r="AO130" s="98">
        <v>0</v>
      </c>
      <c r="AP130" s="98">
        <v>0</v>
      </c>
      <c r="AQ130" s="98">
        <v>0</v>
      </c>
      <c r="AR130" s="98">
        <v>0</v>
      </c>
      <c r="AS130" s="98">
        <v>0</v>
      </c>
      <c r="AT130" s="98">
        <v>0</v>
      </c>
      <c r="AU130" s="98">
        <v>0</v>
      </c>
      <c r="AV130" s="98">
        <v>0</v>
      </c>
      <c r="AW130" s="66">
        <v>0</v>
      </c>
      <c r="AX130" s="98">
        <v>0</v>
      </c>
      <c r="AY130" s="98">
        <v>0</v>
      </c>
      <c r="AZ130" s="98">
        <v>0</v>
      </c>
      <c r="BA130" s="98">
        <v>0</v>
      </c>
      <c r="BB130" s="98">
        <v>0</v>
      </c>
      <c r="BC130" s="98">
        <v>0</v>
      </c>
      <c r="BD130" s="98">
        <v>0</v>
      </c>
      <c r="BE130" s="98">
        <v>0</v>
      </c>
      <c r="BF130" s="66">
        <v>0</v>
      </c>
      <c r="BG130" s="98">
        <v>0</v>
      </c>
      <c r="BH130" s="98">
        <v>0</v>
      </c>
      <c r="BI130" s="98">
        <v>0</v>
      </c>
      <c r="BJ130" s="98">
        <v>0</v>
      </c>
      <c r="BK130" s="98">
        <v>0</v>
      </c>
      <c r="BL130" s="98">
        <v>0</v>
      </c>
      <c r="BM130" s="98">
        <v>0</v>
      </c>
      <c r="BN130" s="98">
        <v>0</v>
      </c>
      <c r="BO130" s="66">
        <v>0</v>
      </c>
      <c r="BP130" s="98">
        <v>0</v>
      </c>
      <c r="BQ130" s="98">
        <v>0</v>
      </c>
      <c r="BR130" s="98">
        <v>0</v>
      </c>
      <c r="BS130" s="98">
        <v>0</v>
      </c>
      <c r="BT130" s="98">
        <v>0</v>
      </c>
      <c r="BU130" s="98">
        <v>0</v>
      </c>
      <c r="BV130" s="98">
        <v>0</v>
      </c>
      <c r="BW130" s="98">
        <v>0</v>
      </c>
      <c r="BX130" s="98">
        <v>0</v>
      </c>
    </row>
    <row r="131" spans="1:76" x14ac:dyDescent="0.35">
      <c r="A131" t="s">
        <v>231</v>
      </c>
      <c r="B131" s="13" t="s">
        <v>240</v>
      </c>
      <c r="C131" s="13" t="s">
        <v>56</v>
      </c>
      <c r="D131" s="13" t="s">
        <v>232</v>
      </c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65"/>
      <c r="W131" s="98">
        <v>0</v>
      </c>
      <c r="X131" s="98">
        <v>0</v>
      </c>
      <c r="Y131" s="159">
        <f>'Steel_NG-DR'!$H$35*'Inputs by region '!K$11</f>
        <v>6.1170186458281818E-4</v>
      </c>
      <c r="Z131" s="159">
        <f>'Steel_100%H2-DR'!$H$35*'Inputs by region '!K$11</f>
        <v>6.1170186458281818E-4</v>
      </c>
      <c r="AA131" s="98">
        <v>0</v>
      </c>
      <c r="AB131" s="98">
        <v>0</v>
      </c>
      <c r="AC131" s="98">
        <v>0</v>
      </c>
      <c r="AD131" s="98">
        <v>0</v>
      </c>
      <c r="AE131" s="66">
        <v>0</v>
      </c>
      <c r="AF131" s="98">
        <v>0</v>
      </c>
      <c r="AG131" s="98">
        <v>0</v>
      </c>
      <c r="AH131" s="98">
        <v>0</v>
      </c>
      <c r="AI131" s="98">
        <v>0</v>
      </c>
      <c r="AJ131" s="98">
        <v>0</v>
      </c>
      <c r="AK131" s="98">
        <v>0</v>
      </c>
      <c r="AL131" s="98">
        <v>0</v>
      </c>
      <c r="AM131" s="98">
        <v>0</v>
      </c>
      <c r="AN131" s="66">
        <v>0</v>
      </c>
      <c r="AO131" s="98">
        <v>0</v>
      </c>
      <c r="AP131" s="98">
        <v>0</v>
      </c>
      <c r="AQ131" s="98">
        <v>0</v>
      </c>
      <c r="AR131" s="98">
        <v>0</v>
      </c>
      <c r="AS131" s="98">
        <v>0</v>
      </c>
      <c r="AT131" s="98">
        <v>0</v>
      </c>
      <c r="AU131" s="98">
        <v>0</v>
      </c>
      <c r="AV131" s="98">
        <v>0</v>
      </c>
      <c r="AW131" s="66">
        <v>0</v>
      </c>
      <c r="AX131" s="98">
        <v>0</v>
      </c>
      <c r="AY131" s="98">
        <v>0</v>
      </c>
      <c r="AZ131" s="98">
        <v>0</v>
      </c>
      <c r="BA131" s="98">
        <v>0</v>
      </c>
      <c r="BB131" s="98">
        <v>0</v>
      </c>
      <c r="BC131" s="98">
        <v>0</v>
      </c>
      <c r="BD131" s="98">
        <v>0</v>
      </c>
      <c r="BE131" s="98">
        <v>0</v>
      </c>
      <c r="BF131" s="66">
        <v>0</v>
      </c>
      <c r="BG131" s="98">
        <v>0</v>
      </c>
      <c r="BH131" s="98">
        <v>0</v>
      </c>
      <c r="BI131" s="98">
        <v>0</v>
      </c>
      <c r="BJ131" s="98">
        <v>0</v>
      </c>
      <c r="BK131" s="98">
        <v>0</v>
      </c>
      <c r="BL131" s="98">
        <v>0</v>
      </c>
      <c r="BM131" s="98">
        <v>0</v>
      </c>
      <c r="BN131" s="98">
        <v>0</v>
      </c>
      <c r="BO131" s="66">
        <v>0</v>
      </c>
      <c r="BP131" s="98">
        <v>0</v>
      </c>
      <c r="BQ131" s="98">
        <v>0</v>
      </c>
      <c r="BR131" s="98">
        <v>0</v>
      </c>
      <c r="BS131" s="98">
        <v>0</v>
      </c>
      <c r="BT131" s="98">
        <v>0</v>
      </c>
      <c r="BU131" s="98">
        <v>0</v>
      </c>
      <c r="BV131" s="98">
        <v>0</v>
      </c>
      <c r="BW131" s="98">
        <v>0</v>
      </c>
      <c r="BX131" s="98">
        <v>0</v>
      </c>
    </row>
    <row r="132" spans="1:76" x14ac:dyDescent="0.35">
      <c r="A132" t="s">
        <v>233</v>
      </c>
      <c r="B132" s="13" t="s">
        <v>240</v>
      </c>
      <c r="C132" s="13" t="s">
        <v>56</v>
      </c>
      <c r="D132" s="13" t="s">
        <v>228</v>
      </c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65"/>
      <c r="W132" s="98">
        <v>0</v>
      </c>
      <c r="X132" s="98">
        <v>0</v>
      </c>
      <c r="Y132" s="98">
        <f>'Steel_NG-DR'!$H$36*'Inputs by region '!K$12</f>
        <v>0</v>
      </c>
      <c r="Z132" s="98">
        <f>'Steel_100%H2-DR'!$H$36*'Inputs by region '!K$12</f>
        <v>0</v>
      </c>
      <c r="AA132" s="98">
        <v>0</v>
      </c>
      <c r="AB132" s="98">
        <v>0</v>
      </c>
      <c r="AC132" s="98">
        <v>0</v>
      </c>
      <c r="AD132" s="98">
        <v>0</v>
      </c>
      <c r="AE132" s="66">
        <v>0</v>
      </c>
      <c r="AF132" s="98">
        <v>0</v>
      </c>
      <c r="AG132" s="98">
        <v>0</v>
      </c>
      <c r="AH132" s="98">
        <v>0</v>
      </c>
      <c r="AI132" s="98">
        <v>0</v>
      </c>
      <c r="AJ132" s="98">
        <v>0</v>
      </c>
      <c r="AK132" s="98">
        <v>0</v>
      </c>
      <c r="AL132" s="98">
        <v>0</v>
      </c>
      <c r="AM132" s="98">
        <v>0</v>
      </c>
      <c r="AN132" s="66">
        <v>0</v>
      </c>
      <c r="AO132" s="98">
        <v>0</v>
      </c>
      <c r="AP132" s="98">
        <v>0</v>
      </c>
      <c r="AQ132" s="98">
        <v>0</v>
      </c>
      <c r="AR132" s="98">
        <v>0</v>
      </c>
      <c r="AS132" s="98">
        <v>0</v>
      </c>
      <c r="AT132" s="98">
        <v>0</v>
      </c>
      <c r="AU132" s="98">
        <v>0</v>
      </c>
      <c r="AV132" s="98">
        <v>0</v>
      </c>
      <c r="AW132" s="66">
        <v>0</v>
      </c>
      <c r="AX132" s="98">
        <v>0</v>
      </c>
      <c r="AY132" s="98">
        <v>0</v>
      </c>
      <c r="AZ132" s="98">
        <v>0</v>
      </c>
      <c r="BA132" s="98">
        <v>0</v>
      </c>
      <c r="BB132" s="98">
        <v>0</v>
      </c>
      <c r="BC132" s="98">
        <v>0</v>
      </c>
      <c r="BD132" s="98">
        <v>0</v>
      </c>
      <c r="BE132" s="98">
        <v>0</v>
      </c>
      <c r="BF132" s="66">
        <v>0</v>
      </c>
      <c r="BG132" s="98">
        <v>0</v>
      </c>
      <c r="BH132" s="98">
        <v>0</v>
      </c>
      <c r="BI132" s="98">
        <v>0</v>
      </c>
      <c r="BJ132" s="98">
        <v>0</v>
      </c>
      <c r="BK132" s="98">
        <v>0</v>
      </c>
      <c r="BL132" s="98">
        <v>0</v>
      </c>
      <c r="BM132" s="98">
        <v>0</v>
      </c>
      <c r="BN132" s="98">
        <v>0</v>
      </c>
      <c r="BO132" s="66">
        <v>0</v>
      </c>
      <c r="BP132" s="98">
        <v>0</v>
      </c>
      <c r="BQ132" s="98">
        <v>0</v>
      </c>
      <c r="BR132" s="98">
        <v>0</v>
      </c>
      <c r="BS132" s="98">
        <v>0</v>
      </c>
      <c r="BT132" s="98">
        <v>0</v>
      </c>
      <c r="BU132" s="98">
        <v>0</v>
      </c>
      <c r="BV132" s="98">
        <v>0</v>
      </c>
      <c r="BW132" s="98">
        <v>0</v>
      </c>
      <c r="BX132" s="98">
        <v>0</v>
      </c>
    </row>
    <row r="133" spans="1:76" x14ac:dyDescent="0.35">
      <c r="A133" t="s">
        <v>101</v>
      </c>
      <c r="B133" s="13" t="s">
        <v>240</v>
      </c>
      <c r="C133" s="13" t="s">
        <v>103</v>
      </c>
      <c r="D133" s="13" t="s">
        <v>234</v>
      </c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65"/>
      <c r="W133" s="98">
        <v>0</v>
      </c>
      <c r="X133" s="98">
        <v>0</v>
      </c>
      <c r="Y133" s="98">
        <f>('Steel_NG-DR'!$H$37+'Steel_NG-DR'!$H$16)*'Inputs by region '!K$13</f>
        <v>0</v>
      </c>
      <c r="Z133" s="98">
        <f>('Steel_100%H2-DR'!$H$16+'Steel_100%H2-DR'!$H$37)*'Inputs by region '!K$13</f>
        <v>0</v>
      </c>
      <c r="AA133" s="98">
        <v>0</v>
      </c>
      <c r="AB133" s="98">
        <v>0</v>
      </c>
      <c r="AC133" s="98">
        <v>0</v>
      </c>
      <c r="AD133" s="98">
        <v>0</v>
      </c>
      <c r="AE133" s="66">
        <v>0</v>
      </c>
      <c r="AF133" s="98">
        <v>0</v>
      </c>
      <c r="AG133" s="98">
        <v>0</v>
      </c>
      <c r="AH133" s="98">
        <v>0</v>
      </c>
      <c r="AI133" s="98">
        <v>0</v>
      </c>
      <c r="AJ133" s="98">
        <v>0</v>
      </c>
      <c r="AK133" s="98">
        <v>0</v>
      </c>
      <c r="AL133" s="98">
        <v>0</v>
      </c>
      <c r="AM133" s="98">
        <v>0</v>
      </c>
      <c r="AN133" s="66">
        <v>0</v>
      </c>
      <c r="AO133" s="98">
        <v>0</v>
      </c>
      <c r="AP133" s="98">
        <v>0</v>
      </c>
      <c r="AQ133" s="98">
        <v>0</v>
      </c>
      <c r="AR133" s="98">
        <v>0</v>
      </c>
      <c r="AS133" s="98">
        <v>0</v>
      </c>
      <c r="AT133" s="98">
        <v>0</v>
      </c>
      <c r="AU133" s="98">
        <v>0</v>
      </c>
      <c r="AV133" s="98">
        <v>0</v>
      </c>
      <c r="AW133" s="66">
        <v>0</v>
      </c>
      <c r="AX133" s="98">
        <v>0</v>
      </c>
      <c r="AY133" s="98">
        <v>0</v>
      </c>
      <c r="AZ133" s="98">
        <v>0</v>
      </c>
      <c r="BA133" s="98">
        <v>0</v>
      </c>
      <c r="BB133" s="98">
        <v>0</v>
      </c>
      <c r="BC133" s="98">
        <v>0</v>
      </c>
      <c r="BD133" s="98">
        <v>0</v>
      </c>
      <c r="BE133" s="98">
        <v>0</v>
      </c>
      <c r="BF133" s="66">
        <v>0</v>
      </c>
      <c r="BG133" s="98">
        <v>0</v>
      </c>
      <c r="BH133" s="98">
        <v>0</v>
      </c>
      <c r="BI133" s="98">
        <v>0</v>
      </c>
      <c r="BJ133" s="98">
        <v>0</v>
      </c>
      <c r="BK133" s="98">
        <v>0</v>
      </c>
      <c r="BL133" s="98">
        <v>0</v>
      </c>
      <c r="BM133" s="98">
        <v>0</v>
      </c>
      <c r="BN133" s="98">
        <v>0</v>
      </c>
      <c r="BO133" s="66">
        <v>0</v>
      </c>
      <c r="BP133" s="98">
        <v>0</v>
      </c>
      <c r="BQ133" s="98">
        <v>0</v>
      </c>
      <c r="BR133" s="98">
        <v>0</v>
      </c>
      <c r="BS133" s="98">
        <v>0</v>
      </c>
      <c r="BT133" s="98">
        <v>0</v>
      </c>
      <c r="BU133" s="98">
        <v>0</v>
      </c>
      <c r="BV133" s="98">
        <v>0</v>
      </c>
      <c r="BW133" s="98">
        <v>0</v>
      </c>
      <c r="BX133" s="98">
        <v>0</v>
      </c>
    </row>
    <row r="134" spans="1:76" x14ac:dyDescent="0.35">
      <c r="A134" t="s">
        <v>104</v>
      </c>
      <c r="B134" s="13" t="s">
        <v>240</v>
      </c>
      <c r="C134" s="13" t="s">
        <v>103</v>
      </c>
      <c r="D134" s="13" t="s">
        <v>235</v>
      </c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65"/>
      <c r="W134" s="98">
        <v>0</v>
      </c>
      <c r="X134" s="98">
        <v>0</v>
      </c>
      <c r="Y134" s="98">
        <f>('Steel_NG-DR'!$H$37+'Steel_NG-DR'!$H$16)*'Inputs by region '!K$14</f>
        <v>0</v>
      </c>
      <c r="Z134" s="98">
        <f>('Steel_100%H2-DR'!$H$16+'Steel_100%H2-DR'!$H$37)*'Inputs by region '!K$14</f>
        <v>0</v>
      </c>
      <c r="AA134" s="98">
        <v>0</v>
      </c>
      <c r="AB134" s="98">
        <v>0</v>
      </c>
      <c r="AC134" s="98">
        <v>0</v>
      </c>
      <c r="AD134" s="98">
        <v>0</v>
      </c>
      <c r="AE134" s="66">
        <v>0</v>
      </c>
      <c r="AF134" s="98">
        <v>0</v>
      </c>
      <c r="AG134" s="98">
        <v>0</v>
      </c>
      <c r="AH134" s="98">
        <v>0</v>
      </c>
      <c r="AI134" s="98">
        <v>0</v>
      </c>
      <c r="AJ134" s="98">
        <v>0</v>
      </c>
      <c r="AK134" s="98">
        <v>0</v>
      </c>
      <c r="AL134" s="98">
        <v>0</v>
      </c>
      <c r="AM134" s="98">
        <v>0</v>
      </c>
      <c r="AN134" s="66">
        <v>0</v>
      </c>
      <c r="AO134" s="98">
        <v>0</v>
      </c>
      <c r="AP134" s="98">
        <v>0</v>
      </c>
      <c r="AQ134" s="98">
        <v>0</v>
      </c>
      <c r="AR134" s="98">
        <v>0</v>
      </c>
      <c r="AS134" s="98">
        <v>0</v>
      </c>
      <c r="AT134" s="98">
        <v>0</v>
      </c>
      <c r="AU134" s="98">
        <v>0</v>
      </c>
      <c r="AV134" s="98">
        <v>0</v>
      </c>
      <c r="AW134" s="66">
        <v>0</v>
      </c>
      <c r="AX134" s="98">
        <v>0</v>
      </c>
      <c r="AY134" s="98">
        <v>0</v>
      </c>
      <c r="AZ134" s="98">
        <v>0</v>
      </c>
      <c r="BA134" s="98">
        <v>0</v>
      </c>
      <c r="BB134" s="98">
        <v>0</v>
      </c>
      <c r="BC134" s="98">
        <v>0</v>
      </c>
      <c r="BD134" s="98">
        <v>0</v>
      </c>
      <c r="BE134" s="98">
        <v>0</v>
      </c>
      <c r="BF134" s="66">
        <v>0</v>
      </c>
      <c r="BG134" s="98">
        <v>0</v>
      </c>
      <c r="BH134" s="98">
        <v>0</v>
      </c>
      <c r="BI134" s="98">
        <v>0</v>
      </c>
      <c r="BJ134" s="98">
        <v>0</v>
      </c>
      <c r="BK134" s="98">
        <v>0</v>
      </c>
      <c r="BL134" s="98">
        <v>0</v>
      </c>
      <c r="BM134" s="98">
        <v>0</v>
      </c>
      <c r="BN134" s="98">
        <v>0</v>
      </c>
      <c r="BO134" s="66">
        <v>0</v>
      </c>
      <c r="BP134" s="98">
        <v>0</v>
      </c>
      <c r="BQ134" s="98">
        <v>0</v>
      </c>
      <c r="BR134" s="98">
        <v>0</v>
      </c>
      <c r="BS134" s="98">
        <v>0</v>
      </c>
      <c r="BT134" s="98">
        <v>0</v>
      </c>
      <c r="BU134" s="98">
        <v>0</v>
      </c>
      <c r="BV134" s="98">
        <v>0</v>
      </c>
      <c r="BW134" s="98">
        <v>0</v>
      </c>
      <c r="BX134" s="98">
        <v>0</v>
      </c>
    </row>
    <row r="135" spans="1:76" ht="15" thickBot="1" x14ac:dyDescent="0.4">
      <c r="A135" t="s">
        <v>106</v>
      </c>
      <c r="B135" s="13" t="s">
        <v>240</v>
      </c>
      <c r="C135" s="13" t="s">
        <v>103</v>
      </c>
      <c r="D135" s="13" t="s">
        <v>236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65"/>
      <c r="W135" s="67">
        <v>0</v>
      </c>
      <c r="X135" s="67">
        <v>0</v>
      </c>
      <c r="Y135" s="67">
        <f>('Steel_NG-DR'!$H$37+'Steel_NG-DR'!$H$16)*'Inputs by region '!K$15</f>
        <v>0</v>
      </c>
      <c r="Z135" s="67">
        <f>('Steel_100%H2-DR'!$H$16+'Steel_100%H2-DR'!$H$37)*'Inputs by region '!K$15</f>
        <v>0</v>
      </c>
      <c r="AA135" s="67">
        <v>0</v>
      </c>
      <c r="AB135" s="67">
        <v>0</v>
      </c>
      <c r="AC135" s="67">
        <v>0</v>
      </c>
      <c r="AD135" s="67">
        <v>0</v>
      </c>
      <c r="AE135" s="68">
        <v>0</v>
      </c>
      <c r="AF135" s="67">
        <v>0</v>
      </c>
      <c r="AG135" s="67">
        <v>0</v>
      </c>
      <c r="AH135" s="67">
        <v>0</v>
      </c>
      <c r="AI135" s="67">
        <v>0</v>
      </c>
      <c r="AJ135" s="67">
        <v>0</v>
      </c>
      <c r="AK135" s="67">
        <v>0</v>
      </c>
      <c r="AL135" s="67">
        <v>0</v>
      </c>
      <c r="AM135" s="67">
        <v>0</v>
      </c>
      <c r="AN135" s="68">
        <v>0</v>
      </c>
      <c r="AO135" s="67">
        <v>0</v>
      </c>
      <c r="AP135" s="67">
        <v>0</v>
      </c>
      <c r="AQ135" s="67">
        <v>0</v>
      </c>
      <c r="AR135" s="67">
        <v>0</v>
      </c>
      <c r="AS135" s="67">
        <v>0</v>
      </c>
      <c r="AT135" s="67">
        <v>0</v>
      </c>
      <c r="AU135" s="67">
        <v>0</v>
      </c>
      <c r="AV135" s="67">
        <v>0</v>
      </c>
      <c r="AW135" s="68">
        <v>0</v>
      </c>
      <c r="AX135" s="67">
        <v>0</v>
      </c>
      <c r="AY135" s="67">
        <v>0</v>
      </c>
      <c r="AZ135" s="67">
        <v>0</v>
      </c>
      <c r="BA135" s="67">
        <v>0</v>
      </c>
      <c r="BB135" s="67">
        <v>0</v>
      </c>
      <c r="BC135" s="67">
        <v>0</v>
      </c>
      <c r="BD135" s="67">
        <v>0</v>
      </c>
      <c r="BE135" s="67">
        <v>0</v>
      </c>
      <c r="BF135" s="68">
        <v>0</v>
      </c>
      <c r="BG135" s="67">
        <v>0</v>
      </c>
      <c r="BH135" s="67">
        <v>0</v>
      </c>
      <c r="BI135" s="67">
        <v>0</v>
      </c>
      <c r="BJ135" s="67">
        <v>0</v>
      </c>
      <c r="BK135" s="67">
        <v>0</v>
      </c>
      <c r="BL135" s="67">
        <v>0</v>
      </c>
      <c r="BM135" s="67">
        <v>0</v>
      </c>
      <c r="BN135" s="67">
        <v>0</v>
      </c>
      <c r="BO135" s="68">
        <v>0</v>
      </c>
      <c r="BP135" s="67">
        <v>0</v>
      </c>
      <c r="BQ135" s="67">
        <v>0</v>
      </c>
      <c r="BR135" s="67">
        <v>0</v>
      </c>
      <c r="BS135" s="67">
        <v>0</v>
      </c>
      <c r="BT135" s="67">
        <v>0</v>
      </c>
      <c r="BU135" s="67">
        <v>0</v>
      </c>
      <c r="BV135" s="67">
        <v>0</v>
      </c>
      <c r="BW135" s="67">
        <v>0</v>
      </c>
      <c r="BX135" s="67">
        <v>0</v>
      </c>
    </row>
    <row r="136" spans="1:76" x14ac:dyDescent="0.35">
      <c r="A136" t="s">
        <v>218</v>
      </c>
      <c r="B136" s="13" t="s">
        <v>241</v>
      </c>
      <c r="C136" s="13" t="s">
        <v>56</v>
      </c>
      <c r="D136" s="13" t="s">
        <v>219</v>
      </c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65"/>
      <c r="W136" s="98">
        <v>0</v>
      </c>
      <c r="X136" s="98">
        <v>0</v>
      </c>
      <c r="Y136" s="159">
        <f>'Steel_NG-DR'!$H$15*'Inputs by region '!L$5</f>
        <v>1.0000807460939076</v>
      </c>
      <c r="Z136" s="159">
        <f>'Steel_100%H2-DR'!$H$15*'Inputs by region '!L$5</f>
        <v>1.0000807460939076</v>
      </c>
      <c r="AA136" s="98">
        <v>0</v>
      </c>
      <c r="AB136" s="98">
        <v>0</v>
      </c>
      <c r="AC136" s="98">
        <v>0</v>
      </c>
      <c r="AD136" s="98">
        <v>0</v>
      </c>
      <c r="AE136" s="66">
        <v>0</v>
      </c>
      <c r="AF136" s="98">
        <v>0</v>
      </c>
      <c r="AG136" s="98">
        <v>0</v>
      </c>
      <c r="AH136" s="98">
        <v>0</v>
      </c>
      <c r="AI136" s="98">
        <v>0</v>
      </c>
      <c r="AJ136" s="98">
        <v>0</v>
      </c>
      <c r="AK136" s="98">
        <v>0</v>
      </c>
      <c r="AL136" s="98">
        <v>0</v>
      </c>
      <c r="AM136" s="98">
        <v>0</v>
      </c>
      <c r="AN136" s="66">
        <v>0</v>
      </c>
      <c r="AO136" s="98">
        <v>0</v>
      </c>
      <c r="AP136" s="98">
        <v>0</v>
      </c>
      <c r="AQ136" s="98">
        <v>0</v>
      </c>
      <c r="AR136" s="98">
        <v>0</v>
      </c>
      <c r="AS136" s="98">
        <v>0</v>
      </c>
      <c r="AT136" s="98">
        <v>0</v>
      </c>
      <c r="AU136" s="98">
        <v>0</v>
      </c>
      <c r="AV136" s="98">
        <v>0</v>
      </c>
      <c r="AW136" s="66">
        <v>0</v>
      </c>
      <c r="AX136" s="98">
        <v>0</v>
      </c>
      <c r="AY136" s="98">
        <v>0</v>
      </c>
      <c r="AZ136" s="98">
        <v>0</v>
      </c>
      <c r="BA136" s="98">
        <v>0</v>
      </c>
      <c r="BB136" s="98">
        <v>0</v>
      </c>
      <c r="BC136" s="98">
        <v>0</v>
      </c>
      <c r="BD136" s="98">
        <v>0</v>
      </c>
      <c r="BE136" s="98">
        <v>0</v>
      </c>
      <c r="BF136" s="66">
        <v>0</v>
      </c>
      <c r="BG136" s="98">
        <v>0</v>
      </c>
      <c r="BH136" s="98">
        <v>0</v>
      </c>
      <c r="BI136" s="98">
        <v>0</v>
      </c>
      <c r="BJ136" s="98">
        <v>0</v>
      </c>
      <c r="BK136" s="98">
        <v>0</v>
      </c>
      <c r="BL136" s="98">
        <v>0</v>
      </c>
      <c r="BM136" s="98">
        <v>0</v>
      </c>
      <c r="BN136" s="98">
        <v>0</v>
      </c>
      <c r="BO136" s="66">
        <v>0</v>
      </c>
      <c r="BP136" s="98">
        <v>0</v>
      </c>
      <c r="BQ136" s="98">
        <v>0</v>
      </c>
      <c r="BR136" s="98">
        <v>0</v>
      </c>
      <c r="BS136" s="98">
        <v>0</v>
      </c>
      <c r="BT136" s="98">
        <v>0</v>
      </c>
      <c r="BU136" s="98">
        <v>0</v>
      </c>
      <c r="BV136" s="98">
        <v>0</v>
      </c>
      <c r="BW136" s="98">
        <v>0</v>
      </c>
      <c r="BX136" s="98">
        <v>0</v>
      </c>
    </row>
    <row r="137" spans="1:76" x14ac:dyDescent="0.35">
      <c r="A137" s="12" t="s">
        <v>220</v>
      </c>
      <c r="B137" s="13" t="s">
        <v>241</v>
      </c>
      <c r="C137" s="13" t="s">
        <v>56</v>
      </c>
      <c r="D137" s="13" t="s">
        <v>221</v>
      </c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65"/>
      <c r="W137" s="98">
        <v>0</v>
      </c>
      <c r="X137" s="98">
        <v>0</v>
      </c>
      <c r="Y137" s="98">
        <f>'Steel_NG-DR'!$H$29*'Inputs by region '!L$6</f>
        <v>0</v>
      </c>
      <c r="Z137" s="98">
        <f>'Steel_100%H2-DR'!$H$29*'Inputs by region '!L$6</f>
        <v>0</v>
      </c>
      <c r="AA137" s="98">
        <v>0</v>
      </c>
      <c r="AB137" s="98">
        <v>0</v>
      </c>
      <c r="AC137" s="98">
        <v>0</v>
      </c>
      <c r="AD137" s="98">
        <v>0</v>
      </c>
      <c r="AE137" s="66">
        <v>0</v>
      </c>
      <c r="AF137" s="98">
        <v>0</v>
      </c>
      <c r="AG137" s="98">
        <v>0</v>
      </c>
      <c r="AH137" s="98">
        <v>0</v>
      </c>
      <c r="AI137" s="98">
        <v>0</v>
      </c>
      <c r="AJ137" s="98">
        <v>0</v>
      </c>
      <c r="AK137" s="98">
        <v>0</v>
      </c>
      <c r="AL137" s="98">
        <v>0</v>
      </c>
      <c r="AM137" s="98">
        <v>0</v>
      </c>
      <c r="AN137" s="66">
        <v>0</v>
      </c>
      <c r="AO137" s="98">
        <v>0</v>
      </c>
      <c r="AP137" s="98">
        <v>0</v>
      </c>
      <c r="AQ137" s="98">
        <v>0</v>
      </c>
      <c r="AR137" s="98">
        <v>0</v>
      </c>
      <c r="AS137" s="98">
        <v>0</v>
      </c>
      <c r="AT137" s="98">
        <v>0</v>
      </c>
      <c r="AU137" s="98">
        <v>0</v>
      </c>
      <c r="AV137" s="98">
        <v>0</v>
      </c>
      <c r="AW137" s="66">
        <v>0</v>
      </c>
      <c r="AX137" s="98">
        <v>0</v>
      </c>
      <c r="AY137" s="98">
        <v>0</v>
      </c>
      <c r="AZ137" s="98">
        <v>0</v>
      </c>
      <c r="BA137" s="98">
        <v>0</v>
      </c>
      <c r="BB137" s="98">
        <v>0</v>
      </c>
      <c r="BC137" s="98">
        <v>0</v>
      </c>
      <c r="BD137" s="98">
        <v>0</v>
      </c>
      <c r="BE137" s="98">
        <v>0</v>
      </c>
      <c r="BF137" s="66">
        <v>0</v>
      </c>
      <c r="BG137" s="98">
        <v>0</v>
      </c>
      <c r="BH137" s="98">
        <v>0</v>
      </c>
      <c r="BI137" s="98">
        <v>0</v>
      </c>
      <c r="BJ137" s="98">
        <v>0</v>
      </c>
      <c r="BK137" s="98">
        <v>0</v>
      </c>
      <c r="BL137" s="98">
        <v>0</v>
      </c>
      <c r="BM137" s="98">
        <v>0</v>
      </c>
      <c r="BN137" s="98">
        <v>0</v>
      </c>
      <c r="BO137" s="66">
        <v>0</v>
      </c>
      <c r="BP137" s="98">
        <v>0</v>
      </c>
      <c r="BQ137" s="98">
        <v>0</v>
      </c>
      <c r="BR137" s="98">
        <v>0</v>
      </c>
      <c r="BS137" s="98">
        <v>0</v>
      </c>
      <c r="BT137" s="98">
        <v>0</v>
      </c>
      <c r="BU137" s="98">
        <v>0</v>
      </c>
      <c r="BV137" s="98">
        <v>0</v>
      </c>
      <c r="BW137" s="98">
        <v>0</v>
      </c>
      <c r="BX137" s="98">
        <v>0</v>
      </c>
    </row>
    <row r="138" spans="1:76" x14ac:dyDescent="0.35">
      <c r="A138" t="s">
        <v>222</v>
      </c>
      <c r="B138" s="13" t="s">
        <v>241</v>
      </c>
      <c r="C138" s="13" t="s">
        <v>56</v>
      </c>
      <c r="D138" s="13" t="s">
        <v>223</v>
      </c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65"/>
      <c r="W138" s="98">
        <v>0</v>
      </c>
      <c r="X138" s="98">
        <v>0</v>
      </c>
      <c r="Y138" s="159">
        <f>'Steel_NG-DR'!$H$31*'Inputs by region '!L$7</f>
        <v>3.7052409430862396E-4</v>
      </c>
      <c r="Z138" s="159">
        <f>'Steel_100%H2-DR'!$H$31*'Inputs by region '!L$7</f>
        <v>3.7052409430862396E-4</v>
      </c>
      <c r="AA138" s="98">
        <v>0</v>
      </c>
      <c r="AB138" s="98">
        <v>0</v>
      </c>
      <c r="AC138" s="98">
        <v>0</v>
      </c>
      <c r="AD138" s="98">
        <v>0</v>
      </c>
      <c r="AE138" s="66">
        <v>0</v>
      </c>
      <c r="AF138" s="98">
        <v>0</v>
      </c>
      <c r="AG138" s="98">
        <v>0</v>
      </c>
      <c r="AH138" s="98">
        <v>0</v>
      </c>
      <c r="AI138" s="98">
        <v>0</v>
      </c>
      <c r="AJ138" s="98">
        <v>0</v>
      </c>
      <c r="AK138" s="98">
        <v>0</v>
      </c>
      <c r="AL138" s="98">
        <v>0</v>
      </c>
      <c r="AM138" s="98">
        <v>0</v>
      </c>
      <c r="AN138" s="66">
        <v>0</v>
      </c>
      <c r="AO138" s="98">
        <v>0</v>
      </c>
      <c r="AP138" s="98">
        <v>0</v>
      </c>
      <c r="AQ138" s="98">
        <v>0</v>
      </c>
      <c r="AR138" s="98">
        <v>0</v>
      </c>
      <c r="AS138" s="98">
        <v>0</v>
      </c>
      <c r="AT138" s="98">
        <v>0</v>
      </c>
      <c r="AU138" s="98">
        <v>0</v>
      </c>
      <c r="AV138" s="98">
        <v>0</v>
      </c>
      <c r="AW138" s="66">
        <v>0</v>
      </c>
      <c r="AX138" s="98">
        <v>0</v>
      </c>
      <c r="AY138" s="98">
        <v>0</v>
      </c>
      <c r="AZ138" s="98">
        <v>0</v>
      </c>
      <c r="BA138" s="98">
        <v>0</v>
      </c>
      <c r="BB138" s="98">
        <v>0</v>
      </c>
      <c r="BC138" s="98">
        <v>0</v>
      </c>
      <c r="BD138" s="98">
        <v>0</v>
      </c>
      <c r="BE138" s="98">
        <v>0</v>
      </c>
      <c r="BF138" s="66">
        <v>0</v>
      </c>
      <c r="BG138" s="98">
        <v>0</v>
      </c>
      <c r="BH138" s="98">
        <v>0</v>
      </c>
      <c r="BI138" s="98">
        <v>0</v>
      </c>
      <c r="BJ138" s="98">
        <v>0</v>
      </c>
      <c r="BK138" s="98">
        <v>0</v>
      </c>
      <c r="BL138" s="98">
        <v>0</v>
      </c>
      <c r="BM138" s="98">
        <v>0</v>
      </c>
      <c r="BN138" s="98">
        <v>0</v>
      </c>
      <c r="BO138" s="66">
        <v>0</v>
      </c>
      <c r="BP138" s="98">
        <v>0</v>
      </c>
      <c r="BQ138" s="98">
        <v>0</v>
      </c>
      <c r="BR138" s="98">
        <v>0</v>
      </c>
      <c r="BS138" s="98">
        <v>0</v>
      </c>
      <c r="BT138" s="98">
        <v>0</v>
      </c>
      <c r="BU138" s="98">
        <v>0</v>
      </c>
      <c r="BV138" s="98">
        <v>0</v>
      </c>
      <c r="BW138" s="98">
        <v>0</v>
      </c>
      <c r="BX138" s="98">
        <v>0</v>
      </c>
    </row>
    <row r="139" spans="1:76" x14ac:dyDescent="0.35">
      <c r="A139" t="s">
        <v>224</v>
      </c>
      <c r="B139" s="13" t="s">
        <v>241</v>
      </c>
      <c r="C139" s="13" t="s">
        <v>56</v>
      </c>
      <c r="D139" s="13" t="s">
        <v>225</v>
      </c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65"/>
      <c r="W139" s="98">
        <v>0</v>
      </c>
      <c r="X139" s="98">
        <v>0</v>
      </c>
      <c r="Y139" s="159">
        <f>'Steel_NG-DR'!$H$32*'Inputs by region '!L$8</f>
        <v>5.8414042458127093E-3</v>
      </c>
      <c r="Z139" s="159">
        <f>'Steel_100%H2-DR'!$H$32*'Inputs by region '!L$8</f>
        <v>5.8414042458127093E-3</v>
      </c>
      <c r="AA139" s="98">
        <v>0</v>
      </c>
      <c r="AB139" s="98">
        <v>0</v>
      </c>
      <c r="AC139" s="98">
        <v>0</v>
      </c>
      <c r="AD139" s="98">
        <v>0</v>
      </c>
      <c r="AE139" s="66">
        <v>0</v>
      </c>
      <c r="AF139" s="98">
        <v>0</v>
      </c>
      <c r="AG139" s="98">
        <v>0</v>
      </c>
      <c r="AH139" s="98">
        <v>0</v>
      </c>
      <c r="AI139" s="98">
        <v>0</v>
      </c>
      <c r="AJ139" s="98">
        <v>0</v>
      </c>
      <c r="AK139" s="98">
        <v>0</v>
      </c>
      <c r="AL139" s="98">
        <v>0</v>
      </c>
      <c r="AM139" s="98">
        <v>0</v>
      </c>
      <c r="AN139" s="66">
        <v>0</v>
      </c>
      <c r="AO139" s="98">
        <v>0</v>
      </c>
      <c r="AP139" s="98">
        <v>0</v>
      </c>
      <c r="AQ139" s="98">
        <v>0</v>
      </c>
      <c r="AR139" s="98">
        <v>0</v>
      </c>
      <c r="AS139" s="98">
        <v>0</v>
      </c>
      <c r="AT139" s="98">
        <v>0</v>
      </c>
      <c r="AU139" s="98">
        <v>0</v>
      </c>
      <c r="AV139" s="98">
        <v>0</v>
      </c>
      <c r="AW139" s="66">
        <v>0</v>
      </c>
      <c r="AX139" s="98">
        <v>0</v>
      </c>
      <c r="AY139" s="98">
        <v>0</v>
      </c>
      <c r="AZ139" s="98">
        <v>0</v>
      </c>
      <c r="BA139" s="98">
        <v>0</v>
      </c>
      <c r="BB139" s="98">
        <v>0</v>
      </c>
      <c r="BC139" s="98">
        <v>0</v>
      </c>
      <c r="BD139" s="98">
        <v>0</v>
      </c>
      <c r="BE139" s="98">
        <v>0</v>
      </c>
      <c r="BF139" s="66">
        <v>0</v>
      </c>
      <c r="BG139" s="98">
        <v>0</v>
      </c>
      <c r="BH139" s="98">
        <v>0</v>
      </c>
      <c r="BI139" s="98">
        <v>0</v>
      </c>
      <c r="BJ139" s="98">
        <v>0</v>
      </c>
      <c r="BK139" s="98">
        <v>0</v>
      </c>
      <c r="BL139" s="98">
        <v>0</v>
      </c>
      <c r="BM139" s="98">
        <v>0</v>
      </c>
      <c r="BN139" s="98">
        <v>0</v>
      </c>
      <c r="BO139" s="66">
        <v>0</v>
      </c>
      <c r="BP139" s="98">
        <v>0</v>
      </c>
      <c r="BQ139" s="98">
        <v>0</v>
      </c>
      <c r="BR139" s="98">
        <v>0</v>
      </c>
      <c r="BS139" s="98">
        <v>0</v>
      </c>
      <c r="BT139" s="98">
        <v>0</v>
      </c>
      <c r="BU139" s="98">
        <v>0</v>
      </c>
      <c r="BV139" s="98">
        <v>0</v>
      </c>
      <c r="BW139" s="98">
        <v>0</v>
      </c>
      <c r="BX139" s="98">
        <v>0</v>
      </c>
    </row>
    <row r="140" spans="1:76" x14ac:dyDescent="0.35">
      <c r="A140" t="s">
        <v>226</v>
      </c>
      <c r="B140" s="13" t="s">
        <v>241</v>
      </c>
      <c r="C140" s="13" t="s">
        <v>56</v>
      </c>
      <c r="D140" s="13" t="s">
        <v>227</v>
      </c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65"/>
      <c r="W140" s="98">
        <v>0</v>
      </c>
      <c r="X140" s="159">
        <f>'Steel_BF-BOF with H2'!$H$39*'Steel_BF-BOF with H2'!N32</f>
        <v>1.1972685102906883E-2</v>
      </c>
      <c r="Y140" s="159">
        <f>'Steel_NG-DR'!$H$33*'Inputs by region '!L$9</f>
        <v>5.0319447308723453E-3</v>
      </c>
      <c r="Z140" s="159">
        <f>'Steel_100%H2-DR'!$H$33*'Inputs by region '!L$9</f>
        <v>5.0319447308723453E-3</v>
      </c>
      <c r="AA140" s="159">
        <f>'Steel_BF-BOF with char (+CCUS)'!$H$26*'Steel_BF-BOF with char (+CCUS)'!N31</f>
        <v>2.4854239602480213E-3</v>
      </c>
      <c r="AB140" s="159">
        <f>'Steel_BF-BOF with char (+CCUS)'!$H$53*'Steel_BF-BOF with char (+CCUS)'!N58</f>
        <v>2.4854239602480213E-3</v>
      </c>
      <c r="AC140" s="98">
        <v>0</v>
      </c>
      <c r="AD140" s="98">
        <v>0</v>
      </c>
      <c r="AE140" s="66">
        <v>0</v>
      </c>
      <c r="AF140" s="98">
        <v>0</v>
      </c>
      <c r="AG140" s="98">
        <v>0</v>
      </c>
      <c r="AH140" s="98">
        <v>0</v>
      </c>
      <c r="AI140" s="98">
        <v>0</v>
      </c>
      <c r="AJ140" s="98">
        <v>0</v>
      </c>
      <c r="AK140" s="98">
        <v>0</v>
      </c>
      <c r="AL140" s="98">
        <v>0</v>
      </c>
      <c r="AM140" s="98">
        <v>0</v>
      </c>
      <c r="AN140" s="66">
        <v>0</v>
      </c>
      <c r="AO140" s="98">
        <v>0</v>
      </c>
      <c r="AP140" s="98">
        <v>0</v>
      </c>
      <c r="AQ140" s="98">
        <v>0</v>
      </c>
      <c r="AR140" s="98">
        <v>0</v>
      </c>
      <c r="AS140" s="98">
        <v>0</v>
      </c>
      <c r="AT140" s="98">
        <v>0</v>
      </c>
      <c r="AU140" s="98">
        <v>0</v>
      </c>
      <c r="AV140" s="98">
        <v>0</v>
      </c>
      <c r="AW140" s="66">
        <v>0</v>
      </c>
      <c r="AX140" s="98">
        <v>0</v>
      </c>
      <c r="AY140" s="98">
        <v>0</v>
      </c>
      <c r="AZ140" s="98">
        <v>0</v>
      </c>
      <c r="BA140" s="98">
        <v>0</v>
      </c>
      <c r="BB140" s="98">
        <v>0</v>
      </c>
      <c r="BC140" s="98">
        <v>0</v>
      </c>
      <c r="BD140" s="98">
        <v>0</v>
      </c>
      <c r="BE140" s="98">
        <v>0</v>
      </c>
      <c r="BF140" s="66">
        <v>0</v>
      </c>
      <c r="BG140" s="98">
        <v>0</v>
      </c>
      <c r="BH140" s="98">
        <v>0</v>
      </c>
      <c r="BI140" s="98">
        <v>0</v>
      </c>
      <c r="BJ140" s="98">
        <v>0</v>
      </c>
      <c r="BK140" s="98">
        <v>0</v>
      </c>
      <c r="BL140" s="98">
        <v>0</v>
      </c>
      <c r="BM140" s="98">
        <v>0</v>
      </c>
      <c r="BN140" s="98">
        <v>0</v>
      </c>
      <c r="BO140" s="66">
        <v>0</v>
      </c>
      <c r="BP140" s="98">
        <v>0</v>
      </c>
      <c r="BQ140" s="98">
        <v>0</v>
      </c>
      <c r="BR140" s="98">
        <v>0</v>
      </c>
      <c r="BS140" s="98">
        <v>0</v>
      </c>
      <c r="BT140" s="98">
        <v>0</v>
      </c>
      <c r="BU140" s="98">
        <v>0</v>
      </c>
      <c r="BV140" s="98">
        <v>0</v>
      </c>
      <c r="BW140" s="98">
        <v>0</v>
      </c>
      <c r="BX140" s="98">
        <v>0</v>
      </c>
    </row>
    <row r="141" spans="1:76" x14ac:dyDescent="0.35">
      <c r="A141" t="s">
        <v>83</v>
      </c>
      <c r="B141" s="13" t="s">
        <v>241</v>
      </c>
      <c r="C141" s="13" t="s">
        <v>56</v>
      </c>
      <c r="D141" s="13" t="s">
        <v>228</v>
      </c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65"/>
      <c r="W141" s="98">
        <v>0</v>
      </c>
      <c r="X141" s="98">
        <v>0</v>
      </c>
      <c r="Y141" s="98">
        <v>0</v>
      </c>
      <c r="Z141" s="98">
        <v>0</v>
      </c>
      <c r="AA141" s="159">
        <f>'Steel_BF-BOF with char (+CCUS)'!$H$27*'Inputs by region '!L$9</f>
        <v>3.1580644155014347E-2</v>
      </c>
      <c r="AB141" s="159">
        <f>'Steel_BF-BOF with char (+CCUS)'!$H$54*'Inputs by region '!L$9</f>
        <v>3.1580644155014347E-2</v>
      </c>
      <c r="AC141" s="98">
        <v>0</v>
      </c>
      <c r="AD141" s="98">
        <v>0</v>
      </c>
      <c r="AE141" s="66">
        <v>0</v>
      </c>
      <c r="AF141" s="98">
        <v>0</v>
      </c>
      <c r="AG141" s="98">
        <v>0</v>
      </c>
      <c r="AH141" s="98">
        <v>0</v>
      </c>
      <c r="AI141" s="98">
        <v>0</v>
      </c>
      <c r="AJ141" s="98">
        <v>0</v>
      </c>
      <c r="AK141" s="98">
        <v>0</v>
      </c>
      <c r="AL141" s="98">
        <v>0</v>
      </c>
      <c r="AM141" s="98">
        <v>0</v>
      </c>
      <c r="AN141" s="66">
        <v>0</v>
      </c>
      <c r="AO141" s="98">
        <v>0</v>
      </c>
      <c r="AP141" s="98">
        <v>0</v>
      </c>
      <c r="AQ141" s="98">
        <v>0</v>
      </c>
      <c r="AR141" s="98">
        <v>0</v>
      </c>
      <c r="AS141" s="98">
        <v>0</v>
      </c>
      <c r="AT141" s="98">
        <v>0</v>
      </c>
      <c r="AU141" s="98">
        <v>0</v>
      </c>
      <c r="AV141" s="98">
        <v>0</v>
      </c>
      <c r="AW141" s="66">
        <v>0</v>
      </c>
      <c r="AX141" s="98">
        <v>0</v>
      </c>
      <c r="AY141" s="98">
        <v>0</v>
      </c>
      <c r="AZ141" s="98">
        <v>0</v>
      </c>
      <c r="BA141" s="98">
        <v>0</v>
      </c>
      <c r="BB141" s="98">
        <v>0</v>
      </c>
      <c r="BC141" s="98">
        <v>0</v>
      </c>
      <c r="BD141" s="98">
        <v>0</v>
      </c>
      <c r="BE141" s="98">
        <v>0</v>
      </c>
      <c r="BF141" s="66">
        <v>0</v>
      </c>
      <c r="BG141" s="98">
        <v>0</v>
      </c>
      <c r="BH141" s="98">
        <v>0</v>
      </c>
      <c r="BI141" s="98">
        <v>0</v>
      </c>
      <c r="BJ141" s="98">
        <v>0</v>
      </c>
      <c r="BK141" s="98">
        <v>0</v>
      </c>
      <c r="BL141" s="98">
        <v>0</v>
      </c>
      <c r="BM141" s="98">
        <v>0</v>
      </c>
      <c r="BN141" s="98">
        <v>0</v>
      </c>
      <c r="BO141" s="66">
        <v>0</v>
      </c>
      <c r="BP141" s="98">
        <v>0</v>
      </c>
      <c r="BQ141" s="98">
        <v>0</v>
      </c>
      <c r="BR141" s="98">
        <v>0</v>
      </c>
      <c r="BS141" s="98">
        <v>0</v>
      </c>
      <c r="BT141" s="98">
        <v>0</v>
      </c>
      <c r="BU141" s="98">
        <v>0</v>
      </c>
      <c r="BV141" s="98">
        <v>0</v>
      </c>
      <c r="BW141" s="98">
        <v>0</v>
      </c>
      <c r="BX141" s="98">
        <v>0</v>
      </c>
    </row>
    <row r="142" spans="1:76" x14ac:dyDescent="0.35">
      <c r="A142" t="s">
        <v>229</v>
      </c>
      <c r="B142" s="13" t="s">
        <v>241</v>
      </c>
      <c r="C142" s="13" t="s">
        <v>56</v>
      </c>
      <c r="D142" s="13" t="s">
        <v>230</v>
      </c>
      <c r="E142" s="53"/>
      <c r="F142" s="53"/>
      <c r="G142" s="54"/>
      <c r="H142" s="69"/>
      <c r="I142" s="70"/>
      <c r="J142" s="70"/>
      <c r="K142" s="70"/>
      <c r="N142" s="54"/>
      <c r="Q142"/>
      <c r="W142" s="98">
        <v>0</v>
      </c>
      <c r="X142" s="98">
        <v>0</v>
      </c>
      <c r="Y142" s="159">
        <f>'Steel_NG-DR'!$H$34*'Inputs by region '!L$10</f>
        <v>4.336096678710085E-4</v>
      </c>
      <c r="Z142" s="159">
        <f>'Steel_100%H2-DR'!$H$34*'Inputs by region '!L$10</f>
        <v>4.336096678710085E-4</v>
      </c>
      <c r="AA142" s="98">
        <v>0</v>
      </c>
      <c r="AB142" s="98">
        <v>0</v>
      </c>
      <c r="AC142" s="98">
        <v>0</v>
      </c>
      <c r="AD142" s="98">
        <v>0</v>
      </c>
      <c r="AE142" s="66">
        <v>0</v>
      </c>
      <c r="AF142" s="98">
        <v>0</v>
      </c>
      <c r="AG142" s="98">
        <v>0</v>
      </c>
      <c r="AH142" s="98">
        <v>0</v>
      </c>
      <c r="AI142" s="98">
        <v>0</v>
      </c>
      <c r="AJ142" s="98">
        <v>0</v>
      </c>
      <c r="AK142" s="98">
        <v>0</v>
      </c>
      <c r="AL142" s="98">
        <v>0</v>
      </c>
      <c r="AM142" s="98">
        <v>0</v>
      </c>
      <c r="AN142" s="66">
        <v>0</v>
      </c>
      <c r="AO142" s="98">
        <v>0</v>
      </c>
      <c r="AP142" s="98">
        <v>0</v>
      </c>
      <c r="AQ142" s="98">
        <v>0</v>
      </c>
      <c r="AR142" s="98">
        <v>0</v>
      </c>
      <c r="AS142" s="98">
        <v>0</v>
      </c>
      <c r="AT142" s="98">
        <v>0</v>
      </c>
      <c r="AU142" s="98">
        <v>0</v>
      </c>
      <c r="AV142" s="98">
        <v>0</v>
      </c>
      <c r="AW142" s="66">
        <v>0</v>
      </c>
      <c r="AX142" s="98">
        <v>0</v>
      </c>
      <c r="AY142" s="98">
        <v>0</v>
      </c>
      <c r="AZ142" s="98">
        <v>0</v>
      </c>
      <c r="BA142" s="98">
        <v>0</v>
      </c>
      <c r="BB142" s="98">
        <v>0</v>
      </c>
      <c r="BC142" s="98">
        <v>0</v>
      </c>
      <c r="BD142" s="98">
        <v>0</v>
      </c>
      <c r="BE142" s="98">
        <v>0</v>
      </c>
      <c r="BF142" s="66">
        <v>0</v>
      </c>
      <c r="BG142" s="98">
        <v>0</v>
      </c>
      <c r="BH142" s="98">
        <v>0</v>
      </c>
      <c r="BI142" s="98">
        <v>0</v>
      </c>
      <c r="BJ142" s="98">
        <v>0</v>
      </c>
      <c r="BK142" s="98">
        <v>0</v>
      </c>
      <c r="BL142" s="98">
        <v>0</v>
      </c>
      <c r="BM142" s="98">
        <v>0</v>
      </c>
      <c r="BN142" s="98">
        <v>0</v>
      </c>
      <c r="BO142" s="66">
        <v>0</v>
      </c>
      <c r="BP142" s="98">
        <v>0</v>
      </c>
      <c r="BQ142" s="98">
        <v>0</v>
      </c>
      <c r="BR142" s="98">
        <v>0</v>
      </c>
      <c r="BS142" s="98">
        <v>0</v>
      </c>
      <c r="BT142" s="98">
        <v>0</v>
      </c>
      <c r="BU142" s="98">
        <v>0</v>
      </c>
      <c r="BV142" s="98">
        <v>0</v>
      </c>
      <c r="BW142" s="98">
        <v>0</v>
      </c>
      <c r="BX142" s="98">
        <v>0</v>
      </c>
    </row>
    <row r="143" spans="1:76" x14ac:dyDescent="0.35">
      <c r="A143" t="s">
        <v>231</v>
      </c>
      <c r="B143" s="13" t="s">
        <v>241</v>
      </c>
      <c r="C143" s="13" t="s">
        <v>56</v>
      </c>
      <c r="D143" s="13" t="s">
        <v>232</v>
      </c>
      <c r="E143" s="53"/>
      <c r="F143" s="53"/>
      <c r="G143" s="54"/>
      <c r="H143" s="69"/>
      <c r="I143" s="56"/>
      <c r="J143" s="70"/>
      <c r="K143" s="70"/>
      <c r="N143" s="54"/>
      <c r="Q143"/>
      <c r="W143" s="98">
        <v>0</v>
      </c>
      <c r="X143" s="98">
        <v>0</v>
      </c>
      <c r="Y143" s="159">
        <f>'Steel_NG-DR'!$H$35*'Inputs by region '!L$11</f>
        <v>2.1307680894208417E-3</v>
      </c>
      <c r="Z143" s="159">
        <f>'Steel_100%H2-DR'!$H$35*'Inputs by region '!L$11</f>
        <v>2.1307680894208417E-3</v>
      </c>
      <c r="AA143" s="98">
        <v>0</v>
      </c>
      <c r="AB143" s="98">
        <v>0</v>
      </c>
      <c r="AC143" s="98">
        <v>0</v>
      </c>
      <c r="AD143" s="98">
        <v>0</v>
      </c>
      <c r="AE143" s="66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8">
        <v>0</v>
      </c>
      <c r="AL143" s="98">
        <v>0</v>
      </c>
      <c r="AM143" s="98">
        <v>0</v>
      </c>
      <c r="AN143" s="66">
        <v>0</v>
      </c>
      <c r="AO143" s="98">
        <v>0</v>
      </c>
      <c r="AP143" s="98">
        <v>0</v>
      </c>
      <c r="AQ143" s="98">
        <v>0</v>
      </c>
      <c r="AR143" s="98">
        <v>0</v>
      </c>
      <c r="AS143" s="98">
        <v>0</v>
      </c>
      <c r="AT143" s="98">
        <v>0</v>
      </c>
      <c r="AU143" s="98">
        <v>0</v>
      </c>
      <c r="AV143" s="98">
        <v>0</v>
      </c>
      <c r="AW143" s="66">
        <v>0</v>
      </c>
      <c r="AX143" s="98">
        <v>0</v>
      </c>
      <c r="AY143" s="98">
        <v>0</v>
      </c>
      <c r="AZ143" s="98">
        <v>0</v>
      </c>
      <c r="BA143" s="98">
        <v>0</v>
      </c>
      <c r="BB143" s="98">
        <v>0</v>
      </c>
      <c r="BC143" s="98">
        <v>0</v>
      </c>
      <c r="BD143" s="98">
        <v>0</v>
      </c>
      <c r="BE143" s="98">
        <v>0</v>
      </c>
      <c r="BF143" s="66">
        <v>0</v>
      </c>
      <c r="BG143" s="98">
        <v>0</v>
      </c>
      <c r="BH143" s="98">
        <v>0</v>
      </c>
      <c r="BI143" s="98">
        <v>0</v>
      </c>
      <c r="BJ143" s="98">
        <v>0</v>
      </c>
      <c r="BK143" s="98">
        <v>0</v>
      </c>
      <c r="BL143" s="98">
        <v>0</v>
      </c>
      <c r="BM143" s="98">
        <v>0</v>
      </c>
      <c r="BN143" s="98">
        <v>0</v>
      </c>
      <c r="BO143" s="66">
        <v>0</v>
      </c>
      <c r="BP143" s="98">
        <v>0</v>
      </c>
      <c r="BQ143" s="98">
        <v>0</v>
      </c>
      <c r="BR143" s="98">
        <v>0</v>
      </c>
      <c r="BS143" s="98">
        <v>0</v>
      </c>
      <c r="BT143" s="98">
        <v>0</v>
      </c>
      <c r="BU143" s="98">
        <v>0</v>
      </c>
      <c r="BV143" s="98">
        <v>0</v>
      </c>
      <c r="BW143" s="98">
        <v>0</v>
      </c>
      <c r="BX143" s="98">
        <v>0</v>
      </c>
    </row>
    <row r="144" spans="1:76" x14ac:dyDescent="0.35">
      <c r="A144" t="s">
        <v>233</v>
      </c>
      <c r="B144" s="13" t="s">
        <v>241</v>
      </c>
      <c r="C144" s="13" t="s">
        <v>56</v>
      </c>
      <c r="D144" s="13" t="s">
        <v>228</v>
      </c>
      <c r="E144" s="53"/>
      <c r="F144" s="53"/>
      <c r="G144" s="54"/>
      <c r="H144" s="69"/>
      <c r="I144" s="72"/>
      <c r="J144" s="70"/>
      <c r="K144" s="70"/>
      <c r="N144" s="54"/>
      <c r="Q144"/>
      <c r="W144" s="98">
        <v>0</v>
      </c>
      <c r="X144" s="98">
        <v>0</v>
      </c>
      <c r="Y144" s="159">
        <f>'Steel_NG-DR'!$H$36*'Inputs by region '!L$12</f>
        <v>4.3855511603587784E-2</v>
      </c>
      <c r="Z144" s="159">
        <f>'Steel_100%H2-DR'!$H$36*'Inputs by region '!L$12</f>
        <v>4.3855511603587784E-2</v>
      </c>
      <c r="AA144" s="98">
        <v>0</v>
      </c>
      <c r="AB144" s="98">
        <v>0</v>
      </c>
      <c r="AC144" s="98">
        <v>0</v>
      </c>
      <c r="AD144" s="98">
        <v>0</v>
      </c>
      <c r="AE144" s="66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8">
        <v>0</v>
      </c>
      <c r="AL144" s="98">
        <v>0</v>
      </c>
      <c r="AM144" s="98">
        <v>0</v>
      </c>
      <c r="AN144" s="66">
        <v>0</v>
      </c>
      <c r="AO144" s="98">
        <v>0</v>
      </c>
      <c r="AP144" s="98">
        <v>0</v>
      </c>
      <c r="AQ144" s="98">
        <v>0</v>
      </c>
      <c r="AR144" s="98">
        <v>0</v>
      </c>
      <c r="AS144" s="98">
        <v>0</v>
      </c>
      <c r="AT144" s="98">
        <v>0</v>
      </c>
      <c r="AU144" s="98">
        <v>0</v>
      </c>
      <c r="AV144" s="98">
        <v>0</v>
      </c>
      <c r="AW144" s="66">
        <v>0</v>
      </c>
      <c r="AX144" s="98">
        <v>0</v>
      </c>
      <c r="AY144" s="98">
        <v>0</v>
      </c>
      <c r="AZ144" s="98">
        <v>0</v>
      </c>
      <c r="BA144" s="98">
        <v>0</v>
      </c>
      <c r="BB144" s="98">
        <v>0</v>
      </c>
      <c r="BC144" s="98">
        <v>0</v>
      </c>
      <c r="BD144" s="98">
        <v>0</v>
      </c>
      <c r="BE144" s="98">
        <v>0</v>
      </c>
      <c r="BF144" s="66">
        <v>0</v>
      </c>
      <c r="BG144" s="98">
        <v>0</v>
      </c>
      <c r="BH144" s="98">
        <v>0</v>
      </c>
      <c r="BI144" s="98">
        <v>0</v>
      </c>
      <c r="BJ144" s="98">
        <v>0</v>
      </c>
      <c r="BK144" s="98">
        <v>0</v>
      </c>
      <c r="BL144" s="98">
        <v>0</v>
      </c>
      <c r="BM144" s="98">
        <v>0</v>
      </c>
      <c r="BN144" s="98">
        <v>0</v>
      </c>
      <c r="BO144" s="66">
        <v>0</v>
      </c>
      <c r="BP144" s="98">
        <v>0</v>
      </c>
      <c r="BQ144" s="98">
        <v>0</v>
      </c>
      <c r="BR144" s="98">
        <v>0</v>
      </c>
      <c r="BS144" s="98">
        <v>0</v>
      </c>
      <c r="BT144" s="98">
        <v>0</v>
      </c>
      <c r="BU144" s="98">
        <v>0</v>
      </c>
      <c r="BV144" s="98">
        <v>0</v>
      </c>
      <c r="BW144" s="98">
        <v>0</v>
      </c>
      <c r="BX144" s="98">
        <v>0</v>
      </c>
    </row>
    <row r="145" spans="1:82" x14ac:dyDescent="0.35">
      <c r="A145" t="s">
        <v>101</v>
      </c>
      <c r="B145" s="13" t="s">
        <v>241</v>
      </c>
      <c r="C145" s="13" t="s">
        <v>103</v>
      </c>
      <c r="D145" s="13" t="s">
        <v>234</v>
      </c>
      <c r="E145" s="53"/>
      <c r="F145" s="53"/>
      <c r="G145" s="54"/>
      <c r="H145" s="69"/>
      <c r="I145" s="72"/>
      <c r="J145" s="70"/>
      <c r="K145" s="70"/>
      <c r="N145" s="54"/>
      <c r="Q145"/>
      <c r="W145" s="98">
        <v>0</v>
      </c>
      <c r="X145" s="98">
        <v>0</v>
      </c>
      <c r="Y145" s="98">
        <f>('Steel_NG-DR'!$H$37+'Steel_NG-DR'!$H$16)*'Inputs by region '!L$13</f>
        <v>0</v>
      </c>
      <c r="Z145" s="98">
        <f>('Steel_100%H2-DR'!$H$16+'Steel_100%H2-DR'!$H$37)*'Inputs by region '!L$13</f>
        <v>0</v>
      </c>
      <c r="AA145" s="98">
        <v>0</v>
      </c>
      <c r="AB145" s="98">
        <v>0</v>
      </c>
      <c r="AC145" s="98">
        <v>0</v>
      </c>
      <c r="AD145" s="98">
        <v>0</v>
      </c>
      <c r="AE145" s="66">
        <v>0</v>
      </c>
      <c r="AF145" s="98">
        <v>0</v>
      </c>
      <c r="AG145" s="98">
        <v>0</v>
      </c>
      <c r="AH145" s="98">
        <v>0</v>
      </c>
      <c r="AI145" s="98">
        <v>0</v>
      </c>
      <c r="AJ145" s="98">
        <v>0</v>
      </c>
      <c r="AK145" s="98">
        <v>0</v>
      </c>
      <c r="AL145" s="98">
        <v>0</v>
      </c>
      <c r="AM145" s="98">
        <v>0</v>
      </c>
      <c r="AN145" s="66">
        <v>0</v>
      </c>
      <c r="AO145" s="98">
        <v>0</v>
      </c>
      <c r="AP145" s="98">
        <v>0</v>
      </c>
      <c r="AQ145" s="98">
        <v>0</v>
      </c>
      <c r="AR145" s="98">
        <v>0</v>
      </c>
      <c r="AS145" s="98">
        <v>0</v>
      </c>
      <c r="AT145" s="98">
        <v>0</v>
      </c>
      <c r="AU145" s="98">
        <v>0</v>
      </c>
      <c r="AV145" s="98">
        <v>0</v>
      </c>
      <c r="AW145" s="66">
        <v>0</v>
      </c>
      <c r="AX145" s="98">
        <v>0</v>
      </c>
      <c r="AY145" s="98">
        <v>0</v>
      </c>
      <c r="AZ145" s="98">
        <v>0</v>
      </c>
      <c r="BA145" s="98">
        <v>0</v>
      </c>
      <c r="BB145" s="98">
        <v>0</v>
      </c>
      <c r="BC145" s="98">
        <v>0</v>
      </c>
      <c r="BD145" s="98">
        <v>0</v>
      </c>
      <c r="BE145" s="98">
        <v>0</v>
      </c>
      <c r="BF145" s="66">
        <v>0</v>
      </c>
      <c r="BG145" s="98">
        <v>0</v>
      </c>
      <c r="BH145" s="98">
        <v>0</v>
      </c>
      <c r="BI145" s="98">
        <v>0</v>
      </c>
      <c r="BJ145" s="98">
        <v>0</v>
      </c>
      <c r="BK145" s="98">
        <v>0</v>
      </c>
      <c r="BL145" s="98">
        <v>0</v>
      </c>
      <c r="BM145" s="98">
        <v>0</v>
      </c>
      <c r="BN145" s="98">
        <v>0</v>
      </c>
      <c r="BO145" s="66">
        <v>0</v>
      </c>
      <c r="BP145" s="98">
        <v>0</v>
      </c>
      <c r="BQ145" s="98">
        <v>0</v>
      </c>
      <c r="BR145" s="98">
        <v>0</v>
      </c>
      <c r="BS145" s="98">
        <v>0</v>
      </c>
      <c r="BT145" s="98">
        <v>0</v>
      </c>
      <c r="BU145" s="98">
        <v>0</v>
      </c>
      <c r="BV145" s="98">
        <v>0</v>
      </c>
      <c r="BW145" s="98">
        <v>0</v>
      </c>
      <c r="BX145" s="98">
        <v>0</v>
      </c>
    </row>
    <row r="146" spans="1:82" x14ac:dyDescent="0.35">
      <c r="A146" t="s">
        <v>104</v>
      </c>
      <c r="B146" s="13" t="s">
        <v>241</v>
      </c>
      <c r="C146" s="13" t="s">
        <v>103</v>
      </c>
      <c r="D146" s="13" t="s">
        <v>235</v>
      </c>
      <c r="E146" s="53"/>
      <c r="F146" s="53"/>
      <c r="G146" s="54"/>
      <c r="H146" s="69"/>
      <c r="I146" s="72"/>
      <c r="J146" s="70"/>
      <c r="K146" s="70"/>
      <c r="N146" s="54"/>
      <c r="Q146"/>
      <c r="W146" s="98">
        <v>0</v>
      </c>
      <c r="X146" s="98">
        <v>0</v>
      </c>
      <c r="Y146" s="98">
        <f>('Steel_NG-DR'!$H$37+'Steel_NG-DR'!$H$16)*'Inputs by region '!L$14</f>
        <v>0</v>
      </c>
      <c r="Z146" s="98">
        <f>('Steel_100%H2-DR'!$H$16+'Steel_100%H2-DR'!$H$37)*'Inputs by region '!L$14</f>
        <v>0</v>
      </c>
      <c r="AA146" s="98">
        <v>0</v>
      </c>
      <c r="AB146" s="98">
        <v>0</v>
      </c>
      <c r="AC146" s="98">
        <v>0</v>
      </c>
      <c r="AD146" s="98">
        <v>0</v>
      </c>
      <c r="AE146" s="66">
        <v>0</v>
      </c>
      <c r="AF146" s="98">
        <v>0</v>
      </c>
      <c r="AG146" s="98">
        <v>0</v>
      </c>
      <c r="AH146" s="98">
        <v>0</v>
      </c>
      <c r="AI146" s="98">
        <v>0</v>
      </c>
      <c r="AJ146" s="98">
        <v>0</v>
      </c>
      <c r="AK146" s="98">
        <v>0</v>
      </c>
      <c r="AL146" s="98">
        <v>0</v>
      </c>
      <c r="AM146" s="98">
        <v>0</v>
      </c>
      <c r="AN146" s="66">
        <v>0</v>
      </c>
      <c r="AO146" s="98">
        <v>0</v>
      </c>
      <c r="AP146" s="98">
        <v>0</v>
      </c>
      <c r="AQ146" s="98">
        <v>0</v>
      </c>
      <c r="AR146" s="98">
        <v>0</v>
      </c>
      <c r="AS146" s="98">
        <v>0</v>
      </c>
      <c r="AT146" s="98">
        <v>0</v>
      </c>
      <c r="AU146" s="98">
        <v>0</v>
      </c>
      <c r="AV146" s="98">
        <v>0</v>
      </c>
      <c r="AW146" s="66">
        <v>0</v>
      </c>
      <c r="AX146" s="98">
        <v>0</v>
      </c>
      <c r="AY146" s="98">
        <v>0</v>
      </c>
      <c r="AZ146" s="98">
        <v>0</v>
      </c>
      <c r="BA146" s="98">
        <v>0</v>
      </c>
      <c r="BB146" s="98">
        <v>0</v>
      </c>
      <c r="BC146" s="98">
        <v>0</v>
      </c>
      <c r="BD146" s="98">
        <v>0</v>
      </c>
      <c r="BE146" s="98">
        <v>0</v>
      </c>
      <c r="BF146" s="66">
        <v>0</v>
      </c>
      <c r="BG146" s="98">
        <v>0</v>
      </c>
      <c r="BH146" s="98">
        <v>0</v>
      </c>
      <c r="BI146" s="98">
        <v>0</v>
      </c>
      <c r="BJ146" s="98">
        <v>0</v>
      </c>
      <c r="BK146" s="98">
        <v>0</v>
      </c>
      <c r="BL146" s="98">
        <v>0</v>
      </c>
      <c r="BM146" s="98">
        <v>0</v>
      </c>
      <c r="BN146" s="98">
        <v>0</v>
      </c>
      <c r="BO146" s="66">
        <v>0</v>
      </c>
      <c r="BP146" s="98">
        <v>0</v>
      </c>
      <c r="BQ146" s="98">
        <v>0</v>
      </c>
      <c r="BR146" s="98">
        <v>0</v>
      </c>
      <c r="BS146" s="98">
        <v>0</v>
      </c>
      <c r="BT146" s="98">
        <v>0</v>
      </c>
      <c r="BU146" s="98">
        <v>0</v>
      </c>
      <c r="BV146" s="98">
        <v>0</v>
      </c>
      <c r="BW146" s="98">
        <v>0</v>
      </c>
      <c r="BX146" s="98">
        <v>0</v>
      </c>
    </row>
    <row r="147" spans="1:82" ht="15" thickBot="1" x14ac:dyDescent="0.4">
      <c r="A147" t="s">
        <v>106</v>
      </c>
      <c r="B147" s="13" t="s">
        <v>241</v>
      </c>
      <c r="C147" s="13" t="s">
        <v>103</v>
      </c>
      <c r="D147" s="13" t="s">
        <v>236</v>
      </c>
      <c r="E147" s="53"/>
      <c r="F147" s="53"/>
      <c r="G147" s="54"/>
      <c r="H147" s="69"/>
      <c r="I147" s="56"/>
      <c r="J147" s="70"/>
      <c r="K147" s="70"/>
      <c r="N147" s="54"/>
      <c r="Q147"/>
      <c r="W147" s="67">
        <v>0</v>
      </c>
      <c r="X147" s="67">
        <v>0</v>
      </c>
      <c r="Y147" s="67">
        <f>('Steel_NG-DR'!$H$37+'Steel_NG-DR'!$H$16)*'Inputs by region '!L$15</f>
        <v>0</v>
      </c>
      <c r="Z147" s="67">
        <f>('Steel_100%H2-DR'!$H$16+'Steel_100%H2-DR'!$H$37)*'Inputs by region '!L$15</f>
        <v>0</v>
      </c>
      <c r="AA147" s="67">
        <v>0</v>
      </c>
      <c r="AB147" s="67">
        <v>0</v>
      </c>
      <c r="AC147" s="67">
        <v>0</v>
      </c>
      <c r="AD147" s="67">
        <v>0</v>
      </c>
      <c r="AE147" s="68">
        <v>0</v>
      </c>
      <c r="AF147" s="67">
        <v>0</v>
      </c>
      <c r="AG147" s="67">
        <v>0</v>
      </c>
      <c r="AH147" s="67">
        <v>0</v>
      </c>
      <c r="AI147" s="67">
        <v>0</v>
      </c>
      <c r="AJ147" s="67">
        <v>0</v>
      </c>
      <c r="AK147" s="67">
        <v>0</v>
      </c>
      <c r="AL147" s="67">
        <v>0</v>
      </c>
      <c r="AM147" s="67">
        <v>0</v>
      </c>
      <c r="AN147" s="68">
        <v>0</v>
      </c>
      <c r="AO147" s="67">
        <v>0</v>
      </c>
      <c r="AP147" s="67">
        <v>0</v>
      </c>
      <c r="AQ147" s="67">
        <v>0</v>
      </c>
      <c r="AR147" s="67">
        <v>0</v>
      </c>
      <c r="AS147" s="67">
        <v>0</v>
      </c>
      <c r="AT147" s="67">
        <v>0</v>
      </c>
      <c r="AU147" s="67">
        <v>0</v>
      </c>
      <c r="AV147" s="67">
        <v>0</v>
      </c>
      <c r="AW147" s="68">
        <v>0</v>
      </c>
      <c r="AX147" s="67">
        <v>0</v>
      </c>
      <c r="AY147" s="67">
        <v>0</v>
      </c>
      <c r="AZ147" s="67">
        <v>0</v>
      </c>
      <c r="BA147" s="67">
        <v>0</v>
      </c>
      <c r="BB147" s="67">
        <v>0</v>
      </c>
      <c r="BC147" s="67">
        <v>0</v>
      </c>
      <c r="BD147" s="67">
        <v>0</v>
      </c>
      <c r="BE147" s="67">
        <v>0</v>
      </c>
      <c r="BF147" s="68">
        <v>0</v>
      </c>
      <c r="BG147" s="67">
        <v>0</v>
      </c>
      <c r="BH147" s="67">
        <v>0</v>
      </c>
      <c r="BI147" s="67">
        <v>0</v>
      </c>
      <c r="BJ147" s="67">
        <v>0</v>
      </c>
      <c r="BK147" s="67">
        <v>0</v>
      </c>
      <c r="BL147" s="67">
        <v>0</v>
      </c>
      <c r="BM147" s="67">
        <v>0</v>
      </c>
      <c r="BN147" s="67">
        <v>0</v>
      </c>
      <c r="BO147" s="68">
        <v>0</v>
      </c>
      <c r="BP147" s="67">
        <v>0</v>
      </c>
      <c r="BQ147" s="67">
        <v>0</v>
      </c>
      <c r="BR147" s="67">
        <v>0</v>
      </c>
      <c r="BS147" s="67">
        <v>0</v>
      </c>
      <c r="BT147" s="67">
        <v>0</v>
      </c>
      <c r="BU147" s="67">
        <v>0</v>
      </c>
      <c r="BV147" s="67">
        <v>0</v>
      </c>
      <c r="BW147" s="67">
        <v>0</v>
      </c>
      <c r="BX147" s="67">
        <v>0</v>
      </c>
    </row>
    <row r="148" spans="1:82" x14ac:dyDescent="0.35">
      <c r="A148" t="s">
        <v>45</v>
      </c>
      <c r="B148" s="13" t="s">
        <v>29</v>
      </c>
      <c r="C148" s="13" t="s">
        <v>56</v>
      </c>
      <c r="D148" s="13" t="s">
        <v>45</v>
      </c>
      <c r="E148" s="53"/>
      <c r="F148" s="53"/>
      <c r="G148" s="54"/>
      <c r="H148" s="69"/>
      <c r="I148" s="56"/>
      <c r="J148" s="70"/>
      <c r="K148" s="70"/>
      <c r="N148" s="54"/>
      <c r="Q148"/>
      <c r="W148" s="97">
        <v>0</v>
      </c>
      <c r="X148" s="368">
        <f>'Steel_BF-BOF with H2'!H42</f>
        <v>-5.2256119372476872E-2</v>
      </c>
      <c r="Y148" s="207">
        <f>'Steel_NG-DR'!H43</f>
        <v>0.04</v>
      </c>
      <c r="Z148" s="207">
        <f>'Steel_100%H2-DR'!H23+'Steel_100%H2-DR'!H43</f>
        <v>0.04</v>
      </c>
      <c r="AA148" s="367">
        <f>'Steel_BF-BOF with char (+CCUS)'!H30</f>
        <v>-0.26400000000000001</v>
      </c>
      <c r="AB148" s="367">
        <f>'Steel_BF-BOF with char (+CCUS)'!H57</f>
        <v>-0.8528</v>
      </c>
      <c r="AC148" s="367">
        <f>'Steel_BF-BOF with char (+CCUS)'!H70</f>
        <v>-0.8</v>
      </c>
      <c r="AD148" s="97">
        <v>0</v>
      </c>
      <c r="AE148" s="71">
        <v>0</v>
      </c>
      <c r="AF148" s="97">
        <v>0</v>
      </c>
      <c r="AG148" s="97">
        <v>0</v>
      </c>
      <c r="AH148" s="97">
        <v>0</v>
      </c>
      <c r="AI148" s="97">
        <v>0</v>
      </c>
      <c r="AJ148" s="97"/>
      <c r="AK148" s="97"/>
      <c r="AL148" s="97"/>
      <c r="AM148" s="97">
        <v>0</v>
      </c>
      <c r="AN148" s="71">
        <v>0</v>
      </c>
      <c r="AO148" s="97">
        <v>0</v>
      </c>
      <c r="AP148" s="97">
        <v>0</v>
      </c>
      <c r="AQ148" s="97">
        <v>0</v>
      </c>
      <c r="AR148" s="97">
        <v>0</v>
      </c>
      <c r="AS148" s="97"/>
      <c r="AT148" s="97"/>
      <c r="AU148" s="97"/>
      <c r="AV148" s="97">
        <v>0</v>
      </c>
      <c r="AW148" s="71">
        <v>0</v>
      </c>
      <c r="AX148" s="97">
        <v>0</v>
      </c>
      <c r="AY148" s="97">
        <v>0</v>
      </c>
      <c r="AZ148" s="97">
        <v>0</v>
      </c>
      <c r="BA148" s="97">
        <v>0</v>
      </c>
      <c r="BB148" s="97"/>
      <c r="BC148" s="97"/>
      <c r="BD148" s="97"/>
      <c r="BE148" s="97">
        <v>0</v>
      </c>
      <c r="BF148" s="71">
        <v>0</v>
      </c>
      <c r="BG148" s="97">
        <v>0</v>
      </c>
      <c r="BH148" s="97">
        <v>0</v>
      </c>
      <c r="BI148" s="97">
        <v>0</v>
      </c>
      <c r="BJ148" s="97">
        <v>0</v>
      </c>
      <c r="BK148" s="97"/>
      <c r="BL148" s="97"/>
      <c r="BM148" s="97"/>
      <c r="BN148" s="97">
        <v>0</v>
      </c>
      <c r="BO148" s="71">
        <v>0</v>
      </c>
      <c r="BP148" s="97">
        <v>0</v>
      </c>
      <c r="BQ148" s="97">
        <v>0</v>
      </c>
      <c r="BR148" s="97">
        <v>0</v>
      </c>
      <c r="BS148" s="97"/>
      <c r="BT148" s="97"/>
      <c r="BU148" s="97"/>
      <c r="BV148" s="97">
        <v>0</v>
      </c>
      <c r="BW148" s="97">
        <v>0</v>
      </c>
      <c r="BX148" s="97">
        <v>0</v>
      </c>
    </row>
    <row r="149" spans="1:82" ht="15" thickBot="1" x14ac:dyDescent="0.4"/>
    <row r="150" spans="1:82" ht="15" thickBot="1" x14ac:dyDescent="0.4">
      <c r="E150" s="73">
        <f>SUM(E22:E75)</f>
        <v>7</v>
      </c>
      <c r="F150" s="250">
        <f t="shared" ref="F150:V150" si="3">SUM(F22:F75)</f>
        <v>73.060957317118934</v>
      </c>
      <c r="G150" s="250">
        <f t="shared" si="3"/>
        <v>97.114448944395548</v>
      </c>
      <c r="H150" s="74">
        <f t="shared" si="3"/>
        <v>0</v>
      </c>
      <c r="I150" s="74">
        <f t="shared" si="3"/>
        <v>0</v>
      </c>
      <c r="J150" s="74">
        <f t="shared" si="3"/>
        <v>0</v>
      </c>
      <c r="K150" s="74">
        <f t="shared" si="3"/>
        <v>0</v>
      </c>
      <c r="L150" s="74">
        <f t="shared" si="3"/>
        <v>0</v>
      </c>
      <c r="M150" s="74">
        <f t="shared" si="3"/>
        <v>0</v>
      </c>
      <c r="N150" s="74">
        <f t="shared" si="3"/>
        <v>0</v>
      </c>
      <c r="O150" s="74">
        <f t="shared" si="3"/>
        <v>0</v>
      </c>
      <c r="P150" s="74">
        <f t="shared" si="3"/>
        <v>0</v>
      </c>
      <c r="Q150" s="74">
        <f t="shared" si="3"/>
        <v>0</v>
      </c>
      <c r="R150" s="74">
        <f t="shared" si="3"/>
        <v>0</v>
      </c>
      <c r="S150" s="74">
        <f t="shared" si="3"/>
        <v>0</v>
      </c>
      <c r="T150" s="74">
        <f t="shared" si="3"/>
        <v>0</v>
      </c>
      <c r="U150" s="74">
        <f t="shared" si="3"/>
        <v>0</v>
      </c>
      <c r="V150" s="365">
        <f t="shared" si="3"/>
        <v>0</v>
      </c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</row>
    <row r="151" spans="1:82" x14ac:dyDescent="0.35">
      <c r="E151" s="53"/>
      <c r="F151" s="53"/>
      <c r="G151" s="54"/>
      <c r="H151" s="69"/>
      <c r="I151" s="56"/>
      <c r="J151" s="70"/>
      <c r="K151" s="70"/>
      <c r="N151" s="54"/>
      <c r="Q151"/>
    </row>
    <row r="152" spans="1:82" s="13" customFormat="1" x14ac:dyDescent="0.35">
      <c r="A152" s="254" t="s">
        <v>189</v>
      </c>
      <c r="D152" s="7" t="s">
        <v>190</v>
      </c>
      <c r="E152" s="54" t="str" cm="1">
        <f t="array" ref="E152:BX152">TRANSPOSE(D155:D226)</f>
        <v>ST</v>
      </c>
      <c r="F152" s="54" t="str">
        <v>SR_H2</v>
      </c>
      <c r="G152" s="54" t="str">
        <v>ELE_H2</v>
      </c>
      <c r="H152" s="56" t="str">
        <v>ST</v>
      </c>
      <c r="I152" s="72" t="str">
        <v>SR_H2</v>
      </c>
      <c r="J152" s="56" t="str">
        <v>ELE_H2</v>
      </c>
      <c r="K152" s="75" t="str">
        <v>ST</v>
      </c>
      <c r="L152" s="13" t="str">
        <v>SR_H2</v>
      </c>
      <c r="M152" s="13" t="str">
        <v>ELE_H2</v>
      </c>
      <c r="N152" s="54" t="str">
        <v>ST</v>
      </c>
      <c r="O152" s="13" t="str">
        <v>SR_H2</v>
      </c>
      <c r="P152" s="13" t="str">
        <v>ELE_H2</v>
      </c>
      <c r="Q152" s="13" t="str">
        <v>ST</v>
      </c>
      <c r="R152" s="13" t="str">
        <v>SR_H2</v>
      </c>
      <c r="S152" s="13" t="str">
        <v>ELE_H2</v>
      </c>
      <c r="T152" s="13" t="str">
        <v>ST</v>
      </c>
      <c r="U152" s="13" t="str">
        <v>SR_H2</v>
      </c>
      <c r="V152" s="47" t="str">
        <v>ELE_H2</v>
      </c>
      <c r="W152" s="13" t="str">
        <v>M_ST</v>
      </c>
      <c r="X152" s="13" t="str">
        <v>H2BF_ST</v>
      </c>
      <c r="Y152" s="13" t="str">
        <v>NG_ST</v>
      </c>
      <c r="Z152" s="13" t="str">
        <v>H2_ST</v>
      </c>
      <c r="AA152" s="13" t="str">
        <v>CH_ST</v>
      </c>
      <c r="AB152" s="13" t="str">
        <v>CH_CC_ST</v>
      </c>
      <c r="AC152" s="13" t="str">
        <v>CC_ST</v>
      </c>
      <c r="AD152" s="13" t="str">
        <v>SR_H2_P</v>
      </c>
      <c r="AE152" s="13" t="str">
        <v>ELE_H2_P</v>
      </c>
      <c r="AF152" s="13" t="str">
        <v>M_ST</v>
      </c>
      <c r="AG152" s="13" t="str">
        <v>H2BF_ST</v>
      </c>
      <c r="AH152" s="13" t="str">
        <v>NG_ST</v>
      </c>
      <c r="AI152" s="13" t="str">
        <v>H2_ST</v>
      </c>
      <c r="AJ152" s="13" t="str">
        <v>CH_ST</v>
      </c>
      <c r="AK152" s="13" t="str">
        <v>CH_CC_ST</v>
      </c>
      <c r="AL152" s="13" t="str">
        <v>CC_ST</v>
      </c>
      <c r="AM152" s="13" t="str">
        <v>SR_H2_P</v>
      </c>
      <c r="AN152" s="13" t="str">
        <v>ELE_H2_P</v>
      </c>
      <c r="AO152" s="13" t="str">
        <v>M_ST</v>
      </c>
      <c r="AP152" s="13" t="str">
        <v>H2BF_ST</v>
      </c>
      <c r="AQ152" s="13" t="str">
        <v>NG_ST</v>
      </c>
      <c r="AR152" s="13" t="str">
        <v>H2_ST</v>
      </c>
      <c r="AS152" s="13" t="str">
        <v>CH_ST</v>
      </c>
      <c r="AT152" s="13" t="str">
        <v>CH_CC_ST</v>
      </c>
      <c r="AU152" s="13" t="str">
        <v>CC_ST</v>
      </c>
      <c r="AV152" s="13" t="str">
        <v>SR_H2_P</v>
      </c>
      <c r="AW152" s="13" t="str">
        <v>ELE_H2_P</v>
      </c>
      <c r="AX152" s="13" t="str">
        <v>M_ST</v>
      </c>
      <c r="AY152" s="13" t="str">
        <v>H2BF_ST</v>
      </c>
      <c r="AZ152" s="13" t="str">
        <v>NG_ST</v>
      </c>
      <c r="BA152" s="13" t="str">
        <v>H2_ST</v>
      </c>
      <c r="BB152" s="13" t="str">
        <v>CH_ST</v>
      </c>
      <c r="BC152" s="13" t="str">
        <v>CH_CC_ST</v>
      </c>
      <c r="BD152" s="13" t="str">
        <v>CC_ST</v>
      </c>
      <c r="BE152" s="13" t="str">
        <v>SR_H2_P</v>
      </c>
      <c r="BF152" s="13" t="str">
        <v>ELE_H2_P</v>
      </c>
      <c r="BG152" s="13" t="str">
        <v>M_ST</v>
      </c>
      <c r="BH152" s="13" t="str">
        <v>H2BF_ST</v>
      </c>
      <c r="BI152" s="13" t="str">
        <v>NG_ST</v>
      </c>
      <c r="BJ152" s="13" t="str">
        <v>H2_ST</v>
      </c>
      <c r="BK152" s="13" t="str">
        <v>CH_ST</v>
      </c>
      <c r="BL152" s="13" t="str">
        <v>CH_CC_ST</v>
      </c>
      <c r="BM152" s="13" t="str">
        <v>CC_ST</v>
      </c>
      <c r="BN152" s="13" t="str">
        <v>SR_H2_P</v>
      </c>
      <c r="BO152" s="13" t="str">
        <v>ELE_H2_P</v>
      </c>
      <c r="BP152" s="13" t="str">
        <v>M_ST</v>
      </c>
      <c r="BQ152" s="13" t="str">
        <v>H2BF_ST</v>
      </c>
      <c r="BR152" s="13" t="str">
        <v>NG_ST</v>
      </c>
      <c r="BS152" s="13" t="str">
        <v>H2_ST</v>
      </c>
      <c r="BT152" s="13" t="str">
        <v>CH_ST</v>
      </c>
      <c r="BU152" s="13" t="str">
        <v>CH_CC_ST</v>
      </c>
      <c r="BV152" s="13" t="str">
        <v>CC_ST</v>
      </c>
      <c r="BW152" s="13" t="str">
        <v>SR_H2_P</v>
      </c>
      <c r="BX152" s="13" t="str">
        <v>ELE_H2_P</v>
      </c>
      <c r="BY152" s="13" t="s">
        <v>191</v>
      </c>
      <c r="BZ152" s="13" t="s">
        <v>191</v>
      </c>
      <c r="CA152" s="13" t="s">
        <v>191</v>
      </c>
      <c r="CB152" s="13" t="s">
        <v>191</v>
      </c>
      <c r="CC152" s="13" t="s">
        <v>191</v>
      </c>
      <c r="CD152" s="13" t="s">
        <v>191</v>
      </c>
    </row>
    <row r="153" spans="1:82" s="13" customFormat="1" x14ac:dyDescent="0.35">
      <c r="D153" s="7" t="s">
        <v>192</v>
      </c>
      <c r="E153" s="54" t="str" cm="1">
        <f t="array" ref="E153:AW153">TRANSPOSE(B155:B199)</f>
        <v>EU27</v>
      </c>
      <c r="F153" s="54" t="str">
        <v>EU27</v>
      </c>
      <c r="G153" s="54" t="str">
        <v>EU27</v>
      </c>
      <c r="H153" s="69" t="str">
        <v>China</v>
      </c>
      <c r="I153" s="76" t="str">
        <v>China</v>
      </c>
      <c r="J153" s="69" t="str">
        <v>China</v>
      </c>
      <c r="K153" s="70" t="str">
        <v>USA</v>
      </c>
      <c r="L153" s="13" t="str">
        <v>USA</v>
      </c>
      <c r="M153" s="13" t="str">
        <v>USA</v>
      </c>
      <c r="N153" s="54" t="str">
        <v>India</v>
      </c>
      <c r="O153" s="13" t="str">
        <v>India</v>
      </c>
      <c r="P153" s="75" t="str">
        <v>India</v>
      </c>
      <c r="Q153" s="13" t="str">
        <v>Russia</v>
      </c>
      <c r="R153" s="13" t="str">
        <v>Russia</v>
      </c>
      <c r="S153" s="13" t="str">
        <v>Russia</v>
      </c>
      <c r="T153" s="13" t="str">
        <v>RoW</v>
      </c>
      <c r="U153" s="13" t="str">
        <v>RoW</v>
      </c>
      <c r="V153" s="47" t="str">
        <v>RoW</v>
      </c>
      <c r="W153" s="13" t="str">
        <v>EU27</v>
      </c>
      <c r="X153" s="13" t="str">
        <v>EU27</v>
      </c>
      <c r="Y153" s="13" t="str">
        <v>EU27</v>
      </c>
      <c r="Z153" s="13" t="str">
        <v>EU27</v>
      </c>
      <c r="AA153" s="13" t="str">
        <v>EU27</v>
      </c>
      <c r="AB153" s="13" t="str">
        <v>EU27</v>
      </c>
      <c r="AC153" s="13" t="str">
        <v>EU27</v>
      </c>
      <c r="AD153" s="13" t="str">
        <v>EU27</v>
      </c>
      <c r="AE153" s="13" t="str">
        <v>EU27</v>
      </c>
      <c r="AF153" s="13" t="str">
        <v>China</v>
      </c>
      <c r="AG153" s="13" t="str">
        <v>China</v>
      </c>
      <c r="AH153" s="13" t="str">
        <v>China</v>
      </c>
      <c r="AI153" s="13" t="str">
        <v>China</v>
      </c>
      <c r="AJ153" s="13" t="str">
        <v>China</v>
      </c>
      <c r="AK153" s="13" t="str">
        <v>China</v>
      </c>
      <c r="AL153" s="13" t="str">
        <v>China</v>
      </c>
      <c r="AM153" s="13" t="str">
        <v>China</v>
      </c>
      <c r="AN153" s="13" t="str">
        <v>China</v>
      </c>
      <c r="AO153" s="13" t="str">
        <v>USA</v>
      </c>
      <c r="AP153" s="13" t="str">
        <v>USA</v>
      </c>
      <c r="AQ153" s="13" t="str">
        <v>USA</v>
      </c>
      <c r="AR153" s="13" t="str">
        <v>USA</v>
      </c>
      <c r="AS153" s="13" t="str">
        <v>USA</v>
      </c>
      <c r="AT153" s="13" t="str">
        <v>USA</v>
      </c>
      <c r="AU153" s="13" t="str">
        <v>USA</v>
      </c>
      <c r="AV153" s="13" t="str">
        <v>USA</v>
      </c>
      <c r="AW153" s="13" t="str">
        <v>USA</v>
      </c>
      <c r="BY153" s="13" t="s">
        <v>29</v>
      </c>
      <c r="BZ153" s="13" t="s">
        <v>237</v>
      </c>
      <c r="CA153" s="13" t="s">
        <v>238</v>
      </c>
      <c r="CB153" s="13" t="s">
        <v>239</v>
      </c>
      <c r="CC153" s="13" t="s">
        <v>240</v>
      </c>
      <c r="CD153" s="13" t="s">
        <v>241</v>
      </c>
    </row>
    <row r="154" spans="1:82" s="13" customFormat="1" x14ac:dyDescent="0.35">
      <c r="A154" s="6" t="s">
        <v>194</v>
      </c>
      <c r="B154" s="7" t="s">
        <v>192</v>
      </c>
      <c r="C154" s="7" t="s">
        <v>195</v>
      </c>
      <c r="E154" s="54" t="str" cm="1">
        <f t="array" ref="E154:BX154">TRANSPOSE(C155:C226)</f>
        <v>ton</v>
      </c>
      <c r="F154" s="54" t="str">
        <v>kgH2</v>
      </c>
      <c r="G154" s="54" t="str">
        <v>kgH2</v>
      </c>
      <c r="H154" s="69" t="str">
        <v>ton</v>
      </c>
      <c r="I154" s="76" t="str">
        <v>kgH2</v>
      </c>
      <c r="J154" s="69" t="str">
        <v>kgH2</v>
      </c>
      <c r="K154" s="70" t="str">
        <v>ton</v>
      </c>
      <c r="L154" s="13" t="str">
        <v>kgH2</v>
      </c>
      <c r="M154" s="13" t="str">
        <v>kgH2</v>
      </c>
      <c r="N154" s="54" t="str">
        <v>ton</v>
      </c>
      <c r="O154" s="13" t="str">
        <v>kgH2</v>
      </c>
      <c r="P154" s="13" t="str">
        <v>kgH2</v>
      </c>
      <c r="Q154" s="13" t="str">
        <v>ton</v>
      </c>
      <c r="R154" s="13" t="str">
        <v>kgH2</v>
      </c>
      <c r="S154" s="13" t="str">
        <v>kgH2</v>
      </c>
      <c r="T154" s="13" t="str">
        <v>ton</v>
      </c>
      <c r="U154" s="13" t="str">
        <v>kgH2</v>
      </c>
      <c r="V154" s="47" t="str">
        <v>kgH2</v>
      </c>
      <c r="W154" s="13" t="str">
        <v>ton</v>
      </c>
      <c r="X154" s="13" t="str">
        <v>ton</v>
      </c>
      <c r="Y154" s="13" t="str">
        <v>ton</v>
      </c>
      <c r="Z154" s="13" t="str">
        <v>ton</v>
      </c>
      <c r="AA154" s="13" t="str">
        <v>ton</v>
      </c>
      <c r="AB154" s="13" t="str">
        <v>ton</v>
      </c>
      <c r="AC154" s="13" t="str">
        <v>ton</v>
      </c>
      <c r="AD154" s="13" t="str">
        <v>kgH2</v>
      </c>
      <c r="AE154" s="13" t="str">
        <v>kgH2</v>
      </c>
      <c r="AF154" s="13" t="str">
        <v>ton</v>
      </c>
      <c r="AG154" s="13" t="str">
        <v>ton</v>
      </c>
      <c r="AH154" s="13" t="str">
        <v>ton</v>
      </c>
      <c r="AI154" s="13" t="str">
        <v>ton</v>
      </c>
      <c r="AJ154" s="13" t="str">
        <v>ton</v>
      </c>
      <c r="AK154" s="13" t="str">
        <v>ton</v>
      </c>
      <c r="AL154" s="13" t="str">
        <v>ton</v>
      </c>
      <c r="AM154" s="13" t="str">
        <v>kgH2</v>
      </c>
      <c r="AN154" s="13" t="str">
        <v>kgH2</v>
      </c>
      <c r="AO154" s="13" t="str">
        <v>ton</v>
      </c>
      <c r="AP154" s="13" t="str">
        <v>ton</v>
      </c>
      <c r="AQ154" s="13" t="str">
        <v>ton</v>
      </c>
      <c r="AR154" s="13" t="str">
        <v>ton</v>
      </c>
      <c r="AS154" s="13" t="str">
        <v>ton</v>
      </c>
      <c r="AT154" s="13" t="str">
        <v>ton</v>
      </c>
      <c r="AU154" s="13" t="str">
        <v>ton</v>
      </c>
      <c r="AV154" s="13" t="str">
        <v>kgH2</v>
      </c>
      <c r="AW154" s="13" t="str">
        <v>kgH2</v>
      </c>
      <c r="AX154" s="13" t="str">
        <v>ton</v>
      </c>
      <c r="AY154" s="13" t="str">
        <v>ton</v>
      </c>
      <c r="AZ154" s="13" t="str">
        <v>ton</v>
      </c>
      <c r="BA154" s="13" t="str">
        <v>ton</v>
      </c>
      <c r="BB154" s="13" t="str">
        <v>ton</v>
      </c>
      <c r="BC154" s="13" t="str">
        <v>ton</v>
      </c>
      <c r="BD154" s="13" t="str">
        <v>ton</v>
      </c>
      <c r="BE154" s="13" t="str">
        <v>kgH2</v>
      </c>
      <c r="BF154" s="13" t="str">
        <v>kgH2</v>
      </c>
      <c r="BG154" s="13" t="str">
        <v>ton</v>
      </c>
      <c r="BH154" s="13" t="str">
        <v>ton</v>
      </c>
      <c r="BI154" s="13" t="str">
        <v>ton</v>
      </c>
      <c r="BJ154" s="13" t="str">
        <v>ton</v>
      </c>
      <c r="BK154" s="13" t="str">
        <v>ton</v>
      </c>
      <c r="BL154" s="13" t="str">
        <v>ton</v>
      </c>
      <c r="BM154" s="13" t="str">
        <v>ton</v>
      </c>
      <c r="BN154" s="13" t="str">
        <v>kgH2</v>
      </c>
      <c r="BO154" s="13" t="str">
        <v>kgH2</v>
      </c>
      <c r="BP154" s="13" t="str">
        <v>ton</v>
      </c>
      <c r="BQ154" s="13" t="str">
        <v>ton</v>
      </c>
      <c r="BR154" s="13" t="str">
        <v>ton</v>
      </c>
      <c r="BS154" s="13" t="str">
        <v>ton</v>
      </c>
      <c r="BT154" s="13" t="str">
        <v>ton</v>
      </c>
      <c r="BU154" s="13" t="str">
        <v>ton</v>
      </c>
      <c r="BV154" s="13" t="str">
        <v>ton</v>
      </c>
      <c r="BW154" s="13" t="str">
        <v>kgH2</v>
      </c>
      <c r="BX154" s="13" t="str">
        <v>kgH2</v>
      </c>
    </row>
    <row r="155" spans="1:82" x14ac:dyDescent="0.35">
      <c r="A155" t="s">
        <v>196</v>
      </c>
      <c r="B155" s="13" t="s">
        <v>29</v>
      </c>
      <c r="C155" s="13" t="s">
        <v>56</v>
      </c>
      <c r="D155" s="13" t="s">
        <v>197</v>
      </c>
      <c r="E155" s="53"/>
      <c r="F155" s="53"/>
      <c r="G155" s="54"/>
      <c r="H155" s="69"/>
      <c r="I155" s="76"/>
      <c r="J155" s="69"/>
      <c r="K155" s="70"/>
      <c r="N155" s="54"/>
      <c r="Q155"/>
      <c r="W155" s="99" cm="1">
        <f t="array" ref="W155:AE157">MMULT(W4:AE6,MINVERSE(_xlfn.MUNIT(9)*CF22:CF30))</f>
        <v>0</v>
      </c>
      <c r="X155" s="99">
        <v>0</v>
      </c>
      <c r="Y155" s="99">
        <v>0</v>
      </c>
      <c r="Z155" s="99">
        <v>0</v>
      </c>
      <c r="AA155" s="99">
        <v>0</v>
      </c>
      <c r="AB155" s="99">
        <v>0</v>
      </c>
      <c r="AC155" s="99">
        <v>0</v>
      </c>
      <c r="AD155" s="99">
        <v>0</v>
      </c>
      <c r="AE155" s="77">
        <v>0</v>
      </c>
      <c r="AF155" s="99">
        <v>0</v>
      </c>
      <c r="AG155" s="99">
        <v>0</v>
      </c>
      <c r="AH155" s="99">
        <v>0</v>
      </c>
      <c r="AI155" s="99">
        <v>0</v>
      </c>
      <c r="AJ155" s="99">
        <v>0</v>
      </c>
      <c r="AK155" s="99">
        <v>0</v>
      </c>
      <c r="AL155" s="99">
        <v>0</v>
      </c>
      <c r="AM155" s="99">
        <v>0</v>
      </c>
      <c r="AN155" s="77">
        <v>0</v>
      </c>
      <c r="AO155" s="99">
        <v>0</v>
      </c>
      <c r="AP155" s="99">
        <v>0</v>
      </c>
      <c r="AQ155" s="99">
        <v>0</v>
      </c>
      <c r="AR155" s="99">
        <v>0</v>
      </c>
      <c r="AS155" s="99">
        <v>0</v>
      </c>
      <c r="AT155" s="99">
        <v>0</v>
      </c>
      <c r="AU155" s="99">
        <v>0</v>
      </c>
      <c r="AV155" s="99">
        <v>0</v>
      </c>
      <c r="AW155" s="77">
        <v>0</v>
      </c>
      <c r="AX155" s="99">
        <v>0</v>
      </c>
      <c r="AY155" s="99">
        <v>0</v>
      </c>
      <c r="AZ155" s="99">
        <v>0</v>
      </c>
      <c r="BA155" s="99">
        <v>0</v>
      </c>
      <c r="BB155" s="99">
        <v>0</v>
      </c>
      <c r="BC155" s="99">
        <v>0</v>
      </c>
      <c r="BD155" s="99">
        <v>0</v>
      </c>
      <c r="BE155" s="99">
        <v>0</v>
      </c>
      <c r="BF155" s="77">
        <v>0</v>
      </c>
      <c r="BG155" s="99">
        <v>0</v>
      </c>
      <c r="BH155" s="99">
        <v>0</v>
      </c>
      <c r="BI155" s="99">
        <v>0</v>
      </c>
      <c r="BJ155" s="99">
        <v>0</v>
      </c>
      <c r="BK155" s="99">
        <v>0</v>
      </c>
      <c r="BL155" s="99">
        <v>0</v>
      </c>
      <c r="BM155" s="99">
        <v>0</v>
      </c>
      <c r="BN155" s="99">
        <v>0</v>
      </c>
      <c r="BO155" s="77">
        <v>0</v>
      </c>
      <c r="BP155" s="99">
        <v>0</v>
      </c>
      <c r="BQ155" s="99">
        <v>0</v>
      </c>
      <c r="BR155" s="99">
        <v>0</v>
      </c>
      <c r="BS155" s="99">
        <v>0</v>
      </c>
      <c r="BT155" s="99">
        <v>0</v>
      </c>
      <c r="BU155" s="99">
        <v>0</v>
      </c>
      <c r="BV155" s="99">
        <v>0</v>
      </c>
      <c r="BW155" s="99">
        <v>0</v>
      </c>
      <c r="BX155" s="99">
        <v>0</v>
      </c>
      <c r="BY155" s="115" cm="1">
        <f t="array" ref="BY155:CD172">BY4:CD21</f>
        <v>7</v>
      </c>
      <c r="BZ155" s="103">
        <v>0</v>
      </c>
      <c r="CA155" s="103">
        <v>0</v>
      </c>
      <c r="CB155" s="103">
        <v>0</v>
      </c>
      <c r="CC155" s="103">
        <v>0</v>
      </c>
      <c r="CD155" s="119">
        <v>0</v>
      </c>
    </row>
    <row r="156" spans="1:82" x14ac:dyDescent="0.35">
      <c r="A156" s="12" t="s">
        <v>198</v>
      </c>
      <c r="B156" s="13" t="s">
        <v>29</v>
      </c>
      <c r="C156" s="13" t="s">
        <v>53</v>
      </c>
      <c r="D156" s="13" t="s">
        <v>199</v>
      </c>
      <c r="E156" s="53"/>
      <c r="F156" s="53"/>
      <c r="G156" s="54"/>
      <c r="H156" s="70"/>
      <c r="I156" s="56"/>
      <c r="J156" s="70"/>
      <c r="K156" s="70"/>
      <c r="N156" s="54"/>
      <c r="Q156"/>
      <c r="W156" s="99">
        <v>0</v>
      </c>
      <c r="X156" s="373">
        <v>1.8124436429215509</v>
      </c>
      <c r="Y156" s="99">
        <v>71.248513674197383</v>
      </c>
      <c r="Z156" s="99">
        <v>0</v>
      </c>
      <c r="AA156" s="99">
        <v>0</v>
      </c>
      <c r="AB156" s="99">
        <v>0</v>
      </c>
      <c r="AC156" s="99">
        <v>0</v>
      </c>
      <c r="AD156" s="99">
        <v>0</v>
      </c>
      <c r="AE156" s="77">
        <v>0</v>
      </c>
      <c r="AF156" s="99">
        <v>0</v>
      </c>
      <c r="AG156" s="99">
        <v>0</v>
      </c>
      <c r="AH156" s="99">
        <v>0</v>
      </c>
      <c r="AI156" s="99">
        <v>0</v>
      </c>
      <c r="AJ156" s="99">
        <v>0</v>
      </c>
      <c r="AK156" s="99">
        <v>0</v>
      </c>
      <c r="AL156" s="99">
        <v>0</v>
      </c>
      <c r="AM156" s="99">
        <v>0</v>
      </c>
      <c r="AN156" s="77">
        <v>0</v>
      </c>
      <c r="AO156" s="99">
        <v>0</v>
      </c>
      <c r="AP156" s="99">
        <v>0</v>
      </c>
      <c r="AQ156" s="99">
        <v>0</v>
      </c>
      <c r="AR156" s="99">
        <v>0</v>
      </c>
      <c r="AS156" s="99">
        <v>0</v>
      </c>
      <c r="AT156" s="99">
        <v>0</v>
      </c>
      <c r="AU156" s="99">
        <v>0</v>
      </c>
      <c r="AV156" s="99">
        <v>0</v>
      </c>
      <c r="AW156" s="77">
        <v>0</v>
      </c>
      <c r="AX156" s="99">
        <v>0</v>
      </c>
      <c r="AY156" s="99">
        <v>0</v>
      </c>
      <c r="AZ156" s="99">
        <v>0</v>
      </c>
      <c r="BA156" s="99">
        <v>0</v>
      </c>
      <c r="BB156" s="99">
        <v>0</v>
      </c>
      <c r="BC156" s="99">
        <v>0</v>
      </c>
      <c r="BD156" s="99">
        <v>0</v>
      </c>
      <c r="BE156" s="99">
        <v>0</v>
      </c>
      <c r="BF156" s="77">
        <v>0</v>
      </c>
      <c r="BG156" s="99">
        <v>0</v>
      </c>
      <c r="BH156" s="99">
        <v>0</v>
      </c>
      <c r="BI156" s="99">
        <v>0</v>
      </c>
      <c r="BJ156" s="99">
        <v>0</v>
      </c>
      <c r="BK156" s="99">
        <v>0</v>
      </c>
      <c r="BL156" s="99">
        <v>0</v>
      </c>
      <c r="BM156" s="99">
        <v>0</v>
      </c>
      <c r="BN156" s="99">
        <v>0</v>
      </c>
      <c r="BO156" s="77">
        <v>0</v>
      </c>
      <c r="BP156" s="99">
        <v>0</v>
      </c>
      <c r="BQ156" s="99">
        <v>0</v>
      </c>
      <c r="BR156" s="99">
        <v>0</v>
      </c>
      <c r="BS156" s="99">
        <v>0</v>
      </c>
      <c r="BT156" s="99">
        <v>0</v>
      </c>
      <c r="BU156" s="99">
        <v>0</v>
      </c>
      <c r="BV156" s="99">
        <v>0</v>
      </c>
      <c r="BW156" s="99">
        <v>0</v>
      </c>
      <c r="BX156" s="99">
        <v>0</v>
      </c>
      <c r="BY156" s="120">
        <v>0</v>
      </c>
      <c r="BZ156" s="103">
        <v>0</v>
      </c>
      <c r="CA156" s="103">
        <v>0</v>
      </c>
      <c r="CB156" s="103">
        <v>0</v>
      </c>
      <c r="CC156" s="103">
        <v>0</v>
      </c>
      <c r="CD156" s="119">
        <v>0</v>
      </c>
    </row>
    <row r="157" spans="1:82" ht="15" thickBot="1" x14ac:dyDescent="0.4">
      <c r="A157" t="s">
        <v>200</v>
      </c>
      <c r="B157" s="13" t="s">
        <v>29</v>
      </c>
      <c r="C157" s="13" t="s">
        <v>53</v>
      </c>
      <c r="D157" s="13" t="s">
        <v>201</v>
      </c>
      <c r="E157" s="53"/>
      <c r="F157" s="53"/>
      <c r="G157" s="53"/>
      <c r="H157" s="70"/>
      <c r="I157" s="70"/>
      <c r="J157" s="70"/>
      <c r="K157" s="70"/>
      <c r="N157" s="53"/>
      <c r="W157" s="123">
        <v>0</v>
      </c>
      <c r="X157" s="374">
        <v>7.2497745716862037</v>
      </c>
      <c r="Y157" s="78">
        <v>0</v>
      </c>
      <c r="Z157" s="78">
        <v>89.864674372709345</v>
      </c>
      <c r="AA157" s="78">
        <v>0</v>
      </c>
      <c r="AB157" s="78">
        <v>0</v>
      </c>
      <c r="AC157" s="78">
        <v>0</v>
      </c>
      <c r="AD157" s="78">
        <v>0</v>
      </c>
      <c r="AE157" s="79">
        <v>0</v>
      </c>
      <c r="AF157" s="123">
        <v>0</v>
      </c>
      <c r="AG157" s="78">
        <v>0</v>
      </c>
      <c r="AH157" s="78">
        <v>0</v>
      </c>
      <c r="AI157" s="78">
        <v>0</v>
      </c>
      <c r="AJ157" s="78">
        <v>0</v>
      </c>
      <c r="AK157" s="78">
        <v>0</v>
      </c>
      <c r="AL157" s="78">
        <v>0</v>
      </c>
      <c r="AM157" s="78">
        <v>0</v>
      </c>
      <c r="AN157" s="79">
        <v>0</v>
      </c>
      <c r="AO157" s="123">
        <v>0</v>
      </c>
      <c r="AP157" s="78">
        <v>0</v>
      </c>
      <c r="AQ157" s="78">
        <v>0</v>
      </c>
      <c r="AR157" s="78">
        <v>0</v>
      </c>
      <c r="AS157" s="78">
        <v>0</v>
      </c>
      <c r="AT157" s="78">
        <v>0</v>
      </c>
      <c r="AU157" s="78">
        <v>0</v>
      </c>
      <c r="AV157" s="78">
        <v>0</v>
      </c>
      <c r="AW157" s="79">
        <v>0</v>
      </c>
      <c r="AX157" s="123">
        <v>0</v>
      </c>
      <c r="AY157" s="78">
        <v>0</v>
      </c>
      <c r="AZ157" s="78">
        <v>0</v>
      </c>
      <c r="BA157" s="78">
        <v>0</v>
      </c>
      <c r="BB157" s="78">
        <v>0</v>
      </c>
      <c r="BC157" s="78">
        <v>0</v>
      </c>
      <c r="BD157" s="78">
        <v>0</v>
      </c>
      <c r="BE157" s="78">
        <v>0</v>
      </c>
      <c r="BF157" s="79">
        <v>0</v>
      </c>
      <c r="BG157" s="123">
        <v>0</v>
      </c>
      <c r="BH157" s="78">
        <v>0</v>
      </c>
      <c r="BI157" s="78">
        <v>0</v>
      </c>
      <c r="BJ157" s="78">
        <v>0</v>
      </c>
      <c r="BK157" s="78">
        <v>0</v>
      </c>
      <c r="BL157" s="78">
        <v>0</v>
      </c>
      <c r="BM157" s="78">
        <v>0</v>
      </c>
      <c r="BN157" s="78">
        <v>0</v>
      </c>
      <c r="BO157" s="79">
        <v>0</v>
      </c>
      <c r="BP157" s="123">
        <v>0</v>
      </c>
      <c r="BQ157" s="78">
        <v>0</v>
      </c>
      <c r="BR157" s="78">
        <v>0</v>
      </c>
      <c r="BS157" s="78">
        <v>0</v>
      </c>
      <c r="BT157" s="78">
        <v>0</v>
      </c>
      <c r="BU157" s="78">
        <v>0</v>
      </c>
      <c r="BV157" s="78">
        <v>0</v>
      </c>
      <c r="BW157" s="78">
        <v>0</v>
      </c>
      <c r="BX157" s="78">
        <v>0</v>
      </c>
      <c r="BY157" s="116">
        <v>0</v>
      </c>
      <c r="BZ157" s="104">
        <v>0</v>
      </c>
      <c r="CA157" s="104">
        <v>0</v>
      </c>
      <c r="CB157" s="104">
        <v>0</v>
      </c>
      <c r="CC157" s="104">
        <v>0</v>
      </c>
      <c r="CD157" s="105">
        <v>0</v>
      </c>
    </row>
    <row r="158" spans="1:82" x14ac:dyDescent="0.35">
      <c r="A158" t="s">
        <v>196</v>
      </c>
      <c r="B158" s="13" t="s">
        <v>237</v>
      </c>
      <c r="C158" s="13" t="s">
        <v>56</v>
      </c>
      <c r="D158" s="13" t="s">
        <v>197</v>
      </c>
      <c r="E158" s="53"/>
      <c r="F158" s="53"/>
      <c r="G158" s="53"/>
      <c r="H158" s="70"/>
      <c r="I158" s="70"/>
      <c r="J158" s="70"/>
      <c r="K158" s="70"/>
      <c r="N158" s="53"/>
      <c r="W158" s="99">
        <v>0</v>
      </c>
      <c r="X158" s="99">
        <v>0</v>
      </c>
      <c r="Y158" s="99">
        <v>0</v>
      </c>
      <c r="Z158" s="99">
        <v>0</v>
      </c>
      <c r="AA158" s="99">
        <v>0</v>
      </c>
      <c r="AB158" s="99">
        <v>0</v>
      </c>
      <c r="AC158" s="99">
        <v>0</v>
      </c>
      <c r="AD158" s="99">
        <v>0</v>
      </c>
      <c r="AE158" s="77">
        <v>0</v>
      </c>
      <c r="AF158" s="99">
        <v>0</v>
      </c>
      <c r="AG158" s="99">
        <v>0</v>
      </c>
      <c r="AH158" s="99">
        <v>0</v>
      </c>
      <c r="AI158" s="99">
        <v>0</v>
      </c>
      <c r="AJ158" s="99">
        <v>0</v>
      </c>
      <c r="AK158" s="99">
        <v>0</v>
      </c>
      <c r="AL158" s="99">
        <v>0</v>
      </c>
      <c r="AM158" s="99">
        <v>0</v>
      </c>
      <c r="AN158" s="77">
        <v>0</v>
      </c>
      <c r="AO158" s="99">
        <v>0</v>
      </c>
      <c r="AP158" s="99">
        <v>0</v>
      </c>
      <c r="AQ158" s="99">
        <v>0</v>
      </c>
      <c r="AR158" s="99">
        <v>0</v>
      </c>
      <c r="AS158" s="99">
        <v>0</v>
      </c>
      <c r="AT158" s="99">
        <v>0</v>
      </c>
      <c r="AU158" s="99">
        <v>0</v>
      </c>
      <c r="AV158" s="99">
        <v>0</v>
      </c>
      <c r="AW158" s="77">
        <v>0</v>
      </c>
      <c r="AX158" s="99">
        <v>0</v>
      </c>
      <c r="AY158" s="99">
        <v>0</v>
      </c>
      <c r="AZ158" s="99">
        <v>0</v>
      </c>
      <c r="BA158" s="99">
        <v>0</v>
      </c>
      <c r="BB158" s="99">
        <v>0</v>
      </c>
      <c r="BC158" s="99">
        <v>0</v>
      </c>
      <c r="BD158" s="99">
        <v>0</v>
      </c>
      <c r="BE158" s="99">
        <v>0</v>
      </c>
      <c r="BF158" s="77">
        <v>0</v>
      </c>
      <c r="BG158" s="99">
        <v>0</v>
      </c>
      <c r="BH158" s="99">
        <v>0</v>
      </c>
      <c r="BI158" s="99">
        <v>0</v>
      </c>
      <c r="BJ158" s="99">
        <v>0</v>
      </c>
      <c r="BK158" s="99">
        <v>0</v>
      </c>
      <c r="BL158" s="99">
        <v>0</v>
      </c>
      <c r="BM158" s="99">
        <v>0</v>
      </c>
      <c r="BN158" s="99">
        <v>0</v>
      </c>
      <c r="BO158" s="77">
        <v>0</v>
      </c>
      <c r="BP158" s="99">
        <v>0</v>
      </c>
      <c r="BQ158" s="99">
        <v>0</v>
      </c>
      <c r="BR158" s="99">
        <v>0</v>
      </c>
      <c r="BS158" s="99">
        <v>0</v>
      </c>
      <c r="BT158" s="99">
        <v>0</v>
      </c>
      <c r="BU158" s="99">
        <v>0</v>
      </c>
      <c r="BV158" s="99">
        <v>0</v>
      </c>
      <c r="BW158" s="99">
        <v>0</v>
      </c>
      <c r="BX158" s="99">
        <v>0</v>
      </c>
      <c r="BY158" s="115">
        <v>0</v>
      </c>
      <c r="BZ158" s="103">
        <v>0</v>
      </c>
      <c r="CA158" s="103">
        <v>0</v>
      </c>
      <c r="CB158" s="103">
        <v>0</v>
      </c>
      <c r="CC158" s="103">
        <v>0</v>
      </c>
      <c r="CD158" s="119">
        <v>0</v>
      </c>
    </row>
    <row r="159" spans="1:82" x14ac:dyDescent="0.35">
      <c r="A159" s="12" t="s">
        <v>198</v>
      </c>
      <c r="B159" s="13" t="s">
        <v>237</v>
      </c>
      <c r="C159" s="13" t="s">
        <v>53</v>
      </c>
      <c r="D159" s="13" t="s">
        <v>199</v>
      </c>
      <c r="E159" s="53"/>
      <c r="F159" s="53"/>
      <c r="G159" s="53"/>
      <c r="H159" s="70"/>
      <c r="I159" s="70"/>
      <c r="J159" s="70"/>
      <c r="K159" s="70"/>
      <c r="N159" s="53"/>
      <c r="W159" s="99">
        <v>0</v>
      </c>
      <c r="X159" s="99">
        <v>0</v>
      </c>
      <c r="Y159" s="99">
        <v>0</v>
      </c>
      <c r="Z159" s="99">
        <v>0</v>
      </c>
      <c r="AA159" s="99">
        <v>0</v>
      </c>
      <c r="AB159" s="99">
        <v>0</v>
      </c>
      <c r="AC159" s="99">
        <v>0</v>
      </c>
      <c r="AD159" s="99">
        <v>0</v>
      </c>
      <c r="AE159" s="77">
        <v>0</v>
      </c>
      <c r="AF159" s="99">
        <v>0</v>
      </c>
      <c r="AG159" s="99">
        <v>0</v>
      </c>
      <c r="AH159" s="99">
        <v>0</v>
      </c>
      <c r="AI159" s="99">
        <v>0</v>
      </c>
      <c r="AJ159" s="99">
        <v>0</v>
      </c>
      <c r="AK159" s="99">
        <v>0</v>
      </c>
      <c r="AL159" s="99">
        <v>0</v>
      </c>
      <c r="AM159" s="99">
        <v>0</v>
      </c>
      <c r="AN159" s="77">
        <v>0</v>
      </c>
      <c r="AO159" s="99">
        <v>0</v>
      </c>
      <c r="AP159" s="99">
        <v>0</v>
      </c>
      <c r="AQ159" s="99">
        <v>0</v>
      </c>
      <c r="AR159" s="99">
        <v>0</v>
      </c>
      <c r="AS159" s="99">
        <v>0</v>
      </c>
      <c r="AT159" s="99">
        <v>0</v>
      </c>
      <c r="AU159" s="99">
        <v>0</v>
      </c>
      <c r="AV159" s="99">
        <v>0</v>
      </c>
      <c r="AW159" s="77">
        <v>0</v>
      </c>
      <c r="AX159" s="99">
        <v>0</v>
      </c>
      <c r="AY159" s="99">
        <v>0</v>
      </c>
      <c r="AZ159" s="99">
        <v>0</v>
      </c>
      <c r="BA159" s="99">
        <v>0</v>
      </c>
      <c r="BB159" s="99">
        <v>0</v>
      </c>
      <c r="BC159" s="99">
        <v>0</v>
      </c>
      <c r="BD159" s="99">
        <v>0</v>
      </c>
      <c r="BE159" s="99">
        <v>0</v>
      </c>
      <c r="BF159" s="77">
        <v>0</v>
      </c>
      <c r="BG159" s="99">
        <v>0</v>
      </c>
      <c r="BH159" s="99">
        <v>0</v>
      </c>
      <c r="BI159" s="99">
        <v>0</v>
      </c>
      <c r="BJ159" s="99">
        <v>0</v>
      </c>
      <c r="BK159" s="99">
        <v>0</v>
      </c>
      <c r="BL159" s="99">
        <v>0</v>
      </c>
      <c r="BM159" s="99">
        <v>0</v>
      </c>
      <c r="BN159" s="99">
        <v>0</v>
      </c>
      <c r="BO159" s="77">
        <v>0</v>
      </c>
      <c r="BP159" s="99">
        <v>0</v>
      </c>
      <c r="BQ159" s="99">
        <v>0</v>
      </c>
      <c r="BR159" s="99">
        <v>0</v>
      </c>
      <c r="BS159" s="99">
        <v>0</v>
      </c>
      <c r="BT159" s="99">
        <v>0</v>
      </c>
      <c r="BU159" s="99">
        <v>0</v>
      </c>
      <c r="BV159" s="99">
        <v>0</v>
      </c>
      <c r="BW159" s="99">
        <v>0</v>
      </c>
      <c r="BX159" s="99">
        <v>0</v>
      </c>
      <c r="BY159" s="115">
        <v>0</v>
      </c>
      <c r="BZ159" s="103">
        <v>0</v>
      </c>
      <c r="CA159" s="103">
        <v>0</v>
      </c>
      <c r="CB159" s="103">
        <v>0</v>
      </c>
      <c r="CC159" s="103">
        <v>0</v>
      </c>
      <c r="CD159" s="119">
        <v>0</v>
      </c>
    </row>
    <row r="160" spans="1:82" ht="15" thickBot="1" x14ac:dyDescent="0.4">
      <c r="A160" t="s">
        <v>200</v>
      </c>
      <c r="B160" s="13" t="s">
        <v>237</v>
      </c>
      <c r="C160" s="13" t="s">
        <v>53</v>
      </c>
      <c r="D160" s="13" t="s">
        <v>201</v>
      </c>
      <c r="E160" s="53"/>
      <c r="F160" s="53"/>
      <c r="G160" s="53"/>
      <c r="H160" s="70"/>
      <c r="I160" s="70"/>
      <c r="J160" s="70"/>
      <c r="K160" s="70"/>
      <c r="N160" s="53"/>
      <c r="W160" s="78">
        <v>0</v>
      </c>
      <c r="X160" s="78">
        <v>0</v>
      </c>
      <c r="Y160" s="78">
        <v>0</v>
      </c>
      <c r="Z160" s="78">
        <v>0</v>
      </c>
      <c r="AA160" s="78">
        <v>0</v>
      </c>
      <c r="AB160" s="78">
        <v>0</v>
      </c>
      <c r="AC160" s="78">
        <v>0</v>
      </c>
      <c r="AD160" s="78">
        <v>0</v>
      </c>
      <c r="AE160" s="79">
        <v>0</v>
      </c>
      <c r="AF160" s="78">
        <v>0</v>
      </c>
      <c r="AG160" s="78">
        <v>0</v>
      </c>
      <c r="AH160" s="78">
        <v>0</v>
      </c>
      <c r="AI160" s="78">
        <v>0</v>
      </c>
      <c r="AJ160" s="78">
        <v>0</v>
      </c>
      <c r="AK160" s="78">
        <v>0</v>
      </c>
      <c r="AL160" s="78">
        <v>0</v>
      </c>
      <c r="AM160" s="78">
        <v>0</v>
      </c>
      <c r="AN160" s="79">
        <v>0</v>
      </c>
      <c r="AO160" s="78">
        <v>0</v>
      </c>
      <c r="AP160" s="78">
        <v>0</v>
      </c>
      <c r="AQ160" s="78">
        <v>0</v>
      </c>
      <c r="AR160" s="78">
        <v>0</v>
      </c>
      <c r="AS160" s="78">
        <v>0</v>
      </c>
      <c r="AT160" s="78">
        <v>0</v>
      </c>
      <c r="AU160" s="78">
        <v>0</v>
      </c>
      <c r="AV160" s="78">
        <v>0</v>
      </c>
      <c r="AW160" s="79">
        <v>0</v>
      </c>
      <c r="AX160" s="78">
        <v>0</v>
      </c>
      <c r="AY160" s="78">
        <v>0</v>
      </c>
      <c r="AZ160" s="78">
        <v>0</v>
      </c>
      <c r="BA160" s="78">
        <v>0</v>
      </c>
      <c r="BB160" s="78">
        <v>0</v>
      </c>
      <c r="BC160" s="78">
        <v>0</v>
      </c>
      <c r="BD160" s="78">
        <v>0</v>
      </c>
      <c r="BE160" s="78">
        <v>0</v>
      </c>
      <c r="BF160" s="79">
        <v>0</v>
      </c>
      <c r="BG160" s="78">
        <v>0</v>
      </c>
      <c r="BH160" s="78">
        <v>0</v>
      </c>
      <c r="BI160" s="78">
        <v>0</v>
      </c>
      <c r="BJ160" s="78">
        <v>0</v>
      </c>
      <c r="BK160" s="78">
        <v>0</v>
      </c>
      <c r="BL160" s="78">
        <v>0</v>
      </c>
      <c r="BM160" s="78">
        <v>0</v>
      </c>
      <c r="BN160" s="78">
        <v>0</v>
      </c>
      <c r="BO160" s="79">
        <v>0</v>
      </c>
      <c r="BP160" s="78">
        <v>0</v>
      </c>
      <c r="BQ160" s="78">
        <v>0</v>
      </c>
      <c r="BR160" s="78">
        <v>0</v>
      </c>
      <c r="BS160" s="78">
        <v>0</v>
      </c>
      <c r="BT160" s="78">
        <v>0</v>
      </c>
      <c r="BU160" s="78">
        <v>0</v>
      </c>
      <c r="BV160" s="78">
        <v>0</v>
      </c>
      <c r="BW160" s="78">
        <v>0</v>
      </c>
      <c r="BX160" s="78">
        <v>0</v>
      </c>
      <c r="BY160" s="116">
        <v>0</v>
      </c>
      <c r="BZ160" s="104">
        <v>0</v>
      </c>
      <c r="CA160" s="104">
        <v>0</v>
      </c>
      <c r="CB160" s="104">
        <v>0</v>
      </c>
      <c r="CC160" s="104">
        <v>0</v>
      </c>
      <c r="CD160" s="105">
        <v>0</v>
      </c>
    </row>
    <row r="161" spans="1:86" x14ac:dyDescent="0.35">
      <c r="A161" t="s">
        <v>196</v>
      </c>
      <c r="B161" s="13" t="s">
        <v>238</v>
      </c>
      <c r="C161" s="13" t="s">
        <v>56</v>
      </c>
      <c r="D161" s="13" t="s">
        <v>197</v>
      </c>
      <c r="E161" s="53"/>
      <c r="F161" s="53"/>
      <c r="G161" s="53"/>
      <c r="H161" s="70"/>
      <c r="I161" s="70"/>
      <c r="J161" s="70"/>
      <c r="K161" s="70"/>
      <c r="N161" s="53"/>
      <c r="W161" s="99">
        <v>0</v>
      </c>
      <c r="X161" s="99">
        <v>0</v>
      </c>
      <c r="Y161" s="99">
        <v>0</v>
      </c>
      <c r="Z161" s="99">
        <v>0</v>
      </c>
      <c r="AA161" s="99">
        <v>0</v>
      </c>
      <c r="AB161" s="99">
        <v>0</v>
      </c>
      <c r="AC161" s="99">
        <v>0</v>
      </c>
      <c r="AD161" s="99">
        <v>0</v>
      </c>
      <c r="AE161" s="77">
        <v>0</v>
      </c>
      <c r="AF161" s="99">
        <v>0</v>
      </c>
      <c r="AG161" s="99">
        <v>0</v>
      </c>
      <c r="AH161" s="99">
        <v>0</v>
      </c>
      <c r="AI161" s="99">
        <v>0</v>
      </c>
      <c r="AJ161" s="99">
        <v>0</v>
      </c>
      <c r="AK161" s="99">
        <v>0</v>
      </c>
      <c r="AL161" s="99">
        <v>0</v>
      </c>
      <c r="AM161" s="99">
        <v>0</v>
      </c>
      <c r="AN161" s="77">
        <v>0</v>
      </c>
      <c r="AO161" s="99">
        <v>0</v>
      </c>
      <c r="AP161" s="99">
        <v>0</v>
      </c>
      <c r="AQ161" s="99">
        <v>0</v>
      </c>
      <c r="AR161" s="99">
        <v>0</v>
      </c>
      <c r="AS161" s="99">
        <v>0</v>
      </c>
      <c r="AT161" s="99">
        <v>0</v>
      </c>
      <c r="AU161" s="99">
        <v>0</v>
      </c>
      <c r="AV161" s="99">
        <v>0</v>
      </c>
      <c r="AW161" s="77">
        <v>0</v>
      </c>
      <c r="AX161" s="99">
        <v>0</v>
      </c>
      <c r="AY161" s="99">
        <v>0</v>
      </c>
      <c r="AZ161" s="99">
        <v>0</v>
      </c>
      <c r="BA161" s="99">
        <v>0</v>
      </c>
      <c r="BB161" s="99">
        <v>0</v>
      </c>
      <c r="BC161" s="99">
        <v>0</v>
      </c>
      <c r="BD161" s="99">
        <v>0</v>
      </c>
      <c r="BE161" s="99">
        <v>0</v>
      </c>
      <c r="BF161" s="77">
        <v>0</v>
      </c>
      <c r="BG161" s="99">
        <v>0</v>
      </c>
      <c r="BH161" s="99">
        <v>0</v>
      </c>
      <c r="BI161" s="99">
        <v>0</v>
      </c>
      <c r="BJ161" s="99">
        <v>0</v>
      </c>
      <c r="BK161" s="99">
        <v>0</v>
      </c>
      <c r="BL161" s="99">
        <v>0</v>
      </c>
      <c r="BM161" s="99">
        <v>0</v>
      </c>
      <c r="BN161" s="99">
        <v>0</v>
      </c>
      <c r="BO161" s="77">
        <v>0</v>
      </c>
      <c r="BP161" s="99">
        <v>0</v>
      </c>
      <c r="BQ161" s="99">
        <v>0</v>
      </c>
      <c r="BR161" s="99">
        <v>0</v>
      </c>
      <c r="BS161" s="99">
        <v>0</v>
      </c>
      <c r="BT161" s="99">
        <v>0</v>
      </c>
      <c r="BU161" s="99">
        <v>0</v>
      </c>
      <c r="BV161" s="99">
        <v>0</v>
      </c>
      <c r="BW161" s="99">
        <v>0</v>
      </c>
      <c r="BX161" s="99">
        <v>0</v>
      </c>
      <c r="BY161" s="115">
        <v>0</v>
      </c>
      <c r="BZ161" s="103">
        <v>0</v>
      </c>
      <c r="CA161" s="103">
        <v>0</v>
      </c>
      <c r="CB161" s="103">
        <v>0</v>
      </c>
      <c r="CC161" s="103">
        <v>0</v>
      </c>
      <c r="CD161" s="119">
        <v>0</v>
      </c>
    </row>
    <row r="162" spans="1:86" x14ac:dyDescent="0.35">
      <c r="A162" s="12" t="s">
        <v>198</v>
      </c>
      <c r="B162" s="13" t="s">
        <v>238</v>
      </c>
      <c r="C162" s="13" t="s">
        <v>53</v>
      </c>
      <c r="D162" s="13" t="s">
        <v>199</v>
      </c>
      <c r="E162" s="53"/>
      <c r="F162" s="53"/>
      <c r="G162" s="53"/>
      <c r="H162" s="70"/>
      <c r="I162" s="70"/>
      <c r="J162" s="70"/>
      <c r="K162" s="70"/>
      <c r="N162" s="53"/>
      <c r="W162" s="99">
        <v>0</v>
      </c>
      <c r="X162" s="99">
        <v>0</v>
      </c>
      <c r="Y162" s="99">
        <v>0</v>
      </c>
      <c r="Z162" s="99">
        <v>0</v>
      </c>
      <c r="AA162" s="99">
        <v>0</v>
      </c>
      <c r="AB162" s="99">
        <v>0</v>
      </c>
      <c r="AC162" s="99">
        <v>0</v>
      </c>
      <c r="AD162" s="99">
        <v>0</v>
      </c>
      <c r="AE162" s="77">
        <v>0</v>
      </c>
      <c r="AF162" s="99">
        <v>0</v>
      </c>
      <c r="AG162" s="99">
        <v>0</v>
      </c>
      <c r="AH162" s="99">
        <v>0</v>
      </c>
      <c r="AI162" s="99">
        <v>0</v>
      </c>
      <c r="AJ162" s="99">
        <v>0</v>
      </c>
      <c r="AK162" s="99">
        <v>0</v>
      </c>
      <c r="AL162" s="99">
        <v>0</v>
      </c>
      <c r="AM162" s="99">
        <v>0</v>
      </c>
      <c r="AN162" s="77">
        <v>0</v>
      </c>
      <c r="AO162" s="99">
        <v>0</v>
      </c>
      <c r="AP162" s="99">
        <v>0</v>
      </c>
      <c r="AQ162" s="99">
        <v>0</v>
      </c>
      <c r="AR162" s="99">
        <v>0</v>
      </c>
      <c r="AS162" s="99">
        <v>0</v>
      </c>
      <c r="AT162" s="99">
        <v>0</v>
      </c>
      <c r="AU162" s="99">
        <v>0</v>
      </c>
      <c r="AV162" s="99">
        <v>0</v>
      </c>
      <c r="AW162" s="77">
        <v>0</v>
      </c>
      <c r="AX162" s="99">
        <v>0</v>
      </c>
      <c r="AY162" s="99">
        <v>0</v>
      </c>
      <c r="AZ162" s="99">
        <v>0</v>
      </c>
      <c r="BA162" s="99">
        <v>0</v>
      </c>
      <c r="BB162" s="99">
        <v>0</v>
      </c>
      <c r="BC162" s="99">
        <v>0</v>
      </c>
      <c r="BD162" s="99">
        <v>0</v>
      </c>
      <c r="BE162" s="99">
        <v>0</v>
      </c>
      <c r="BF162" s="77">
        <v>0</v>
      </c>
      <c r="BG162" s="99">
        <v>0</v>
      </c>
      <c r="BH162" s="99">
        <v>0</v>
      </c>
      <c r="BI162" s="99">
        <v>0</v>
      </c>
      <c r="BJ162" s="99">
        <v>0</v>
      </c>
      <c r="BK162" s="99">
        <v>0</v>
      </c>
      <c r="BL162" s="99">
        <v>0</v>
      </c>
      <c r="BM162" s="99">
        <v>0</v>
      </c>
      <c r="BN162" s="99">
        <v>0</v>
      </c>
      <c r="BO162" s="77">
        <v>0</v>
      </c>
      <c r="BP162" s="99">
        <v>0</v>
      </c>
      <c r="BQ162" s="99">
        <v>0</v>
      </c>
      <c r="BR162" s="99">
        <v>0</v>
      </c>
      <c r="BS162" s="99">
        <v>0</v>
      </c>
      <c r="BT162" s="99">
        <v>0</v>
      </c>
      <c r="BU162" s="99">
        <v>0</v>
      </c>
      <c r="BV162" s="99">
        <v>0</v>
      </c>
      <c r="BW162" s="99">
        <v>0</v>
      </c>
      <c r="BX162" s="99">
        <v>0</v>
      </c>
      <c r="BY162" s="115">
        <v>0</v>
      </c>
      <c r="BZ162" s="103">
        <v>0</v>
      </c>
      <c r="CA162" s="103">
        <v>0</v>
      </c>
      <c r="CB162" s="103">
        <v>0</v>
      </c>
      <c r="CC162" s="103">
        <v>0</v>
      </c>
      <c r="CD162" s="119">
        <v>0</v>
      </c>
    </row>
    <row r="163" spans="1:86" ht="15" thickBot="1" x14ac:dyDescent="0.4">
      <c r="A163" t="s">
        <v>200</v>
      </c>
      <c r="B163" s="13" t="s">
        <v>238</v>
      </c>
      <c r="C163" s="13" t="s">
        <v>53</v>
      </c>
      <c r="D163" s="13" t="s">
        <v>201</v>
      </c>
      <c r="E163" s="53"/>
      <c r="F163" s="53"/>
      <c r="G163" s="53"/>
      <c r="H163" s="70"/>
      <c r="I163" s="70"/>
      <c r="J163" s="70"/>
      <c r="K163" s="70"/>
      <c r="N163" s="53"/>
      <c r="W163" s="78">
        <v>0</v>
      </c>
      <c r="X163" s="78">
        <v>0</v>
      </c>
      <c r="Y163" s="78">
        <v>0</v>
      </c>
      <c r="Z163" s="78">
        <v>0</v>
      </c>
      <c r="AA163" s="78">
        <v>0</v>
      </c>
      <c r="AB163" s="78">
        <v>0</v>
      </c>
      <c r="AC163" s="78">
        <v>0</v>
      </c>
      <c r="AD163" s="78">
        <v>0</v>
      </c>
      <c r="AE163" s="79">
        <v>0</v>
      </c>
      <c r="AF163" s="78">
        <v>0</v>
      </c>
      <c r="AG163" s="78">
        <v>0</v>
      </c>
      <c r="AH163" s="78">
        <v>0</v>
      </c>
      <c r="AI163" s="78">
        <v>0</v>
      </c>
      <c r="AJ163" s="78">
        <v>0</v>
      </c>
      <c r="AK163" s="78">
        <v>0</v>
      </c>
      <c r="AL163" s="78">
        <v>0</v>
      </c>
      <c r="AM163" s="78">
        <v>0</v>
      </c>
      <c r="AN163" s="79">
        <v>0</v>
      </c>
      <c r="AO163" s="78">
        <v>0</v>
      </c>
      <c r="AP163" s="78">
        <v>0</v>
      </c>
      <c r="AQ163" s="78">
        <v>0</v>
      </c>
      <c r="AR163" s="78">
        <v>0</v>
      </c>
      <c r="AS163" s="78">
        <v>0</v>
      </c>
      <c r="AT163" s="78">
        <v>0</v>
      </c>
      <c r="AU163" s="78">
        <v>0</v>
      </c>
      <c r="AV163" s="78">
        <v>0</v>
      </c>
      <c r="AW163" s="79">
        <v>0</v>
      </c>
      <c r="AX163" s="78">
        <v>0</v>
      </c>
      <c r="AY163" s="78">
        <v>0</v>
      </c>
      <c r="AZ163" s="78">
        <v>0</v>
      </c>
      <c r="BA163" s="78">
        <v>0</v>
      </c>
      <c r="BB163" s="78">
        <v>0</v>
      </c>
      <c r="BC163" s="78">
        <v>0</v>
      </c>
      <c r="BD163" s="78">
        <v>0</v>
      </c>
      <c r="BE163" s="78">
        <v>0</v>
      </c>
      <c r="BF163" s="79">
        <v>0</v>
      </c>
      <c r="BG163" s="78">
        <v>0</v>
      </c>
      <c r="BH163" s="78">
        <v>0</v>
      </c>
      <c r="BI163" s="78">
        <v>0</v>
      </c>
      <c r="BJ163" s="78">
        <v>0</v>
      </c>
      <c r="BK163" s="78">
        <v>0</v>
      </c>
      <c r="BL163" s="78">
        <v>0</v>
      </c>
      <c r="BM163" s="78">
        <v>0</v>
      </c>
      <c r="BN163" s="78">
        <v>0</v>
      </c>
      <c r="BO163" s="79">
        <v>0</v>
      </c>
      <c r="BP163" s="78">
        <v>0</v>
      </c>
      <c r="BQ163" s="78">
        <v>0</v>
      </c>
      <c r="BR163" s="78">
        <v>0</v>
      </c>
      <c r="BS163" s="78">
        <v>0</v>
      </c>
      <c r="BT163" s="78">
        <v>0</v>
      </c>
      <c r="BU163" s="78">
        <v>0</v>
      </c>
      <c r="BV163" s="78">
        <v>0</v>
      </c>
      <c r="BW163" s="78">
        <v>0</v>
      </c>
      <c r="BX163" s="78">
        <v>0</v>
      </c>
      <c r="BY163" s="116">
        <v>0</v>
      </c>
      <c r="BZ163" s="104">
        <v>0</v>
      </c>
      <c r="CA163" s="104">
        <v>0</v>
      </c>
      <c r="CB163" s="104">
        <v>0</v>
      </c>
      <c r="CC163" s="104">
        <v>0</v>
      </c>
      <c r="CD163" s="105">
        <v>0</v>
      </c>
    </row>
    <row r="164" spans="1:86" x14ac:dyDescent="0.35">
      <c r="A164" t="s">
        <v>196</v>
      </c>
      <c r="B164" s="13" t="s">
        <v>239</v>
      </c>
      <c r="C164" s="13" t="s">
        <v>56</v>
      </c>
      <c r="D164" s="13" t="s">
        <v>197</v>
      </c>
      <c r="E164" s="53"/>
      <c r="F164" s="53"/>
      <c r="G164" s="53"/>
      <c r="H164" s="70"/>
      <c r="I164" s="70"/>
      <c r="J164" s="70"/>
      <c r="K164" s="70"/>
      <c r="N164" s="53"/>
      <c r="W164" s="99">
        <v>0</v>
      </c>
      <c r="X164" s="99">
        <v>0</v>
      </c>
      <c r="Y164" s="99">
        <v>0</v>
      </c>
      <c r="Z164" s="99">
        <v>0</v>
      </c>
      <c r="AA164" s="99">
        <v>0</v>
      </c>
      <c r="AB164" s="99">
        <v>0</v>
      </c>
      <c r="AC164" s="99">
        <v>0</v>
      </c>
      <c r="AD164" s="99">
        <v>0</v>
      </c>
      <c r="AE164" s="77">
        <v>0</v>
      </c>
      <c r="AF164" s="99">
        <v>0</v>
      </c>
      <c r="AG164" s="99">
        <v>0</v>
      </c>
      <c r="AH164" s="99">
        <v>0</v>
      </c>
      <c r="AI164" s="99">
        <v>0</v>
      </c>
      <c r="AJ164" s="99">
        <v>0</v>
      </c>
      <c r="AK164" s="99">
        <v>0</v>
      </c>
      <c r="AL164" s="99">
        <v>0</v>
      </c>
      <c r="AM164" s="99">
        <v>0</v>
      </c>
      <c r="AN164" s="77">
        <v>0</v>
      </c>
      <c r="AO164" s="99">
        <v>0</v>
      </c>
      <c r="AP164" s="99">
        <v>0</v>
      </c>
      <c r="AQ164" s="99">
        <v>0</v>
      </c>
      <c r="AR164" s="99">
        <v>0</v>
      </c>
      <c r="AS164" s="99">
        <v>0</v>
      </c>
      <c r="AT164" s="99">
        <v>0</v>
      </c>
      <c r="AU164" s="99">
        <v>0</v>
      </c>
      <c r="AV164" s="99">
        <v>0</v>
      </c>
      <c r="AW164" s="77">
        <v>0</v>
      </c>
      <c r="AX164" s="99">
        <v>0</v>
      </c>
      <c r="AY164" s="99">
        <v>0</v>
      </c>
      <c r="AZ164" s="99">
        <v>0</v>
      </c>
      <c r="BA164" s="99">
        <v>0</v>
      </c>
      <c r="BB164" s="99">
        <v>0</v>
      </c>
      <c r="BC164" s="99">
        <v>0</v>
      </c>
      <c r="BD164" s="99">
        <v>0</v>
      </c>
      <c r="BE164" s="99">
        <v>0</v>
      </c>
      <c r="BF164" s="77">
        <v>0</v>
      </c>
      <c r="BG164" s="99">
        <v>0</v>
      </c>
      <c r="BH164" s="99">
        <v>0</v>
      </c>
      <c r="BI164" s="99">
        <v>0</v>
      </c>
      <c r="BJ164" s="99">
        <v>0</v>
      </c>
      <c r="BK164" s="99">
        <v>0</v>
      </c>
      <c r="BL164" s="99">
        <v>0</v>
      </c>
      <c r="BM164" s="99">
        <v>0</v>
      </c>
      <c r="BN164" s="99">
        <v>0</v>
      </c>
      <c r="BO164" s="77">
        <v>0</v>
      </c>
      <c r="BP164" s="99">
        <v>0</v>
      </c>
      <c r="BQ164" s="99">
        <v>0</v>
      </c>
      <c r="BR164" s="99">
        <v>0</v>
      </c>
      <c r="BS164" s="99">
        <v>0</v>
      </c>
      <c r="BT164" s="99">
        <v>0</v>
      </c>
      <c r="BU164" s="99">
        <v>0</v>
      </c>
      <c r="BV164" s="99">
        <v>0</v>
      </c>
      <c r="BW164" s="99">
        <v>0</v>
      </c>
      <c r="BX164" s="99">
        <v>0</v>
      </c>
      <c r="BY164" s="115">
        <v>0</v>
      </c>
      <c r="BZ164" s="103">
        <v>0</v>
      </c>
      <c r="CA164" s="103">
        <v>0</v>
      </c>
      <c r="CB164" s="103">
        <v>0</v>
      </c>
      <c r="CC164" s="103">
        <v>0</v>
      </c>
      <c r="CD164" s="119">
        <v>0</v>
      </c>
    </row>
    <row r="165" spans="1:86" x14ac:dyDescent="0.35">
      <c r="A165" s="12" t="s">
        <v>198</v>
      </c>
      <c r="B165" s="13" t="s">
        <v>239</v>
      </c>
      <c r="C165" s="13" t="s">
        <v>53</v>
      </c>
      <c r="D165" s="13" t="s">
        <v>199</v>
      </c>
      <c r="E165" s="53"/>
      <c r="F165" s="53"/>
      <c r="G165" s="53"/>
      <c r="H165" s="70"/>
      <c r="I165" s="70"/>
      <c r="J165" s="70"/>
      <c r="K165" s="70"/>
      <c r="N165" s="53"/>
      <c r="W165" s="99">
        <v>0</v>
      </c>
      <c r="X165" s="99">
        <v>0</v>
      </c>
      <c r="Y165" s="99">
        <v>0</v>
      </c>
      <c r="Z165" s="99">
        <v>0</v>
      </c>
      <c r="AA165" s="99">
        <v>0</v>
      </c>
      <c r="AB165" s="99">
        <v>0</v>
      </c>
      <c r="AC165" s="99">
        <v>0</v>
      </c>
      <c r="AD165" s="99">
        <v>0</v>
      </c>
      <c r="AE165" s="77">
        <v>0</v>
      </c>
      <c r="AF165" s="99">
        <v>0</v>
      </c>
      <c r="AG165" s="99">
        <v>0</v>
      </c>
      <c r="AH165" s="99">
        <v>0</v>
      </c>
      <c r="AI165" s="99">
        <v>0</v>
      </c>
      <c r="AJ165" s="99">
        <v>0</v>
      </c>
      <c r="AK165" s="99">
        <v>0</v>
      </c>
      <c r="AL165" s="99">
        <v>0</v>
      </c>
      <c r="AM165" s="99">
        <v>0</v>
      </c>
      <c r="AN165" s="77">
        <v>0</v>
      </c>
      <c r="AO165" s="99">
        <v>0</v>
      </c>
      <c r="AP165" s="99">
        <v>0</v>
      </c>
      <c r="AQ165" s="99">
        <v>0</v>
      </c>
      <c r="AR165" s="99">
        <v>0</v>
      </c>
      <c r="AS165" s="99">
        <v>0</v>
      </c>
      <c r="AT165" s="99">
        <v>0</v>
      </c>
      <c r="AU165" s="99">
        <v>0</v>
      </c>
      <c r="AV165" s="99">
        <v>0</v>
      </c>
      <c r="AW165" s="77">
        <v>0</v>
      </c>
      <c r="AX165" s="99">
        <v>0</v>
      </c>
      <c r="AY165" s="99">
        <v>0</v>
      </c>
      <c r="AZ165" s="99">
        <v>0</v>
      </c>
      <c r="BA165" s="99">
        <v>0</v>
      </c>
      <c r="BB165" s="99">
        <v>0</v>
      </c>
      <c r="BC165" s="99">
        <v>0</v>
      </c>
      <c r="BD165" s="99">
        <v>0</v>
      </c>
      <c r="BE165" s="99">
        <v>0</v>
      </c>
      <c r="BF165" s="77">
        <v>0</v>
      </c>
      <c r="BG165" s="99">
        <v>0</v>
      </c>
      <c r="BH165" s="99">
        <v>0</v>
      </c>
      <c r="BI165" s="99">
        <v>0</v>
      </c>
      <c r="BJ165" s="99">
        <v>0</v>
      </c>
      <c r="BK165" s="99">
        <v>0</v>
      </c>
      <c r="BL165" s="99">
        <v>0</v>
      </c>
      <c r="BM165" s="99">
        <v>0</v>
      </c>
      <c r="BN165" s="99">
        <v>0</v>
      </c>
      <c r="BO165" s="77">
        <v>0</v>
      </c>
      <c r="BP165" s="99">
        <v>0</v>
      </c>
      <c r="BQ165" s="99">
        <v>0</v>
      </c>
      <c r="BR165" s="99">
        <v>0</v>
      </c>
      <c r="BS165" s="99">
        <v>0</v>
      </c>
      <c r="BT165" s="99">
        <v>0</v>
      </c>
      <c r="BU165" s="99">
        <v>0</v>
      </c>
      <c r="BV165" s="99">
        <v>0</v>
      </c>
      <c r="BW165" s="99">
        <v>0</v>
      </c>
      <c r="BX165" s="99">
        <v>0</v>
      </c>
      <c r="BY165" s="115">
        <v>0</v>
      </c>
      <c r="BZ165" s="103">
        <v>0</v>
      </c>
      <c r="CA165" s="103">
        <v>0</v>
      </c>
      <c r="CB165" s="103">
        <v>0</v>
      </c>
      <c r="CC165" s="103">
        <v>0</v>
      </c>
      <c r="CD165" s="119">
        <v>0</v>
      </c>
    </row>
    <row r="166" spans="1:86" ht="15" thickBot="1" x14ac:dyDescent="0.4">
      <c r="A166" t="s">
        <v>200</v>
      </c>
      <c r="B166" s="13" t="s">
        <v>239</v>
      </c>
      <c r="C166" s="13" t="s">
        <v>53</v>
      </c>
      <c r="D166" s="13" t="s">
        <v>201</v>
      </c>
      <c r="E166" s="53"/>
      <c r="F166" s="53"/>
      <c r="G166" s="53"/>
      <c r="H166" s="70"/>
      <c r="I166" s="70"/>
      <c r="J166" s="70"/>
      <c r="K166" s="70"/>
      <c r="N166" s="53"/>
      <c r="W166" s="78">
        <v>0</v>
      </c>
      <c r="X166" s="78">
        <v>0</v>
      </c>
      <c r="Y166" s="78">
        <v>0</v>
      </c>
      <c r="Z166" s="78">
        <v>0</v>
      </c>
      <c r="AA166" s="78">
        <v>0</v>
      </c>
      <c r="AB166" s="78">
        <v>0</v>
      </c>
      <c r="AC166" s="78">
        <v>0</v>
      </c>
      <c r="AD166" s="78">
        <v>0</v>
      </c>
      <c r="AE166" s="79">
        <v>0</v>
      </c>
      <c r="AF166" s="78">
        <v>0</v>
      </c>
      <c r="AG166" s="78">
        <v>0</v>
      </c>
      <c r="AH166" s="78">
        <v>0</v>
      </c>
      <c r="AI166" s="78">
        <v>0</v>
      </c>
      <c r="AJ166" s="78">
        <v>0</v>
      </c>
      <c r="AK166" s="78">
        <v>0</v>
      </c>
      <c r="AL166" s="78">
        <v>0</v>
      </c>
      <c r="AM166" s="78">
        <v>0</v>
      </c>
      <c r="AN166" s="79">
        <v>0</v>
      </c>
      <c r="AO166" s="78">
        <v>0</v>
      </c>
      <c r="AP166" s="78">
        <v>0</v>
      </c>
      <c r="AQ166" s="78">
        <v>0</v>
      </c>
      <c r="AR166" s="78">
        <v>0</v>
      </c>
      <c r="AS166" s="78">
        <v>0</v>
      </c>
      <c r="AT166" s="78">
        <v>0</v>
      </c>
      <c r="AU166" s="78">
        <v>0</v>
      </c>
      <c r="AV166" s="78">
        <v>0</v>
      </c>
      <c r="AW166" s="79">
        <v>0</v>
      </c>
      <c r="AX166" s="78">
        <v>0</v>
      </c>
      <c r="AY166" s="78">
        <v>0</v>
      </c>
      <c r="AZ166" s="78">
        <v>0</v>
      </c>
      <c r="BA166" s="78">
        <v>0</v>
      </c>
      <c r="BB166" s="78">
        <v>0</v>
      </c>
      <c r="BC166" s="78">
        <v>0</v>
      </c>
      <c r="BD166" s="78">
        <v>0</v>
      </c>
      <c r="BE166" s="78">
        <v>0</v>
      </c>
      <c r="BF166" s="79">
        <v>0</v>
      </c>
      <c r="BG166" s="78">
        <v>0</v>
      </c>
      <c r="BH166" s="78">
        <v>0</v>
      </c>
      <c r="BI166" s="78">
        <v>0</v>
      </c>
      <c r="BJ166" s="78">
        <v>0</v>
      </c>
      <c r="BK166" s="78">
        <v>0</v>
      </c>
      <c r="BL166" s="78">
        <v>0</v>
      </c>
      <c r="BM166" s="78">
        <v>0</v>
      </c>
      <c r="BN166" s="78">
        <v>0</v>
      </c>
      <c r="BO166" s="79">
        <v>0</v>
      </c>
      <c r="BP166" s="78">
        <v>0</v>
      </c>
      <c r="BQ166" s="78">
        <v>0</v>
      </c>
      <c r="BR166" s="78">
        <v>0</v>
      </c>
      <c r="BS166" s="78">
        <v>0</v>
      </c>
      <c r="BT166" s="78">
        <v>0</v>
      </c>
      <c r="BU166" s="78">
        <v>0</v>
      </c>
      <c r="BV166" s="78">
        <v>0</v>
      </c>
      <c r="BW166" s="78">
        <v>0</v>
      </c>
      <c r="BX166" s="78">
        <v>0</v>
      </c>
      <c r="BY166" s="116">
        <v>0</v>
      </c>
      <c r="BZ166" s="104">
        <v>0</v>
      </c>
      <c r="CA166" s="104">
        <v>0</v>
      </c>
      <c r="CB166" s="104">
        <v>0</v>
      </c>
      <c r="CC166" s="104">
        <v>0</v>
      </c>
      <c r="CD166" s="105">
        <v>0</v>
      </c>
    </row>
    <row r="167" spans="1:86" x14ac:dyDescent="0.35">
      <c r="A167" t="s">
        <v>196</v>
      </c>
      <c r="B167" s="13" t="s">
        <v>240</v>
      </c>
      <c r="C167" s="13" t="s">
        <v>56</v>
      </c>
      <c r="D167" s="13" t="s">
        <v>197</v>
      </c>
      <c r="E167" s="53"/>
      <c r="F167" s="53"/>
      <c r="G167" s="53"/>
      <c r="H167" s="70"/>
      <c r="I167" s="70"/>
      <c r="J167" s="70"/>
      <c r="K167" s="70"/>
      <c r="N167" s="53"/>
      <c r="W167" s="99">
        <v>0</v>
      </c>
      <c r="X167" s="99">
        <v>0</v>
      </c>
      <c r="Y167" s="99">
        <v>0</v>
      </c>
      <c r="Z167" s="99">
        <v>0</v>
      </c>
      <c r="AA167" s="99">
        <v>0</v>
      </c>
      <c r="AB167" s="99">
        <v>0</v>
      </c>
      <c r="AC167" s="99">
        <v>0</v>
      </c>
      <c r="AD167" s="99">
        <v>0</v>
      </c>
      <c r="AE167" s="77">
        <v>0</v>
      </c>
      <c r="AF167" s="99">
        <v>0</v>
      </c>
      <c r="AG167" s="99">
        <v>0</v>
      </c>
      <c r="AH167" s="99">
        <v>0</v>
      </c>
      <c r="AI167" s="99">
        <v>0</v>
      </c>
      <c r="AJ167" s="99">
        <v>0</v>
      </c>
      <c r="AK167" s="99">
        <v>0</v>
      </c>
      <c r="AL167" s="99">
        <v>0</v>
      </c>
      <c r="AM167" s="99">
        <v>0</v>
      </c>
      <c r="AN167" s="77">
        <v>0</v>
      </c>
      <c r="AO167" s="99">
        <v>0</v>
      </c>
      <c r="AP167" s="99">
        <v>0</v>
      </c>
      <c r="AQ167" s="99">
        <v>0</v>
      </c>
      <c r="AR167" s="99">
        <v>0</v>
      </c>
      <c r="AS167" s="99">
        <v>0</v>
      </c>
      <c r="AT167" s="99">
        <v>0</v>
      </c>
      <c r="AU167" s="99">
        <v>0</v>
      </c>
      <c r="AV167" s="99">
        <v>0</v>
      </c>
      <c r="AW167" s="77">
        <v>0</v>
      </c>
      <c r="AX167" s="99">
        <v>0</v>
      </c>
      <c r="AY167" s="99">
        <v>0</v>
      </c>
      <c r="AZ167" s="99">
        <v>0</v>
      </c>
      <c r="BA167" s="99">
        <v>0</v>
      </c>
      <c r="BB167" s="99">
        <v>0</v>
      </c>
      <c r="BC167" s="99">
        <v>0</v>
      </c>
      <c r="BD167" s="99">
        <v>0</v>
      </c>
      <c r="BE167" s="99">
        <v>0</v>
      </c>
      <c r="BF167" s="77">
        <v>0</v>
      </c>
      <c r="BG167" s="99">
        <v>0</v>
      </c>
      <c r="BH167" s="99">
        <v>0</v>
      </c>
      <c r="BI167" s="99">
        <v>0</v>
      </c>
      <c r="BJ167" s="99">
        <v>0</v>
      </c>
      <c r="BK167" s="99">
        <v>0</v>
      </c>
      <c r="BL167" s="99">
        <v>0</v>
      </c>
      <c r="BM167" s="99">
        <v>0</v>
      </c>
      <c r="BN167" s="99">
        <v>0</v>
      </c>
      <c r="BO167" s="77">
        <v>0</v>
      </c>
      <c r="BP167" s="99">
        <v>0</v>
      </c>
      <c r="BQ167" s="99">
        <v>0</v>
      </c>
      <c r="BR167" s="99">
        <v>0</v>
      </c>
      <c r="BS167" s="99">
        <v>0</v>
      </c>
      <c r="BT167" s="99">
        <v>0</v>
      </c>
      <c r="BU167" s="99">
        <v>0</v>
      </c>
      <c r="BV167" s="99">
        <v>0</v>
      </c>
      <c r="BW167" s="99">
        <v>0</v>
      </c>
      <c r="BX167" s="99">
        <v>0</v>
      </c>
      <c r="BY167" s="115">
        <v>0</v>
      </c>
      <c r="BZ167" s="103">
        <v>0</v>
      </c>
      <c r="CA167" s="103">
        <v>0</v>
      </c>
      <c r="CB167" s="103">
        <v>0</v>
      </c>
      <c r="CC167" s="103">
        <v>0</v>
      </c>
      <c r="CD167" s="119">
        <v>0</v>
      </c>
    </row>
    <row r="168" spans="1:86" x14ac:dyDescent="0.35">
      <c r="A168" s="12" t="s">
        <v>198</v>
      </c>
      <c r="B168" s="13" t="s">
        <v>240</v>
      </c>
      <c r="C168" s="13" t="s">
        <v>53</v>
      </c>
      <c r="D168" s="13" t="s">
        <v>199</v>
      </c>
      <c r="E168" s="53"/>
      <c r="F168" s="53"/>
      <c r="G168" s="53"/>
      <c r="H168" s="70"/>
      <c r="I168" s="70"/>
      <c r="J168" s="70"/>
      <c r="K168" s="70"/>
      <c r="N168" s="53"/>
      <c r="W168" s="99">
        <v>0</v>
      </c>
      <c r="X168" s="99">
        <v>0</v>
      </c>
      <c r="Y168" s="99">
        <v>0</v>
      </c>
      <c r="Z168" s="99">
        <v>0</v>
      </c>
      <c r="AA168" s="99">
        <v>0</v>
      </c>
      <c r="AB168" s="99">
        <v>0</v>
      </c>
      <c r="AC168" s="99">
        <v>0</v>
      </c>
      <c r="AD168" s="99">
        <v>0</v>
      </c>
      <c r="AE168" s="77">
        <v>0</v>
      </c>
      <c r="AF168" s="99">
        <v>0</v>
      </c>
      <c r="AG168" s="99">
        <v>0</v>
      </c>
      <c r="AH168" s="99">
        <v>0</v>
      </c>
      <c r="AI168" s="99">
        <v>0</v>
      </c>
      <c r="AJ168" s="99">
        <v>0</v>
      </c>
      <c r="AK168" s="99">
        <v>0</v>
      </c>
      <c r="AL168" s="99">
        <v>0</v>
      </c>
      <c r="AM168" s="99">
        <v>0</v>
      </c>
      <c r="AN168" s="77">
        <v>0</v>
      </c>
      <c r="AO168" s="99">
        <v>0</v>
      </c>
      <c r="AP168" s="99">
        <v>0</v>
      </c>
      <c r="AQ168" s="99">
        <v>0</v>
      </c>
      <c r="AR168" s="99">
        <v>0</v>
      </c>
      <c r="AS168" s="99">
        <v>0</v>
      </c>
      <c r="AT168" s="99">
        <v>0</v>
      </c>
      <c r="AU168" s="99">
        <v>0</v>
      </c>
      <c r="AV168" s="99">
        <v>0</v>
      </c>
      <c r="AW168" s="77">
        <v>0</v>
      </c>
      <c r="AX168" s="99">
        <v>0</v>
      </c>
      <c r="AY168" s="99">
        <v>0</v>
      </c>
      <c r="AZ168" s="99">
        <v>0</v>
      </c>
      <c r="BA168" s="99">
        <v>0</v>
      </c>
      <c r="BB168" s="99">
        <v>0</v>
      </c>
      <c r="BC168" s="99">
        <v>0</v>
      </c>
      <c r="BD168" s="99">
        <v>0</v>
      </c>
      <c r="BE168" s="99">
        <v>0</v>
      </c>
      <c r="BF168" s="77">
        <v>0</v>
      </c>
      <c r="BG168" s="99">
        <v>0</v>
      </c>
      <c r="BH168" s="99">
        <v>0</v>
      </c>
      <c r="BI168" s="99">
        <v>0</v>
      </c>
      <c r="BJ168" s="99">
        <v>0</v>
      </c>
      <c r="BK168" s="99">
        <v>0</v>
      </c>
      <c r="BL168" s="99">
        <v>0</v>
      </c>
      <c r="BM168" s="99">
        <v>0</v>
      </c>
      <c r="BN168" s="99">
        <v>0</v>
      </c>
      <c r="BO168" s="77">
        <v>0</v>
      </c>
      <c r="BP168" s="99">
        <v>0</v>
      </c>
      <c r="BQ168" s="99">
        <v>0</v>
      </c>
      <c r="BR168" s="99">
        <v>0</v>
      </c>
      <c r="BS168" s="99">
        <v>0</v>
      </c>
      <c r="BT168" s="99">
        <v>0</v>
      </c>
      <c r="BU168" s="99">
        <v>0</v>
      </c>
      <c r="BV168" s="99">
        <v>0</v>
      </c>
      <c r="BW168" s="99">
        <v>0</v>
      </c>
      <c r="BX168" s="99">
        <v>0</v>
      </c>
      <c r="BY168" s="115">
        <v>0</v>
      </c>
      <c r="BZ168" s="103">
        <v>0</v>
      </c>
      <c r="CA168" s="103">
        <v>0</v>
      </c>
      <c r="CB168" s="103">
        <v>0</v>
      </c>
      <c r="CC168" s="103">
        <v>0</v>
      </c>
      <c r="CD168" s="119">
        <v>0</v>
      </c>
    </row>
    <row r="169" spans="1:86" ht="15" thickBot="1" x14ac:dyDescent="0.4">
      <c r="A169" t="s">
        <v>200</v>
      </c>
      <c r="B169" s="13" t="s">
        <v>240</v>
      </c>
      <c r="C169" s="13" t="s">
        <v>53</v>
      </c>
      <c r="D169" s="13" t="s">
        <v>201</v>
      </c>
      <c r="J169" s="80"/>
      <c r="W169" s="78">
        <v>0</v>
      </c>
      <c r="X169" s="78">
        <v>0</v>
      </c>
      <c r="Y169" s="78">
        <v>0</v>
      </c>
      <c r="Z169" s="78">
        <v>0</v>
      </c>
      <c r="AA169" s="78">
        <v>0</v>
      </c>
      <c r="AB169" s="78">
        <v>0</v>
      </c>
      <c r="AC169" s="78">
        <v>0</v>
      </c>
      <c r="AD169" s="78">
        <v>0</v>
      </c>
      <c r="AE169" s="79">
        <v>0</v>
      </c>
      <c r="AF169" s="78">
        <v>0</v>
      </c>
      <c r="AG169" s="78">
        <v>0</v>
      </c>
      <c r="AH169" s="78">
        <v>0</v>
      </c>
      <c r="AI169" s="78">
        <v>0</v>
      </c>
      <c r="AJ169" s="78">
        <v>0</v>
      </c>
      <c r="AK169" s="78">
        <v>0</v>
      </c>
      <c r="AL169" s="78">
        <v>0</v>
      </c>
      <c r="AM169" s="78">
        <v>0</v>
      </c>
      <c r="AN169" s="79">
        <v>0</v>
      </c>
      <c r="AO169" s="78">
        <v>0</v>
      </c>
      <c r="AP169" s="78">
        <v>0</v>
      </c>
      <c r="AQ169" s="78">
        <v>0</v>
      </c>
      <c r="AR169" s="78">
        <v>0</v>
      </c>
      <c r="AS169" s="78">
        <v>0</v>
      </c>
      <c r="AT169" s="78">
        <v>0</v>
      </c>
      <c r="AU169" s="78">
        <v>0</v>
      </c>
      <c r="AV169" s="78">
        <v>0</v>
      </c>
      <c r="AW169" s="79">
        <v>0</v>
      </c>
      <c r="AX169" s="78">
        <v>0</v>
      </c>
      <c r="AY169" s="78">
        <v>0</v>
      </c>
      <c r="AZ169" s="78">
        <v>0</v>
      </c>
      <c r="BA169" s="78">
        <v>0</v>
      </c>
      <c r="BB169" s="78">
        <v>0</v>
      </c>
      <c r="BC169" s="78">
        <v>0</v>
      </c>
      <c r="BD169" s="78">
        <v>0</v>
      </c>
      <c r="BE169" s="78">
        <v>0</v>
      </c>
      <c r="BF169" s="79">
        <v>0</v>
      </c>
      <c r="BG169" s="78">
        <v>0</v>
      </c>
      <c r="BH169" s="78">
        <v>0</v>
      </c>
      <c r="BI169" s="78">
        <v>0</v>
      </c>
      <c r="BJ169" s="78">
        <v>0</v>
      </c>
      <c r="BK169" s="78">
        <v>0</v>
      </c>
      <c r="BL169" s="78">
        <v>0</v>
      </c>
      <c r="BM169" s="78">
        <v>0</v>
      </c>
      <c r="BN169" s="78">
        <v>0</v>
      </c>
      <c r="BO169" s="79">
        <v>0</v>
      </c>
      <c r="BP169" s="78">
        <v>0</v>
      </c>
      <c r="BQ169" s="78">
        <v>0</v>
      </c>
      <c r="BR169" s="78">
        <v>0</v>
      </c>
      <c r="BS169" s="78">
        <v>0</v>
      </c>
      <c r="BT169" s="78">
        <v>0</v>
      </c>
      <c r="BU169" s="78">
        <v>0</v>
      </c>
      <c r="BV169" s="78">
        <v>0</v>
      </c>
      <c r="BW169" s="78">
        <v>0</v>
      </c>
      <c r="BX169" s="78">
        <v>0</v>
      </c>
      <c r="BY169" s="116">
        <v>0</v>
      </c>
      <c r="BZ169" s="104">
        <v>0</v>
      </c>
      <c r="CA169" s="104">
        <v>0</v>
      </c>
      <c r="CB169" s="104">
        <v>0</v>
      </c>
      <c r="CC169" s="104">
        <v>0</v>
      </c>
      <c r="CD169" s="105">
        <v>0</v>
      </c>
    </row>
    <row r="170" spans="1:86" x14ac:dyDescent="0.35">
      <c r="A170" t="s">
        <v>196</v>
      </c>
      <c r="B170" s="13" t="s">
        <v>241</v>
      </c>
      <c r="C170" s="13" t="s">
        <v>56</v>
      </c>
      <c r="D170" s="13" t="s">
        <v>197</v>
      </c>
      <c r="E170" s="56"/>
      <c r="F170" s="56"/>
      <c r="G170" s="56"/>
      <c r="H170" s="56"/>
      <c r="I170" s="56"/>
      <c r="J170" s="81"/>
      <c r="W170" s="99">
        <v>0</v>
      </c>
      <c r="X170" s="99">
        <v>0</v>
      </c>
      <c r="Y170" s="99">
        <v>0</v>
      </c>
      <c r="Z170" s="99">
        <v>0</v>
      </c>
      <c r="AA170" s="99">
        <v>0</v>
      </c>
      <c r="AB170" s="99">
        <v>0</v>
      </c>
      <c r="AC170" s="99">
        <v>0</v>
      </c>
      <c r="AD170" s="99">
        <v>0</v>
      </c>
      <c r="AE170" s="77">
        <v>0</v>
      </c>
      <c r="AF170" s="99">
        <v>0</v>
      </c>
      <c r="AG170" s="99">
        <v>0</v>
      </c>
      <c r="AH170" s="99">
        <v>0</v>
      </c>
      <c r="AI170" s="99">
        <v>0</v>
      </c>
      <c r="AJ170" s="99">
        <v>0</v>
      </c>
      <c r="AK170" s="99">
        <v>0</v>
      </c>
      <c r="AL170" s="99">
        <v>0</v>
      </c>
      <c r="AM170" s="99">
        <v>0</v>
      </c>
      <c r="AN170" s="77">
        <v>0</v>
      </c>
      <c r="AO170" s="99">
        <v>0</v>
      </c>
      <c r="AP170" s="99">
        <v>0</v>
      </c>
      <c r="AQ170" s="99">
        <v>0</v>
      </c>
      <c r="AR170" s="99">
        <v>0</v>
      </c>
      <c r="AS170" s="99">
        <v>0</v>
      </c>
      <c r="AT170" s="99">
        <v>0</v>
      </c>
      <c r="AU170" s="99">
        <v>0</v>
      </c>
      <c r="AV170" s="99">
        <v>0</v>
      </c>
      <c r="AW170" s="77">
        <v>0</v>
      </c>
      <c r="AX170" s="99">
        <v>0</v>
      </c>
      <c r="AY170" s="99">
        <v>0</v>
      </c>
      <c r="AZ170" s="99">
        <v>0</v>
      </c>
      <c r="BA170" s="99">
        <v>0</v>
      </c>
      <c r="BB170" s="99">
        <v>0</v>
      </c>
      <c r="BC170" s="99">
        <v>0</v>
      </c>
      <c r="BD170" s="99">
        <v>0</v>
      </c>
      <c r="BE170" s="99">
        <v>0</v>
      </c>
      <c r="BF170" s="77">
        <v>0</v>
      </c>
      <c r="BG170" s="99">
        <v>0</v>
      </c>
      <c r="BH170" s="99">
        <v>0</v>
      </c>
      <c r="BI170" s="99">
        <v>0</v>
      </c>
      <c r="BJ170" s="99">
        <v>0</v>
      </c>
      <c r="BK170" s="99">
        <v>0</v>
      </c>
      <c r="BL170" s="99">
        <v>0</v>
      </c>
      <c r="BM170" s="99">
        <v>0</v>
      </c>
      <c r="BN170" s="99">
        <v>0</v>
      </c>
      <c r="BO170" s="77">
        <v>0</v>
      </c>
      <c r="BP170" s="99">
        <v>0</v>
      </c>
      <c r="BQ170" s="99">
        <v>0</v>
      </c>
      <c r="BR170" s="99">
        <v>0</v>
      </c>
      <c r="BS170" s="99">
        <v>0</v>
      </c>
      <c r="BT170" s="99">
        <v>0</v>
      </c>
      <c r="BU170" s="99">
        <v>0</v>
      </c>
      <c r="BV170" s="99">
        <v>0</v>
      </c>
      <c r="BW170" s="99">
        <v>0</v>
      </c>
      <c r="BX170" s="99">
        <v>0</v>
      </c>
      <c r="BY170" s="115">
        <v>0</v>
      </c>
      <c r="BZ170" s="103">
        <v>0</v>
      </c>
      <c r="CA170" s="103">
        <v>0</v>
      </c>
      <c r="CB170" s="103">
        <v>0</v>
      </c>
      <c r="CC170" s="103">
        <v>0</v>
      </c>
      <c r="CD170" s="119">
        <v>0</v>
      </c>
    </row>
    <row r="171" spans="1:86" x14ac:dyDescent="0.35">
      <c r="A171" s="12" t="s">
        <v>198</v>
      </c>
      <c r="B171" s="13" t="s">
        <v>241</v>
      </c>
      <c r="C171" s="13" t="s">
        <v>53</v>
      </c>
      <c r="D171" s="13" t="s">
        <v>199</v>
      </c>
      <c r="E171" s="56"/>
      <c r="F171" s="56"/>
      <c r="G171" s="56"/>
      <c r="H171" s="56"/>
      <c r="I171" s="56"/>
      <c r="J171" s="81"/>
      <c r="W171" s="99">
        <v>0</v>
      </c>
      <c r="X171" s="99">
        <v>0</v>
      </c>
      <c r="Y171" s="99">
        <v>0</v>
      </c>
      <c r="Z171" s="99">
        <v>0</v>
      </c>
      <c r="AA171" s="99">
        <v>0</v>
      </c>
      <c r="AB171" s="99">
        <v>0</v>
      </c>
      <c r="AC171" s="99">
        <v>0</v>
      </c>
      <c r="AD171" s="99">
        <v>0</v>
      </c>
      <c r="AE171" s="77">
        <v>0</v>
      </c>
      <c r="AF171" s="99">
        <v>0</v>
      </c>
      <c r="AG171" s="99">
        <v>0</v>
      </c>
      <c r="AH171" s="99">
        <v>0</v>
      </c>
      <c r="AI171" s="99">
        <v>0</v>
      </c>
      <c r="AJ171" s="99">
        <v>0</v>
      </c>
      <c r="AK171" s="99">
        <v>0</v>
      </c>
      <c r="AL171" s="99">
        <v>0</v>
      </c>
      <c r="AM171" s="99">
        <v>0</v>
      </c>
      <c r="AN171" s="77">
        <v>0</v>
      </c>
      <c r="AO171" s="99">
        <v>0</v>
      </c>
      <c r="AP171" s="99">
        <v>0</v>
      </c>
      <c r="AQ171" s="99">
        <v>0</v>
      </c>
      <c r="AR171" s="99">
        <v>0</v>
      </c>
      <c r="AS171" s="99">
        <v>0</v>
      </c>
      <c r="AT171" s="99">
        <v>0</v>
      </c>
      <c r="AU171" s="99">
        <v>0</v>
      </c>
      <c r="AV171" s="99">
        <v>0</v>
      </c>
      <c r="AW171" s="77">
        <v>0</v>
      </c>
      <c r="AX171" s="99">
        <v>0</v>
      </c>
      <c r="AY171" s="99">
        <v>0</v>
      </c>
      <c r="AZ171" s="99">
        <v>0</v>
      </c>
      <c r="BA171" s="99">
        <v>0</v>
      </c>
      <c r="BB171" s="99">
        <v>0</v>
      </c>
      <c r="BC171" s="99">
        <v>0</v>
      </c>
      <c r="BD171" s="99">
        <v>0</v>
      </c>
      <c r="BE171" s="99">
        <v>0</v>
      </c>
      <c r="BF171" s="77">
        <v>0</v>
      </c>
      <c r="BG171" s="99">
        <v>0</v>
      </c>
      <c r="BH171" s="99">
        <v>0</v>
      </c>
      <c r="BI171" s="99">
        <v>0</v>
      </c>
      <c r="BJ171" s="99">
        <v>0</v>
      </c>
      <c r="BK171" s="99">
        <v>0</v>
      </c>
      <c r="BL171" s="99">
        <v>0</v>
      </c>
      <c r="BM171" s="99">
        <v>0</v>
      </c>
      <c r="BN171" s="99">
        <v>0</v>
      </c>
      <c r="BO171" s="77">
        <v>0</v>
      </c>
      <c r="BP171" s="99">
        <v>0</v>
      </c>
      <c r="BQ171" s="99">
        <v>0</v>
      </c>
      <c r="BR171" s="99">
        <v>0</v>
      </c>
      <c r="BS171" s="99">
        <v>0</v>
      </c>
      <c r="BT171" s="99">
        <v>0</v>
      </c>
      <c r="BU171" s="99">
        <v>0</v>
      </c>
      <c r="BV171" s="99">
        <v>0</v>
      </c>
      <c r="BW171" s="99">
        <v>0</v>
      </c>
      <c r="BX171" s="99">
        <v>0</v>
      </c>
      <c r="BY171" s="115">
        <v>0</v>
      </c>
      <c r="BZ171" s="103">
        <v>0</v>
      </c>
      <c r="CA171" s="103">
        <v>0</v>
      </c>
      <c r="CB171" s="103">
        <v>0</v>
      </c>
      <c r="CC171" s="103">
        <v>0</v>
      </c>
      <c r="CD171" s="119">
        <v>0</v>
      </c>
    </row>
    <row r="172" spans="1:86" x14ac:dyDescent="0.35">
      <c r="A172" t="s">
        <v>200</v>
      </c>
      <c r="B172" s="13" t="s">
        <v>241</v>
      </c>
      <c r="C172" s="13" t="s">
        <v>53</v>
      </c>
      <c r="D172" s="13" t="s">
        <v>201</v>
      </c>
      <c r="E172" s="53"/>
      <c r="F172" s="53"/>
      <c r="G172" s="53"/>
      <c r="H172" s="106"/>
      <c r="I172" s="106"/>
      <c r="J172" s="106"/>
      <c r="K172" s="54"/>
      <c r="W172" s="99">
        <v>0</v>
      </c>
      <c r="X172" s="99">
        <v>0</v>
      </c>
      <c r="Y172" s="99">
        <v>0</v>
      </c>
      <c r="Z172" s="99">
        <v>0</v>
      </c>
      <c r="AA172" s="99">
        <v>0</v>
      </c>
      <c r="AB172" s="99">
        <v>0</v>
      </c>
      <c r="AC172" s="99">
        <v>0</v>
      </c>
      <c r="AD172" s="99">
        <v>0</v>
      </c>
      <c r="AE172" s="77">
        <v>0</v>
      </c>
      <c r="AF172" s="99">
        <v>0</v>
      </c>
      <c r="AG172" s="99">
        <v>0</v>
      </c>
      <c r="AH172" s="99">
        <v>0</v>
      </c>
      <c r="AI172" s="99">
        <v>0</v>
      </c>
      <c r="AJ172" s="99">
        <v>0</v>
      </c>
      <c r="AK172" s="99">
        <v>0</v>
      </c>
      <c r="AL172" s="99">
        <v>0</v>
      </c>
      <c r="AM172" s="99">
        <v>0</v>
      </c>
      <c r="AN172" s="77">
        <v>0</v>
      </c>
      <c r="AO172" s="99">
        <v>0</v>
      </c>
      <c r="AP172" s="99">
        <v>0</v>
      </c>
      <c r="AQ172" s="99">
        <v>0</v>
      </c>
      <c r="AR172" s="99">
        <v>0</v>
      </c>
      <c r="AS172" s="99">
        <v>0</v>
      </c>
      <c r="AT172" s="99">
        <v>0</v>
      </c>
      <c r="AU172" s="99">
        <v>0</v>
      </c>
      <c r="AV172" s="99">
        <v>0</v>
      </c>
      <c r="AW172" s="77">
        <v>0</v>
      </c>
      <c r="AX172" s="99">
        <v>0</v>
      </c>
      <c r="AY172" s="99">
        <v>0</v>
      </c>
      <c r="AZ172" s="99">
        <v>0</v>
      </c>
      <c r="BA172" s="99">
        <v>0</v>
      </c>
      <c r="BB172" s="99">
        <v>0</v>
      </c>
      <c r="BC172" s="99">
        <v>0</v>
      </c>
      <c r="BD172" s="99">
        <v>0</v>
      </c>
      <c r="BE172" s="99">
        <v>0</v>
      </c>
      <c r="BF172" s="77">
        <v>0</v>
      </c>
      <c r="BG172" s="99">
        <v>0</v>
      </c>
      <c r="BH172" s="99">
        <v>0</v>
      </c>
      <c r="BI172" s="99">
        <v>0</v>
      </c>
      <c r="BJ172" s="99">
        <v>0</v>
      </c>
      <c r="BK172" s="99">
        <v>0</v>
      </c>
      <c r="BL172" s="99">
        <v>0</v>
      </c>
      <c r="BM172" s="99">
        <v>0</v>
      </c>
      <c r="BN172" s="99">
        <v>0</v>
      </c>
      <c r="BO172" s="77">
        <v>0</v>
      </c>
      <c r="BP172" s="99">
        <v>0</v>
      </c>
      <c r="BQ172" s="99">
        <v>0</v>
      </c>
      <c r="BR172" s="99">
        <v>0</v>
      </c>
      <c r="BS172" s="99">
        <v>0</v>
      </c>
      <c r="BT172" s="99">
        <v>0</v>
      </c>
      <c r="BU172" s="99">
        <v>0</v>
      </c>
      <c r="BV172" s="99">
        <v>0</v>
      </c>
      <c r="BW172" s="99">
        <v>0</v>
      </c>
      <c r="BX172" s="99">
        <v>0</v>
      </c>
      <c r="BY172" s="115">
        <v>0</v>
      </c>
      <c r="BZ172" s="103">
        <v>0</v>
      </c>
      <c r="CA172" s="103">
        <v>0</v>
      </c>
      <c r="CB172" s="103">
        <v>0</v>
      </c>
      <c r="CC172" s="103">
        <v>0</v>
      </c>
      <c r="CD172" s="119">
        <v>0</v>
      </c>
    </row>
    <row r="173" spans="1:86" s="8" customFormat="1" x14ac:dyDescent="0.35">
      <c r="A173" s="8" t="s">
        <v>242</v>
      </c>
      <c r="B173" s="10" t="s">
        <v>29</v>
      </c>
      <c r="C173" s="10" t="s">
        <v>56</v>
      </c>
      <c r="D173" s="10" t="s">
        <v>243</v>
      </c>
      <c r="E173" s="251" cm="1">
        <f t="array" ref="E173:G181">MMULT(E22:G30,MINVERSE(_xlfn.MUNIT(3)*CF4:CF6))</f>
        <v>0.14285714285714285</v>
      </c>
      <c r="F173" s="251">
        <v>0</v>
      </c>
      <c r="G173" s="82">
        <v>0</v>
      </c>
      <c r="H173" s="124">
        <v>0</v>
      </c>
      <c r="I173" s="124">
        <v>0</v>
      </c>
      <c r="J173" s="82">
        <v>0</v>
      </c>
      <c r="K173" s="124">
        <v>0</v>
      </c>
      <c r="L173" s="124">
        <v>0</v>
      </c>
      <c r="M173" s="82">
        <v>0</v>
      </c>
      <c r="N173" s="124">
        <v>0</v>
      </c>
      <c r="O173" s="124">
        <v>0</v>
      </c>
      <c r="P173" s="82">
        <v>0</v>
      </c>
      <c r="Q173" s="124">
        <v>0</v>
      </c>
      <c r="R173" s="124">
        <v>0</v>
      </c>
      <c r="S173" s="82">
        <v>0</v>
      </c>
      <c r="T173" s="124">
        <v>0</v>
      </c>
      <c r="U173" s="124">
        <v>0</v>
      </c>
      <c r="V173" s="128">
        <v>0</v>
      </c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/>
      <c r="BC173" s="117"/>
      <c r="BD173" s="117"/>
      <c r="BE173" s="117"/>
      <c r="BF173" s="117"/>
      <c r="BG173" s="117"/>
      <c r="BH173" s="117"/>
      <c r="BI173" s="117"/>
      <c r="BJ173" s="117"/>
      <c r="BK173" s="117"/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0"/>
      <c r="BZ173" s="10"/>
      <c r="CA173" s="10"/>
      <c r="CB173" s="10"/>
      <c r="CC173" s="10"/>
      <c r="CD173" s="10"/>
      <c r="CH173" s="10"/>
    </row>
    <row r="174" spans="1:86" x14ac:dyDescent="0.35">
      <c r="A174" t="s">
        <v>202</v>
      </c>
      <c r="B174" s="13" t="s">
        <v>29</v>
      </c>
      <c r="C174" s="13" t="s">
        <v>56</v>
      </c>
      <c r="D174" s="13" t="s">
        <v>203</v>
      </c>
      <c r="E174" s="125">
        <v>0.14285714285714285</v>
      </c>
      <c r="F174" s="125">
        <v>0</v>
      </c>
      <c r="G174" s="83">
        <v>0</v>
      </c>
      <c r="H174" s="122">
        <v>0</v>
      </c>
      <c r="I174" s="122">
        <v>0</v>
      </c>
      <c r="J174" s="83">
        <v>0</v>
      </c>
      <c r="K174" s="122">
        <v>0</v>
      </c>
      <c r="L174" s="122">
        <v>0</v>
      </c>
      <c r="M174" s="83">
        <v>0</v>
      </c>
      <c r="N174" s="122">
        <v>0</v>
      </c>
      <c r="O174" s="122">
        <v>0</v>
      </c>
      <c r="P174" s="83">
        <v>0</v>
      </c>
      <c r="Q174" s="122">
        <v>0</v>
      </c>
      <c r="R174" s="122">
        <v>0</v>
      </c>
      <c r="S174" s="83">
        <v>0</v>
      </c>
      <c r="T174" s="122">
        <v>0</v>
      </c>
      <c r="U174" s="122">
        <v>0</v>
      </c>
      <c r="V174" s="129">
        <v>0</v>
      </c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</row>
    <row r="175" spans="1:86" x14ac:dyDescent="0.35">
      <c r="A175" t="s">
        <v>204</v>
      </c>
      <c r="B175" s="13" t="s">
        <v>29</v>
      </c>
      <c r="C175" s="13" t="s">
        <v>56</v>
      </c>
      <c r="D175" s="13" t="s">
        <v>205</v>
      </c>
      <c r="E175" s="125">
        <v>0.14285714285714285</v>
      </c>
      <c r="F175" s="125">
        <v>0</v>
      </c>
      <c r="G175" s="83">
        <v>0</v>
      </c>
      <c r="H175" s="122">
        <v>0</v>
      </c>
      <c r="I175" s="122">
        <v>0</v>
      </c>
      <c r="J175" s="83">
        <v>0</v>
      </c>
      <c r="K175" s="122">
        <v>0</v>
      </c>
      <c r="L175" s="122">
        <v>0</v>
      </c>
      <c r="M175" s="83">
        <v>0</v>
      </c>
      <c r="N175" s="122">
        <v>0</v>
      </c>
      <c r="O175" s="122">
        <v>0</v>
      </c>
      <c r="P175" s="83">
        <v>0</v>
      </c>
      <c r="Q175" s="122">
        <v>0</v>
      </c>
      <c r="R175" s="122">
        <v>0</v>
      </c>
      <c r="S175" s="83">
        <v>0</v>
      </c>
      <c r="T175" s="122">
        <v>0</v>
      </c>
      <c r="U175" s="122">
        <v>0</v>
      </c>
      <c r="V175" s="129">
        <v>0</v>
      </c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</row>
    <row r="176" spans="1:86" x14ac:dyDescent="0.35">
      <c r="A176" t="s">
        <v>206</v>
      </c>
      <c r="B176" s="13" t="s">
        <v>29</v>
      </c>
      <c r="C176" s="13" t="s">
        <v>56</v>
      </c>
      <c r="D176" s="13" t="s">
        <v>207</v>
      </c>
      <c r="E176" s="125">
        <v>0.14285714285714285</v>
      </c>
      <c r="F176" s="125">
        <v>0</v>
      </c>
      <c r="G176" s="83">
        <v>0</v>
      </c>
      <c r="H176" s="122">
        <v>0</v>
      </c>
      <c r="I176" s="122">
        <v>0</v>
      </c>
      <c r="J176" s="83">
        <v>0</v>
      </c>
      <c r="K176" s="122">
        <v>0</v>
      </c>
      <c r="L176" s="122">
        <v>0</v>
      </c>
      <c r="M176" s="83">
        <v>0</v>
      </c>
      <c r="N176" s="122">
        <v>0</v>
      </c>
      <c r="O176" s="122">
        <v>0</v>
      </c>
      <c r="P176" s="83">
        <v>0</v>
      </c>
      <c r="Q176" s="122">
        <v>0</v>
      </c>
      <c r="R176" s="122">
        <v>0</v>
      </c>
      <c r="S176" s="83">
        <v>0</v>
      </c>
      <c r="T176" s="122">
        <v>0</v>
      </c>
      <c r="U176" s="122">
        <v>0</v>
      </c>
      <c r="V176" s="129">
        <v>0</v>
      </c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</row>
    <row r="177" spans="1:76" x14ac:dyDescent="0.35">
      <c r="A177" t="s">
        <v>208</v>
      </c>
      <c r="B177" s="13" t="s">
        <v>29</v>
      </c>
      <c r="C177" s="13" t="s">
        <v>56</v>
      </c>
      <c r="D177" s="13" t="s">
        <v>209</v>
      </c>
      <c r="E177" s="125">
        <v>0.14285714285714285</v>
      </c>
      <c r="F177" s="125">
        <v>0</v>
      </c>
      <c r="G177" s="83">
        <v>0</v>
      </c>
      <c r="H177" s="122">
        <v>0</v>
      </c>
      <c r="I177" s="122">
        <v>0</v>
      </c>
      <c r="J177" s="83">
        <v>0</v>
      </c>
      <c r="K177" s="122">
        <v>0</v>
      </c>
      <c r="L177" s="122">
        <v>0</v>
      </c>
      <c r="M177" s="83">
        <v>0</v>
      </c>
      <c r="N177" s="122">
        <v>0</v>
      </c>
      <c r="O177" s="122">
        <v>0</v>
      </c>
      <c r="P177" s="83">
        <v>0</v>
      </c>
      <c r="Q177" s="122">
        <v>0</v>
      </c>
      <c r="R177" s="122">
        <v>0</v>
      </c>
      <c r="S177" s="83">
        <v>0</v>
      </c>
      <c r="T177" s="122">
        <v>0</v>
      </c>
      <c r="U177" s="122">
        <v>0</v>
      </c>
      <c r="V177" s="129">
        <v>0</v>
      </c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</row>
    <row r="178" spans="1:76" x14ac:dyDescent="0.35">
      <c r="A178" t="s">
        <v>210</v>
      </c>
      <c r="B178" s="13" t="s">
        <v>29</v>
      </c>
      <c r="C178" s="13" t="s">
        <v>56</v>
      </c>
      <c r="D178" s="13" t="s">
        <v>211</v>
      </c>
      <c r="E178" s="125">
        <v>0.14285714285714285</v>
      </c>
      <c r="F178" s="125">
        <v>0</v>
      </c>
      <c r="G178" s="83">
        <v>0</v>
      </c>
      <c r="H178" s="122">
        <v>0</v>
      </c>
      <c r="I178" s="122">
        <v>0</v>
      </c>
      <c r="J178" s="83">
        <v>0</v>
      </c>
      <c r="K178" s="122">
        <v>0</v>
      </c>
      <c r="L178" s="122">
        <v>0</v>
      </c>
      <c r="M178" s="83">
        <v>0</v>
      </c>
      <c r="N178" s="122">
        <v>0</v>
      </c>
      <c r="O178" s="122">
        <v>0</v>
      </c>
      <c r="P178" s="83">
        <v>0</v>
      </c>
      <c r="Q178" s="122">
        <v>0</v>
      </c>
      <c r="R178" s="122">
        <v>0</v>
      </c>
      <c r="S178" s="83">
        <v>0</v>
      </c>
      <c r="T178" s="122">
        <v>0</v>
      </c>
      <c r="U178" s="122">
        <v>0</v>
      </c>
      <c r="V178" s="129">
        <v>0</v>
      </c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</row>
    <row r="179" spans="1:76" x14ac:dyDescent="0.35">
      <c r="A179" t="s">
        <v>212</v>
      </c>
      <c r="B179" s="13" t="s">
        <v>29</v>
      </c>
      <c r="C179" s="13" t="s">
        <v>56</v>
      </c>
      <c r="D179" s="13" t="s">
        <v>213</v>
      </c>
      <c r="E179" s="125">
        <v>0.14285714285714285</v>
      </c>
      <c r="F179" s="125">
        <v>0</v>
      </c>
      <c r="G179" s="83">
        <v>0</v>
      </c>
      <c r="H179" s="122">
        <v>0</v>
      </c>
      <c r="I179" s="122">
        <v>0</v>
      </c>
      <c r="J179" s="83">
        <v>0</v>
      </c>
      <c r="K179" s="122">
        <v>0</v>
      </c>
      <c r="L179" s="122">
        <v>0</v>
      </c>
      <c r="M179" s="83">
        <v>0</v>
      </c>
      <c r="N179" s="122">
        <v>0</v>
      </c>
      <c r="O179" s="122">
        <v>0</v>
      </c>
      <c r="P179" s="83">
        <v>0</v>
      </c>
      <c r="Q179" s="122">
        <v>0</v>
      </c>
      <c r="R179" s="122">
        <v>0</v>
      </c>
      <c r="S179" s="83">
        <v>0</v>
      </c>
      <c r="T179" s="122">
        <v>0</v>
      </c>
      <c r="U179" s="122">
        <v>0</v>
      </c>
      <c r="V179" s="129">
        <v>0</v>
      </c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</row>
    <row r="180" spans="1:76" x14ac:dyDescent="0.35">
      <c r="A180" t="s">
        <v>214</v>
      </c>
      <c r="B180" s="13" t="s">
        <v>29</v>
      </c>
      <c r="C180" s="13" t="s">
        <v>53</v>
      </c>
      <c r="D180" s="13" t="s">
        <v>215</v>
      </c>
      <c r="E180" s="122">
        <v>0</v>
      </c>
      <c r="F180" s="252">
        <v>1</v>
      </c>
      <c r="G180" s="126">
        <v>0</v>
      </c>
      <c r="H180" s="122">
        <v>0</v>
      </c>
      <c r="I180" s="122">
        <v>0</v>
      </c>
      <c r="J180" s="83">
        <v>0</v>
      </c>
      <c r="K180" s="122">
        <v>0</v>
      </c>
      <c r="L180" s="122">
        <v>0</v>
      </c>
      <c r="M180" s="83">
        <v>0</v>
      </c>
      <c r="N180" s="122">
        <v>0</v>
      </c>
      <c r="O180" s="122">
        <v>0</v>
      </c>
      <c r="P180" s="83">
        <v>0</v>
      </c>
      <c r="Q180" s="122">
        <v>0</v>
      </c>
      <c r="R180" s="122">
        <v>0</v>
      </c>
      <c r="S180" s="83">
        <v>0</v>
      </c>
      <c r="T180" s="122">
        <v>0</v>
      </c>
      <c r="U180" s="122">
        <v>0</v>
      </c>
      <c r="V180" s="129">
        <v>0</v>
      </c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</row>
    <row r="181" spans="1:76" ht="15" thickBot="1" x14ac:dyDescent="0.4">
      <c r="A181" t="s">
        <v>216</v>
      </c>
      <c r="B181" s="13" t="s">
        <v>29</v>
      </c>
      <c r="C181" s="13" t="s">
        <v>53</v>
      </c>
      <c r="D181" s="13" t="s">
        <v>217</v>
      </c>
      <c r="E181" s="84">
        <v>0</v>
      </c>
      <c r="F181" s="127">
        <v>0</v>
      </c>
      <c r="G181" s="253">
        <v>1</v>
      </c>
      <c r="H181" s="84">
        <v>0</v>
      </c>
      <c r="I181" s="84">
        <v>0</v>
      </c>
      <c r="J181" s="85">
        <v>0</v>
      </c>
      <c r="K181" s="84">
        <v>0</v>
      </c>
      <c r="L181" s="84">
        <v>0</v>
      </c>
      <c r="M181" s="85">
        <v>0</v>
      </c>
      <c r="N181" s="84">
        <v>0</v>
      </c>
      <c r="O181" s="84">
        <v>0</v>
      </c>
      <c r="P181" s="85">
        <v>0</v>
      </c>
      <c r="Q181" s="84">
        <v>0</v>
      </c>
      <c r="R181" s="84">
        <v>0</v>
      </c>
      <c r="S181" s="85">
        <v>0</v>
      </c>
      <c r="T181" s="84">
        <v>0</v>
      </c>
      <c r="U181" s="84">
        <v>0</v>
      </c>
      <c r="V181" s="130">
        <v>0</v>
      </c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</row>
    <row r="182" spans="1:76" x14ac:dyDescent="0.35">
      <c r="A182" t="s">
        <v>242</v>
      </c>
      <c r="B182" s="13" t="s">
        <v>237</v>
      </c>
      <c r="C182" s="13" t="s">
        <v>56</v>
      </c>
      <c r="D182" s="13" t="s">
        <v>243</v>
      </c>
      <c r="E182" s="122">
        <v>0</v>
      </c>
      <c r="F182" s="122">
        <v>0</v>
      </c>
      <c r="G182" s="83">
        <v>0</v>
      </c>
      <c r="H182" s="122">
        <v>0</v>
      </c>
      <c r="I182" s="122">
        <v>0</v>
      </c>
      <c r="J182" s="83">
        <v>0</v>
      </c>
      <c r="K182" s="122">
        <v>0</v>
      </c>
      <c r="L182" s="122">
        <v>0</v>
      </c>
      <c r="M182" s="83">
        <v>0</v>
      </c>
      <c r="N182" s="122">
        <v>0</v>
      </c>
      <c r="O182" s="122">
        <v>0</v>
      </c>
      <c r="P182" s="83">
        <v>0</v>
      </c>
      <c r="Q182" s="122">
        <v>0</v>
      </c>
      <c r="R182" s="122">
        <v>0</v>
      </c>
      <c r="S182" s="83">
        <v>0</v>
      </c>
      <c r="T182" s="122">
        <v>0</v>
      </c>
      <c r="U182" s="122">
        <v>0</v>
      </c>
      <c r="V182" s="129">
        <v>0</v>
      </c>
    </row>
    <row r="183" spans="1:76" x14ac:dyDescent="0.35">
      <c r="A183" t="s">
        <v>202</v>
      </c>
      <c r="B183" s="13" t="s">
        <v>237</v>
      </c>
      <c r="C183" s="13" t="s">
        <v>56</v>
      </c>
      <c r="D183" s="13" t="s">
        <v>203</v>
      </c>
      <c r="E183" s="122">
        <v>0</v>
      </c>
      <c r="F183" s="122">
        <v>0</v>
      </c>
      <c r="G183" s="83">
        <v>0</v>
      </c>
      <c r="H183" s="122">
        <v>0</v>
      </c>
      <c r="I183" s="122">
        <v>0</v>
      </c>
      <c r="J183" s="83">
        <v>0</v>
      </c>
      <c r="K183" s="122">
        <v>0</v>
      </c>
      <c r="L183" s="122">
        <v>0</v>
      </c>
      <c r="M183" s="83">
        <v>0</v>
      </c>
      <c r="N183" s="122">
        <v>0</v>
      </c>
      <c r="O183" s="122">
        <v>0</v>
      </c>
      <c r="P183" s="83">
        <v>0</v>
      </c>
      <c r="Q183" s="122">
        <v>0</v>
      </c>
      <c r="R183" s="122">
        <v>0</v>
      </c>
      <c r="S183" s="83">
        <v>0</v>
      </c>
      <c r="T183" s="122">
        <v>0</v>
      </c>
      <c r="U183" s="122">
        <v>0</v>
      </c>
      <c r="V183" s="129">
        <v>0</v>
      </c>
    </row>
    <row r="184" spans="1:76" x14ac:dyDescent="0.35">
      <c r="A184" t="s">
        <v>204</v>
      </c>
      <c r="B184" s="13" t="s">
        <v>237</v>
      </c>
      <c r="C184" s="13" t="s">
        <v>56</v>
      </c>
      <c r="D184" s="13" t="s">
        <v>205</v>
      </c>
      <c r="E184" s="122">
        <v>0</v>
      </c>
      <c r="F184" s="122">
        <v>0</v>
      </c>
      <c r="G184" s="83">
        <v>0</v>
      </c>
      <c r="H184" s="122">
        <v>0</v>
      </c>
      <c r="I184" s="122">
        <v>0</v>
      </c>
      <c r="J184" s="83">
        <v>0</v>
      </c>
      <c r="K184" s="122">
        <v>0</v>
      </c>
      <c r="L184" s="122">
        <v>0</v>
      </c>
      <c r="M184" s="83">
        <v>0</v>
      </c>
      <c r="N184" s="122">
        <v>0</v>
      </c>
      <c r="O184" s="122">
        <v>0</v>
      </c>
      <c r="P184" s="83">
        <v>0</v>
      </c>
      <c r="Q184" s="122">
        <v>0</v>
      </c>
      <c r="R184" s="122">
        <v>0</v>
      </c>
      <c r="S184" s="83">
        <v>0</v>
      </c>
      <c r="T184" s="122">
        <v>0</v>
      </c>
      <c r="U184" s="122">
        <v>0</v>
      </c>
      <c r="V184" s="129">
        <v>0</v>
      </c>
    </row>
    <row r="185" spans="1:76" x14ac:dyDescent="0.35">
      <c r="A185" t="s">
        <v>206</v>
      </c>
      <c r="B185" s="13" t="s">
        <v>237</v>
      </c>
      <c r="C185" s="13" t="s">
        <v>56</v>
      </c>
      <c r="D185" s="13" t="s">
        <v>207</v>
      </c>
      <c r="E185" s="122">
        <v>0</v>
      </c>
      <c r="F185" s="122">
        <v>0</v>
      </c>
      <c r="G185" s="83">
        <v>0</v>
      </c>
      <c r="H185" s="122">
        <v>0</v>
      </c>
      <c r="I185" s="122">
        <v>0</v>
      </c>
      <c r="J185" s="83">
        <v>0</v>
      </c>
      <c r="K185" s="122">
        <v>0</v>
      </c>
      <c r="L185" s="122">
        <v>0</v>
      </c>
      <c r="M185" s="83">
        <v>0</v>
      </c>
      <c r="N185" s="122">
        <v>0</v>
      </c>
      <c r="O185" s="122">
        <v>0</v>
      </c>
      <c r="P185" s="83">
        <v>0</v>
      </c>
      <c r="Q185" s="122">
        <v>0</v>
      </c>
      <c r="R185" s="122">
        <v>0</v>
      </c>
      <c r="S185" s="83">
        <v>0</v>
      </c>
      <c r="T185" s="122">
        <v>0</v>
      </c>
      <c r="U185" s="122">
        <v>0</v>
      </c>
      <c r="V185" s="129">
        <v>0</v>
      </c>
    </row>
    <row r="186" spans="1:76" x14ac:dyDescent="0.35">
      <c r="A186" t="s">
        <v>208</v>
      </c>
      <c r="B186" s="13" t="s">
        <v>237</v>
      </c>
      <c r="C186" s="13" t="s">
        <v>56</v>
      </c>
      <c r="D186" s="13" t="s">
        <v>209</v>
      </c>
      <c r="E186" s="122">
        <v>0</v>
      </c>
      <c r="F186" s="122">
        <v>0</v>
      </c>
      <c r="G186" s="83">
        <v>0</v>
      </c>
      <c r="H186" s="122">
        <v>0</v>
      </c>
      <c r="I186" s="122">
        <v>0</v>
      </c>
      <c r="J186" s="83">
        <v>0</v>
      </c>
      <c r="K186" s="122">
        <v>0</v>
      </c>
      <c r="L186" s="122">
        <v>0</v>
      </c>
      <c r="M186" s="83">
        <v>0</v>
      </c>
      <c r="N186" s="122">
        <v>0</v>
      </c>
      <c r="O186" s="122">
        <v>0</v>
      </c>
      <c r="P186" s="83">
        <v>0</v>
      </c>
      <c r="Q186" s="122">
        <v>0</v>
      </c>
      <c r="R186" s="122">
        <v>0</v>
      </c>
      <c r="S186" s="83">
        <v>0</v>
      </c>
      <c r="T186" s="122">
        <v>0</v>
      </c>
      <c r="U186" s="122">
        <v>0</v>
      </c>
      <c r="V186" s="129">
        <v>0</v>
      </c>
    </row>
    <row r="187" spans="1:76" x14ac:dyDescent="0.35">
      <c r="A187" t="s">
        <v>210</v>
      </c>
      <c r="B187" s="13" t="s">
        <v>237</v>
      </c>
      <c r="C187" s="13" t="s">
        <v>56</v>
      </c>
      <c r="D187" s="13" t="s">
        <v>211</v>
      </c>
      <c r="E187" s="122">
        <v>0</v>
      </c>
      <c r="F187" s="122">
        <v>0</v>
      </c>
      <c r="G187" s="83">
        <v>0</v>
      </c>
      <c r="H187" s="122">
        <v>0</v>
      </c>
      <c r="I187" s="122">
        <v>0</v>
      </c>
      <c r="J187" s="83">
        <v>0</v>
      </c>
      <c r="K187" s="122">
        <v>0</v>
      </c>
      <c r="L187" s="122">
        <v>0</v>
      </c>
      <c r="M187" s="83">
        <v>0</v>
      </c>
      <c r="N187" s="122">
        <v>0</v>
      </c>
      <c r="O187" s="122">
        <v>0</v>
      </c>
      <c r="P187" s="83">
        <v>0</v>
      </c>
      <c r="Q187" s="122">
        <v>0</v>
      </c>
      <c r="R187" s="122">
        <v>0</v>
      </c>
      <c r="S187" s="83">
        <v>0</v>
      </c>
      <c r="T187" s="122">
        <v>0</v>
      </c>
      <c r="U187" s="122">
        <v>0</v>
      </c>
      <c r="V187" s="129">
        <v>0</v>
      </c>
    </row>
    <row r="188" spans="1:76" x14ac:dyDescent="0.35">
      <c r="A188" t="s">
        <v>212</v>
      </c>
      <c r="B188" s="13" t="s">
        <v>237</v>
      </c>
      <c r="C188" s="13" t="s">
        <v>56</v>
      </c>
      <c r="D188" s="13" t="s">
        <v>213</v>
      </c>
      <c r="E188" s="122">
        <v>0</v>
      </c>
      <c r="F188" s="122">
        <v>0</v>
      </c>
      <c r="G188" s="83">
        <v>0</v>
      </c>
      <c r="H188" s="122">
        <v>0</v>
      </c>
      <c r="I188" s="122">
        <v>0</v>
      </c>
      <c r="J188" s="83">
        <v>0</v>
      </c>
      <c r="K188" s="122">
        <v>0</v>
      </c>
      <c r="L188" s="122">
        <v>0</v>
      </c>
      <c r="M188" s="83">
        <v>0</v>
      </c>
      <c r="N188" s="122">
        <v>0</v>
      </c>
      <c r="O188" s="122">
        <v>0</v>
      </c>
      <c r="P188" s="83">
        <v>0</v>
      </c>
      <c r="Q188" s="122">
        <v>0</v>
      </c>
      <c r="R188" s="122">
        <v>0</v>
      </c>
      <c r="S188" s="83">
        <v>0</v>
      </c>
      <c r="T188" s="122">
        <v>0</v>
      </c>
      <c r="U188" s="122">
        <v>0</v>
      </c>
      <c r="V188" s="129">
        <v>0</v>
      </c>
    </row>
    <row r="189" spans="1:76" x14ac:dyDescent="0.35">
      <c r="A189" t="s">
        <v>214</v>
      </c>
      <c r="B189" s="13" t="s">
        <v>237</v>
      </c>
      <c r="C189" s="13" t="s">
        <v>53</v>
      </c>
      <c r="D189" s="13" t="s">
        <v>215</v>
      </c>
      <c r="E189" s="122">
        <v>0</v>
      </c>
      <c r="F189" s="122">
        <v>0</v>
      </c>
      <c r="G189" s="83">
        <v>0</v>
      </c>
      <c r="H189" s="122">
        <v>0</v>
      </c>
      <c r="I189" s="122">
        <v>0</v>
      </c>
      <c r="J189" s="83">
        <v>0</v>
      </c>
      <c r="K189" s="122">
        <v>0</v>
      </c>
      <c r="L189" s="122">
        <v>0</v>
      </c>
      <c r="M189" s="83">
        <v>0</v>
      </c>
      <c r="N189" s="122">
        <v>0</v>
      </c>
      <c r="O189" s="122">
        <v>0</v>
      </c>
      <c r="P189" s="83">
        <v>0</v>
      </c>
      <c r="Q189" s="122">
        <v>0</v>
      </c>
      <c r="R189" s="122">
        <v>0</v>
      </c>
      <c r="S189" s="83">
        <v>0</v>
      </c>
      <c r="T189" s="122">
        <v>0</v>
      </c>
      <c r="U189" s="122">
        <v>0</v>
      </c>
      <c r="V189" s="129">
        <v>0</v>
      </c>
    </row>
    <row r="190" spans="1:76" ht="15" thickBot="1" x14ac:dyDescent="0.4">
      <c r="A190" t="s">
        <v>216</v>
      </c>
      <c r="B190" s="13" t="s">
        <v>237</v>
      </c>
      <c r="C190" s="13" t="s">
        <v>53</v>
      </c>
      <c r="D190" s="13" t="s">
        <v>217</v>
      </c>
      <c r="E190" s="84">
        <v>0</v>
      </c>
      <c r="F190" s="84">
        <v>0</v>
      </c>
      <c r="G190" s="85">
        <v>0</v>
      </c>
      <c r="H190" s="84">
        <v>0</v>
      </c>
      <c r="I190" s="84">
        <v>0</v>
      </c>
      <c r="J190" s="85">
        <v>0</v>
      </c>
      <c r="K190" s="84">
        <v>0</v>
      </c>
      <c r="L190" s="84">
        <v>0</v>
      </c>
      <c r="M190" s="85">
        <v>0</v>
      </c>
      <c r="N190" s="84">
        <v>0</v>
      </c>
      <c r="O190" s="84">
        <v>0</v>
      </c>
      <c r="P190" s="85">
        <v>0</v>
      </c>
      <c r="Q190" s="84">
        <v>0</v>
      </c>
      <c r="R190" s="84">
        <v>0</v>
      </c>
      <c r="S190" s="85">
        <v>0</v>
      </c>
      <c r="T190" s="84">
        <v>0</v>
      </c>
      <c r="U190" s="84">
        <v>0</v>
      </c>
      <c r="V190" s="130">
        <v>0</v>
      </c>
    </row>
    <row r="191" spans="1:76" x14ac:dyDescent="0.35">
      <c r="A191" t="s">
        <v>242</v>
      </c>
      <c r="B191" s="13" t="s">
        <v>238</v>
      </c>
      <c r="C191" s="13" t="s">
        <v>56</v>
      </c>
      <c r="D191" s="13" t="s">
        <v>243</v>
      </c>
      <c r="E191" s="122">
        <v>0</v>
      </c>
      <c r="F191" s="122">
        <v>0</v>
      </c>
      <c r="G191" s="83">
        <v>0</v>
      </c>
      <c r="H191" s="122">
        <v>0</v>
      </c>
      <c r="I191" s="122">
        <v>0</v>
      </c>
      <c r="J191" s="83">
        <v>0</v>
      </c>
      <c r="K191" s="122">
        <v>0</v>
      </c>
      <c r="L191" s="122">
        <v>0</v>
      </c>
      <c r="M191" s="83">
        <v>0</v>
      </c>
      <c r="N191" s="122">
        <v>0</v>
      </c>
      <c r="O191" s="122">
        <v>0</v>
      </c>
      <c r="P191" s="83">
        <v>0</v>
      </c>
      <c r="Q191" s="122">
        <v>0</v>
      </c>
      <c r="R191" s="122">
        <v>0</v>
      </c>
      <c r="S191" s="83">
        <v>0</v>
      </c>
      <c r="T191" s="122">
        <v>0</v>
      </c>
      <c r="U191" s="122">
        <v>0</v>
      </c>
      <c r="V191" s="129">
        <v>0</v>
      </c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</row>
    <row r="192" spans="1:76" x14ac:dyDescent="0.35">
      <c r="A192" t="s">
        <v>202</v>
      </c>
      <c r="B192" s="13" t="s">
        <v>238</v>
      </c>
      <c r="C192" s="13" t="s">
        <v>56</v>
      </c>
      <c r="D192" s="13" t="s">
        <v>203</v>
      </c>
      <c r="E192" s="122">
        <v>0</v>
      </c>
      <c r="F192" s="122">
        <v>0</v>
      </c>
      <c r="G192" s="83">
        <v>0</v>
      </c>
      <c r="H192" s="122">
        <v>0</v>
      </c>
      <c r="I192" s="122">
        <v>0</v>
      </c>
      <c r="J192" s="83">
        <v>0</v>
      </c>
      <c r="K192" s="122">
        <v>0</v>
      </c>
      <c r="L192" s="122">
        <v>0</v>
      </c>
      <c r="M192" s="83">
        <v>0</v>
      </c>
      <c r="N192" s="122">
        <v>0</v>
      </c>
      <c r="O192" s="122">
        <v>0</v>
      </c>
      <c r="P192" s="83">
        <v>0</v>
      </c>
      <c r="Q192" s="122">
        <v>0</v>
      </c>
      <c r="R192" s="122">
        <v>0</v>
      </c>
      <c r="S192" s="83">
        <v>0</v>
      </c>
      <c r="T192" s="122">
        <v>0</v>
      </c>
      <c r="U192" s="122">
        <v>0</v>
      </c>
      <c r="V192" s="129">
        <v>0</v>
      </c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</row>
    <row r="193" spans="1:76" x14ac:dyDescent="0.35">
      <c r="A193" t="s">
        <v>204</v>
      </c>
      <c r="B193" s="13" t="s">
        <v>238</v>
      </c>
      <c r="C193" s="13" t="s">
        <v>56</v>
      </c>
      <c r="D193" s="13" t="s">
        <v>205</v>
      </c>
      <c r="E193" s="122">
        <v>0</v>
      </c>
      <c r="F193" s="122">
        <v>0</v>
      </c>
      <c r="G193" s="83">
        <v>0</v>
      </c>
      <c r="H193" s="122">
        <v>0</v>
      </c>
      <c r="I193" s="122">
        <v>0</v>
      </c>
      <c r="J193" s="83">
        <v>0</v>
      </c>
      <c r="K193" s="122">
        <v>0</v>
      </c>
      <c r="L193" s="122">
        <v>0</v>
      </c>
      <c r="M193" s="83">
        <v>0</v>
      </c>
      <c r="N193" s="122">
        <v>0</v>
      </c>
      <c r="O193" s="122">
        <v>0</v>
      </c>
      <c r="P193" s="83">
        <v>0</v>
      </c>
      <c r="Q193" s="122">
        <v>0</v>
      </c>
      <c r="R193" s="122">
        <v>0</v>
      </c>
      <c r="S193" s="83">
        <v>0</v>
      </c>
      <c r="T193" s="122">
        <v>0</v>
      </c>
      <c r="U193" s="122">
        <v>0</v>
      </c>
      <c r="V193" s="129">
        <v>0</v>
      </c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</row>
    <row r="194" spans="1:76" x14ac:dyDescent="0.35">
      <c r="A194" t="s">
        <v>206</v>
      </c>
      <c r="B194" s="13" t="s">
        <v>238</v>
      </c>
      <c r="C194" s="13" t="s">
        <v>56</v>
      </c>
      <c r="D194" s="13" t="s">
        <v>207</v>
      </c>
      <c r="E194" s="122">
        <v>0</v>
      </c>
      <c r="F194" s="122">
        <v>0</v>
      </c>
      <c r="G194" s="83">
        <v>0</v>
      </c>
      <c r="H194" s="122">
        <v>0</v>
      </c>
      <c r="I194" s="122">
        <v>0</v>
      </c>
      <c r="J194" s="83">
        <v>0</v>
      </c>
      <c r="K194" s="122">
        <v>0</v>
      </c>
      <c r="L194" s="122">
        <v>0</v>
      </c>
      <c r="M194" s="83">
        <v>0</v>
      </c>
      <c r="N194" s="122">
        <v>0</v>
      </c>
      <c r="O194" s="122">
        <v>0</v>
      </c>
      <c r="P194" s="83">
        <v>0</v>
      </c>
      <c r="Q194" s="122">
        <v>0</v>
      </c>
      <c r="R194" s="122">
        <v>0</v>
      </c>
      <c r="S194" s="83">
        <v>0</v>
      </c>
      <c r="T194" s="122">
        <v>0</v>
      </c>
      <c r="U194" s="122">
        <v>0</v>
      </c>
      <c r="V194" s="129">
        <v>0</v>
      </c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</row>
    <row r="195" spans="1:76" x14ac:dyDescent="0.35">
      <c r="A195" t="s">
        <v>208</v>
      </c>
      <c r="B195" s="13" t="s">
        <v>238</v>
      </c>
      <c r="C195" s="13" t="s">
        <v>56</v>
      </c>
      <c r="D195" s="13" t="s">
        <v>209</v>
      </c>
      <c r="E195" s="122">
        <v>0</v>
      </c>
      <c r="F195" s="122">
        <v>0</v>
      </c>
      <c r="G195" s="83">
        <v>0</v>
      </c>
      <c r="H195" s="122">
        <v>0</v>
      </c>
      <c r="I195" s="122">
        <v>0</v>
      </c>
      <c r="J195" s="83">
        <v>0</v>
      </c>
      <c r="K195" s="122">
        <v>0</v>
      </c>
      <c r="L195" s="122">
        <v>0</v>
      </c>
      <c r="M195" s="83">
        <v>0</v>
      </c>
      <c r="N195" s="122">
        <v>0</v>
      </c>
      <c r="O195" s="122">
        <v>0</v>
      </c>
      <c r="P195" s="83">
        <v>0</v>
      </c>
      <c r="Q195" s="122">
        <v>0</v>
      </c>
      <c r="R195" s="122">
        <v>0</v>
      </c>
      <c r="S195" s="83">
        <v>0</v>
      </c>
      <c r="T195" s="122">
        <v>0</v>
      </c>
      <c r="U195" s="122">
        <v>0</v>
      </c>
      <c r="V195" s="129">
        <v>0</v>
      </c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</row>
    <row r="196" spans="1:76" x14ac:dyDescent="0.35">
      <c r="A196" t="s">
        <v>210</v>
      </c>
      <c r="B196" s="13" t="s">
        <v>238</v>
      </c>
      <c r="C196" s="13" t="s">
        <v>56</v>
      </c>
      <c r="D196" s="13" t="s">
        <v>211</v>
      </c>
      <c r="E196" s="122">
        <v>0</v>
      </c>
      <c r="F196" s="122">
        <v>0</v>
      </c>
      <c r="G196" s="83">
        <v>0</v>
      </c>
      <c r="H196" s="122">
        <v>0</v>
      </c>
      <c r="I196" s="122">
        <v>0</v>
      </c>
      <c r="J196" s="83">
        <v>0</v>
      </c>
      <c r="K196" s="122">
        <v>0</v>
      </c>
      <c r="L196" s="122">
        <v>0</v>
      </c>
      <c r="M196" s="83">
        <v>0</v>
      </c>
      <c r="N196" s="122">
        <v>0</v>
      </c>
      <c r="O196" s="122">
        <v>0</v>
      </c>
      <c r="P196" s="83">
        <v>0</v>
      </c>
      <c r="Q196" s="122">
        <v>0</v>
      </c>
      <c r="R196" s="122">
        <v>0</v>
      </c>
      <c r="S196" s="83">
        <v>0</v>
      </c>
      <c r="T196" s="122">
        <v>0</v>
      </c>
      <c r="U196" s="122">
        <v>0</v>
      </c>
      <c r="V196" s="129">
        <v>0</v>
      </c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</row>
    <row r="197" spans="1:76" x14ac:dyDescent="0.35">
      <c r="A197" t="s">
        <v>212</v>
      </c>
      <c r="B197" s="13" t="s">
        <v>238</v>
      </c>
      <c r="C197" s="13" t="s">
        <v>56</v>
      </c>
      <c r="D197" s="13" t="s">
        <v>213</v>
      </c>
      <c r="E197" s="122">
        <v>0</v>
      </c>
      <c r="F197" s="122">
        <v>0</v>
      </c>
      <c r="G197" s="83">
        <v>0</v>
      </c>
      <c r="H197" s="122">
        <v>0</v>
      </c>
      <c r="I197" s="122">
        <v>0</v>
      </c>
      <c r="J197" s="83">
        <v>0</v>
      </c>
      <c r="K197" s="122">
        <v>0</v>
      </c>
      <c r="L197" s="122">
        <v>0</v>
      </c>
      <c r="M197" s="83">
        <v>0</v>
      </c>
      <c r="N197" s="122">
        <v>0</v>
      </c>
      <c r="O197" s="122">
        <v>0</v>
      </c>
      <c r="P197" s="83">
        <v>0</v>
      </c>
      <c r="Q197" s="122">
        <v>0</v>
      </c>
      <c r="R197" s="122">
        <v>0</v>
      </c>
      <c r="S197" s="83">
        <v>0</v>
      </c>
      <c r="T197" s="122">
        <v>0</v>
      </c>
      <c r="U197" s="122">
        <v>0</v>
      </c>
      <c r="V197" s="129">
        <v>0</v>
      </c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</row>
    <row r="198" spans="1:76" x14ac:dyDescent="0.35">
      <c r="A198" t="s">
        <v>244</v>
      </c>
      <c r="B198" s="13" t="s">
        <v>238</v>
      </c>
      <c r="C198" s="13" t="s">
        <v>53</v>
      </c>
      <c r="D198" s="13" t="s">
        <v>215</v>
      </c>
      <c r="E198" s="122">
        <v>0</v>
      </c>
      <c r="F198" s="122">
        <v>0</v>
      </c>
      <c r="G198" s="83">
        <v>0</v>
      </c>
      <c r="H198" s="122">
        <v>0</v>
      </c>
      <c r="I198" s="122">
        <v>0</v>
      </c>
      <c r="J198" s="83">
        <v>0</v>
      </c>
      <c r="K198" s="122">
        <v>0</v>
      </c>
      <c r="L198" s="122">
        <v>0</v>
      </c>
      <c r="M198" s="83">
        <v>0</v>
      </c>
      <c r="N198" s="122">
        <v>0</v>
      </c>
      <c r="O198" s="122">
        <v>0</v>
      </c>
      <c r="P198" s="83">
        <v>0</v>
      </c>
      <c r="Q198" s="122">
        <v>0</v>
      </c>
      <c r="R198" s="122">
        <v>0</v>
      </c>
      <c r="S198" s="83">
        <v>0</v>
      </c>
      <c r="T198" s="122">
        <v>0</v>
      </c>
      <c r="U198" s="122">
        <v>0</v>
      </c>
      <c r="V198" s="129">
        <v>0</v>
      </c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</row>
    <row r="199" spans="1:76" s="13" customFormat="1" ht="15" thickBot="1" x14ac:dyDescent="0.4">
      <c r="A199" t="s">
        <v>216</v>
      </c>
      <c r="B199" s="13" t="s">
        <v>238</v>
      </c>
      <c r="C199" s="13" t="s">
        <v>53</v>
      </c>
      <c r="D199" s="13" t="s">
        <v>217</v>
      </c>
      <c r="E199" s="84">
        <v>0</v>
      </c>
      <c r="F199" s="84">
        <v>0</v>
      </c>
      <c r="G199" s="85">
        <v>0</v>
      </c>
      <c r="H199" s="84">
        <v>0</v>
      </c>
      <c r="I199" s="84">
        <v>0</v>
      </c>
      <c r="J199" s="85">
        <v>0</v>
      </c>
      <c r="K199" s="84">
        <v>0</v>
      </c>
      <c r="L199" s="84">
        <v>0</v>
      </c>
      <c r="M199" s="85">
        <v>0</v>
      </c>
      <c r="N199" s="84">
        <v>0</v>
      </c>
      <c r="O199" s="84">
        <v>0</v>
      </c>
      <c r="P199" s="85">
        <v>0</v>
      </c>
      <c r="Q199" s="84">
        <v>0</v>
      </c>
      <c r="R199" s="84">
        <v>0</v>
      </c>
      <c r="S199" s="85">
        <v>0</v>
      </c>
      <c r="T199" s="84">
        <v>0</v>
      </c>
      <c r="U199" s="84">
        <v>0</v>
      </c>
      <c r="V199" s="130">
        <v>0</v>
      </c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</row>
    <row r="200" spans="1:76" s="13" customFormat="1" x14ac:dyDescent="0.35">
      <c r="A200" t="s">
        <v>242</v>
      </c>
      <c r="B200" s="13" t="s">
        <v>239</v>
      </c>
      <c r="C200" s="13" t="s">
        <v>56</v>
      </c>
      <c r="D200" s="13" t="s">
        <v>243</v>
      </c>
      <c r="E200" s="122">
        <v>0</v>
      </c>
      <c r="F200" s="122">
        <v>0</v>
      </c>
      <c r="G200" s="83">
        <v>0</v>
      </c>
      <c r="H200" s="122">
        <v>0</v>
      </c>
      <c r="I200" s="122">
        <v>0</v>
      </c>
      <c r="J200" s="83">
        <v>0</v>
      </c>
      <c r="K200" s="122">
        <v>0</v>
      </c>
      <c r="L200" s="122">
        <v>0</v>
      </c>
      <c r="M200" s="83">
        <v>0</v>
      </c>
      <c r="N200" s="122">
        <v>0</v>
      </c>
      <c r="O200" s="122">
        <v>0</v>
      </c>
      <c r="P200" s="83">
        <v>0</v>
      </c>
      <c r="Q200" s="122">
        <v>0</v>
      </c>
      <c r="R200" s="122">
        <v>0</v>
      </c>
      <c r="S200" s="83">
        <v>0</v>
      </c>
      <c r="T200" s="122">
        <v>0</v>
      </c>
      <c r="U200" s="122">
        <v>0</v>
      </c>
      <c r="V200" s="129">
        <v>0</v>
      </c>
      <c r="W200" s="56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</row>
    <row r="201" spans="1:76" s="13" customFormat="1" x14ac:dyDescent="0.35">
      <c r="A201" t="s">
        <v>202</v>
      </c>
      <c r="B201" s="13" t="s">
        <v>239</v>
      </c>
      <c r="C201" s="13" t="s">
        <v>56</v>
      </c>
      <c r="D201" s="13" t="s">
        <v>203</v>
      </c>
      <c r="E201" s="122">
        <v>0</v>
      </c>
      <c r="F201" s="122">
        <v>0</v>
      </c>
      <c r="G201" s="83">
        <v>0</v>
      </c>
      <c r="H201" s="122">
        <v>0</v>
      </c>
      <c r="I201" s="122">
        <v>0</v>
      </c>
      <c r="J201" s="83">
        <v>0</v>
      </c>
      <c r="K201" s="122">
        <v>0</v>
      </c>
      <c r="L201" s="122">
        <v>0</v>
      </c>
      <c r="M201" s="83">
        <v>0</v>
      </c>
      <c r="N201" s="122">
        <v>0</v>
      </c>
      <c r="O201" s="122">
        <v>0</v>
      </c>
      <c r="P201" s="83">
        <v>0</v>
      </c>
      <c r="Q201" s="122">
        <v>0</v>
      </c>
      <c r="R201" s="122">
        <v>0</v>
      </c>
      <c r="S201" s="83">
        <v>0</v>
      </c>
      <c r="T201" s="122">
        <v>0</v>
      </c>
      <c r="U201" s="122">
        <v>0</v>
      </c>
      <c r="V201" s="129">
        <v>0</v>
      </c>
      <c r="W201" s="56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</row>
    <row r="202" spans="1:76" s="13" customFormat="1" x14ac:dyDescent="0.35">
      <c r="A202" t="s">
        <v>204</v>
      </c>
      <c r="B202" s="13" t="s">
        <v>239</v>
      </c>
      <c r="C202" s="13" t="s">
        <v>56</v>
      </c>
      <c r="D202" s="13" t="s">
        <v>205</v>
      </c>
      <c r="E202" s="122">
        <v>0</v>
      </c>
      <c r="F202" s="122">
        <v>0</v>
      </c>
      <c r="G202" s="83">
        <v>0</v>
      </c>
      <c r="H202" s="122">
        <v>0</v>
      </c>
      <c r="I202" s="122">
        <v>0</v>
      </c>
      <c r="J202" s="83">
        <v>0</v>
      </c>
      <c r="K202" s="122">
        <v>0</v>
      </c>
      <c r="L202" s="122">
        <v>0</v>
      </c>
      <c r="M202" s="83">
        <v>0</v>
      </c>
      <c r="N202" s="122">
        <v>0</v>
      </c>
      <c r="O202" s="122">
        <v>0</v>
      </c>
      <c r="P202" s="83">
        <v>0</v>
      </c>
      <c r="Q202" s="122">
        <v>0</v>
      </c>
      <c r="R202" s="122">
        <v>0</v>
      </c>
      <c r="S202" s="83">
        <v>0</v>
      </c>
      <c r="T202" s="122">
        <v>0</v>
      </c>
      <c r="U202" s="122">
        <v>0</v>
      </c>
      <c r="V202" s="129">
        <v>0</v>
      </c>
      <c r="W202" s="56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</row>
    <row r="203" spans="1:76" s="13" customFormat="1" x14ac:dyDescent="0.35">
      <c r="A203" t="s">
        <v>206</v>
      </c>
      <c r="B203" s="13" t="s">
        <v>239</v>
      </c>
      <c r="C203" s="13" t="s">
        <v>56</v>
      </c>
      <c r="D203" s="13" t="s">
        <v>207</v>
      </c>
      <c r="E203" s="122">
        <v>0</v>
      </c>
      <c r="F203" s="122">
        <v>0</v>
      </c>
      <c r="G203" s="83">
        <v>0</v>
      </c>
      <c r="H203" s="122">
        <v>0</v>
      </c>
      <c r="I203" s="122">
        <v>0</v>
      </c>
      <c r="J203" s="83">
        <v>0</v>
      </c>
      <c r="K203" s="122">
        <v>0</v>
      </c>
      <c r="L203" s="122">
        <v>0</v>
      </c>
      <c r="M203" s="83">
        <v>0</v>
      </c>
      <c r="N203" s="122">
        <v>0</v>
      </c>
      <c r="O203" s="122">
        <v>0</v>
      </c>
      <c r="P203" s="83">
        <v>0</v>
      </c>
      <c r="Q203" s="122">
        <v>0</v>
      </c>
      <c r="R203" s="122">
        <v>0</v>
      </c>
      <c r="S203" s="83">
        <v>0</v>
      </c>
      <c r="T203" s="122">
        <v>0</v>
      </c>
      <c r="U203" s="122">
        <v>0</v>
      </c>
      <c r="V203" s="129">
        <v>0</v>
      </c>
      <c r="W203" s="56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</row>
    <row r="204" spans="1:76" s="13" customFormat="1" x14ac:dyDescent="0.35">
      <c r="A204" t="s">
        <v>208</v>
      </c>
      <c r="B204" s="13" t="s">
        <v>239</v>
      </c>
      <c r="C204" s="13" t="s">
        <v>56</v>
      </c>
      <c r="D204" s="13" t="s">
        <v>209</v>
      </c>
      <c r="E204" s="122">
        <v>0</v>
      </c>
      <c r="F204" s="122">
        <v>0</v>
      </c>
      <c r="G204" s="83">
        <v>0</v>
      </c>
      <c r="H204" s="122">
        <v>0</v>
      </c>
      <c r="I204" s="122">
        <v>0</v>
      </c>
      <c r="J204" s="83">
        <v>0</v>
      </c>
      <c r="K204" s="122">
        <v>0</v>
      </c>
      <c r="L204" s="122">
        <v>0</v>
      </c>
      <c r="M204" s="83">
        <v>0</v>
      </c>
      <c r="N204" s="122">
        <v>0</v>
      </c>
      <c r="O204" s="122">
        <v>0</v>
      </c>
      <c r="P204" s="83">
        <v>0</v>
      </c>
      <c r="Q204" s="122">
        <v>0</v>
      </c>
      <c r="R204" s="122">
        <v>0</v>
      </c>
      <c r="S204" s="83">
        <v>0</v>
      </c>
      <c r="T204" s="122">
        <v>0</v>
      </c>
      <c r="U204" s="122">
        <v>0</v>
      </c>
      <c r="V204" s="129">
        <v>0</v>
      </c>
      <c r="W204" s="56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</row>
    <row r="205" spans="1:76" s="13" customFormat="1" x14ac:dyDescent="0.35">
      <c r="A205" t="s">
        <v>210</v>
      </c>
      <c r="B205" s="13" t="s">
        <v>239</v>
      </c>
      <c r="C205" s="13" t="s">
        <v>56</v>
      </c>
      <c r="D205" s="13" t="s">
        <v>211</v>
      </c>
      <c r="E205" s="122">
        <v>0</v>
      </c>
      <c r="F205" s="122">
        <v>0</v>
      </c>
      <c r="G205" s="83">
        <v>0</v>
      </c>
      <c r="H205" s="122">
        <v>0</v>
      </c>
      <c r="I205" s="122">
        <v>0</v>
      </c>
      <c r="J205" s="83">
        <v>0</v>
      </c>
      <c r="K205" s="122">
        <v>0</v>
      </c>
      <c r="L205" s="122">
        <v>0</v>
      </c>
      <c r="M205" s="83">
        <v>0</v>
      </c>
      <c r="N205" s="122">
        <v>0</v>
      </c>
      <c r="O205" s="122">
        <v>0</v>
      </c>
      <c r="P205" s="83">
        <v>0</v>
      </c>
      <c r="Q205" s="122">
        <v>0</v>
      </c>
      <c r="R205" s="122">
        <v>0</v>
      </c>
      <c r="S205" s="83">
        <v>0</v>
      </c>
      <c r="T205" s="122">
        <v>0</v>
      </c>
      <c r="U205" s="122">
        <v>0</v>
      </c>
      <c r="V205" s="129">
        <v>0</v>
      </c>
      <c r="W205" s="56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</row>
    <row r="206" spans="1:76" s="13" customFormat="1" x14ac:dyDescent="0.35">
      <c r="A206" t="s">
        <v>212</v>
      </c>
      <c r="B206" s="13" t="s">
        <v>239</v>
      </c>
      <c r="C206" s="13" t="s">
        <v>56</v>
      </c>
      <c r="D206" s="13" t="s">
        <v>213</v>
      </c>
      <c r="E206" s="122">
        <v>0</v>
      </c>
      <c r="F206" s="122">
        <v>0</v>
      </c>
      <c r="G206" s="83">
        <v>0</v>
      </c>
      <c r="H206" s="122">
        <v>0</v>
      </c>
      <c r="I206" s="122">
        <v>0</v>
      </c>
      <c r="J206" s="83">
        <v>0</v>
      </c>
      <c r="K206" s="122">
        <v>0</v>
      </c>
      <c r="L206" s="122">
        <v>0</v>
      </c>
      <c r="M206" s="83">
        <v>0</v>
      </c>
      <c r="N206" s="122">
        <v>0</v>
      </c>
      <c r="O206" s="122">
        <v>0</v>
      </c>
      <c r="P206" s="83">
        <v>0</v>
      </c>
      <c r="Q206" s="122">
        <v>0</v>
      </c>
      <c r="R206" s="122">
        <v>0</v>
      </c>
      <c r="S206" s="83">
        <v>0</v>
      </c>
      <c r="T206" s="122">
        <v>0</v>
      </c>
      <c r="U206" s="122">
        <v>0</v>
      </c>
      <c r="V206" s="129">
        <v>0</v>
      </c>
      <c r="W206" s="56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</row>
    <row r="207" spans="1:76" s="13" customFormat="1" x14ac:dyDescent="0.35">
      <c r="A207" t="s">
        <v>214</v>
      </c>
      <c r="B207" s="13" t="s">
        <v>239</v>
      </c>
      <c r="C207" s="13" t="s">
        <v>53</v>
      </c>
      <c r="D207" s="13" t="s">
        <v>215</v>
      </c>
      <c r="E207" s="122">
        <v>0</v>
      </c>
      <c r="F207" s="122">
        <v>0</v>
      </c>
      <c r="G207" s="83">
        <v>0</v>
      </c>
      <c r="H207" s="122">
        <v>0</v>
      </c>
      <c r="I207" s="122">
        <v>0</v>
      </c>
      <c r="J207" s="83">
        <v>0</v>
      </c>
      <c r="K207" s="122">
        <v>0</v>
      </c>
      <c r="L207" s="122">
        <v>0</v>
      </c>
      <c r="M207" s="83">
        <v>0</v>
      </c>
      <c r="N207" s="122">
        <v>0</v>
      </c>
      <c r="O207" s="122">
        <v>0</v>
      </c>
      <c r="P207" s="83">
        <v>0</v>
      </c>
      <c r="Q207" s="122">
        <v>0</v>
      </c>
      <c r="R207" s="122">
        <v>0</v>
      </c>
      <c r="S207" s="83">
        <v>0</v>
      </c>
      <c r="T207" s="122">
        <v>0</v>
      </c>
      <c r="U207" s="122">
        <v>0</v>
      </c>
      <c r="V207" s="129">
        <v>0</v>
      </c>
      <c r="W207" s="56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</row>
    <row r="208" spans="1:76" s="13" customFormat="1" ht="15" thickBot="1" x14ac:dyDescent="0.4">
      <c r="A208" t="s">
        <v>216</v>
      </c>
      <c r="B208" s="13" t="s">
        <v>239</v>
      </c>
      <c r="C208" s="13" t="s">
        <v>53</v>
      </c>
      <c r="D208" s="13" t="s">
        <v>217</v>
      </c>
      <c r="E208" s="84">
        <v>0</v>
      </c>
      <c r="F208" s="84">
        <v>0</v>
      </c>
      <c r="G208" s="85">
        <v>0</v>
      </c>
      <c r="H208" s="84">
        <v>0</v>
      </c>
      <c r="I208" s="84">
        <v>0</v>
      </c>
      <c r="J208" s="85">
        <v>0</v>
      </c>
      <c r="K208" s="84">
        <v>0</v>
      </c>
      <c r="L208" s="84">
        <v>0</v>
      </c>
      <c r="M208" s="85">
        <v>0</v>
      </c>
      <c r="N208" s="84">
        <v>0</v>
      </c>
      <c r="O208" s="84">
        <v>0</v>
      </c>
      <c r="P208" s="85">
        <v>0</v>
      </c>
      <c r="Q208" s="84">
        <v>0</v>
      </c>
      <c r="R208" s="84">
        <v>0</v>
      </c>
      <c r="S208" s="85">
        <v>0</v>
      </c>
      <c r="T208" s="84">
        <v>0</v>
      </c>
      <c r="U208" s="84">
        <v>0</v>
      </c>
      <c r="V208" s="130">
        <v>0</v>
      </c>
      <c r="W208" s="56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</row>
    <row r="209" spans="1:76" x14ac:dyDescent="0.35">
      <c r="A209" t="s">
        <v>242</v>
      </c>
      <c r="B209" s="13" t="s">
        <v>240</v>
      </c>
      <c r="C209" s="13" t="s">
        <v>56</v>
      </c>
      <c r="D209" s="13" t="s">
        <v>243</v>
      </c>
      <c r="E209" s="122">
        <v>0</v>
      </c>
      <c r="F209" s="122">
        <v>0</v>
      </c>
      <c r="G209" s="83">
        <v>0</v>
      </c>
      <c r="H209" s="122">
        <v>0</v>
      </c>
      <c r="I209" s="122">
        <v>0</v>
      </c>
      <c r="J209" s="83">
        <v>0</v>
      </c>
      <c r="K209" s="122">
        <v>0</v>
      </c>
      <c r="L209" s="122">
        <v>0</v>
      </c>
      <c r="M209" s="83">
        <v>0</v>
      </c>
      <c r="N209" s="122">
        <v>0</v>
      </c>
      <c r="O209" s="122">
        <v>0</v>
      </c>
      <c r="P209" s="83">
        <v>0</v>
      </c>
      <c r="Q209" s="122">
        <v>0</v>
      </c>
      <c r="R209" s="122">
        <v>0</v>
      </c>
      <c r="S209" s="83">
        <v>0</v>
      </c>
      <c r="T209" s="122">
        <v>0</v>
      </c>
      <c r="U209" s="122">
        <v>0</v>
      </c>
      <c r="V209" s="129">
        <v>0</v>
      </c>
      <c r="W209" s="56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</row>
    <row r="210" spans="1:76" x14ac:dyDescent="0.35">
      <c r="A210" t="s">
        <v>202</v>
      </c>
      <c r="B210" s="13" t="s">
        <v>240</v>
      </c>
      <c r="C210" s="13" t="s">
        <v>56</v>
      </c>
      <c r="D210" s="13" t="s">
        <v>203</v>
      </c>
      <c r="E210" s="122">
        <v>0</v>
      </c>
      <c r="F210" s="122">
        <v>0</v>
      </c>
      <c r="G210" s="83">
        <v>0</v>
      </c>
      <c r="H210" s="122">
        <v>0</v>
      </c>
      <c r="I210" s="122">
        <v>0</v>
      </c>
      <c r="J210" s="83">
        <v>0</v>
      </c>
      <c r="K210" s="122">
        <v>0</v>
      </c>
      <c r="L210" s="122">
        <v>0</v>
      </c>
      <c r="M210" s="83">
        <v>0</v>
      </c>
      <c r="N210" s="122">
        <v>0</v>
      </c>
      <c r="O210" s="122">
        <v>0</v>
      </c>
      <c r="P210" s="83">
        <v>0</v>
      </c>
      <c r="Q210" s="122">
        <v>0</v>
      </c>
      <c r="R210" s="122">
        <v>0</v>
      </c>
      <c r="S210" s="83">
        <v>0</v>
      </c>
      <c r="T210" s="122">
        <v>0</v>
      </c>
      <c r="U210" s="122">
        <v>0</v>
      </c>
      <c r="V210" s="129">
        <v>0</v>
      </c>
      <c r="W210" s="56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</row>
    <row r="211" spans="1:76" x14ac:dyDescent="0.35">
      <c r="A211" t="s">
        <v>204</v>
      </c>
      <c r="B211" s="13" t="s">
        <v>240</v>
      </c>
      <c r="C211" s="13" t="s">
        <v>56</v>
      </c>
      <c r="D211" s="13" t="s">
        <v>205</v>
      </c>
      <c r="E211" s="122">
        <v>0</v>
      </c>
      <c r="F211" s="122">
        <v>0</v>
      </c>
      <c r="G211" s="83">
        <v>0</v>
      </c>
      <c r="H211" s="122">
        <v>0</v>
      </c>
      <c r="I211" s="122">
        <v>0</v>
      </c>
      <c r="J211" s="83">
        <v>0</v>
      </c>
      <c r="K211" s="122">
        <v>0</v>
      </c>
      <c r="L211" s="122">
        <v>0</v>
      </c>
      <c r="M211" s="83">
        <v>0</v>
      </c>
      <c r="N211" s="122">
        <v>0</v>
      </c>
      <c r="O211" s="122">
        <v>0</v>
      </c>
      <c r="P211" s="83">
        <v>0</v>
      </c>
      <c r="Q211" s="122">
        <v>0</v>
      </c>
      <c r="R211" s="122">
        <v>0</v>
      </c>
      <c r="S211" s="83">
        <v>0</v>
      </c>
      <c r="T211" s="122">
        <v>0</v>
      </c>
      <c r="U211" s="122">
        <v>0</v>
      </c>
      <c r="V211" s="129">
        <v>0</v>
      </c>
      <c r="W211" s="56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</row>
    <row r="212" spans="1:76" x14ac:dyDescent="0.35">
      <c r="A212" t="s">
        <v>206</v>
      </c>
      <c r="B212" s="13" t="s">
        <v>240</v>
      </c>
      <c r="C212" s="13" t="s">
        <v>56</v>
      </c>
      <c r="D212" s="13" t="s">
        <v>207</v>
      </c>
      <c r="E212" s="122">
        <v>0</v>
      </c>
      <c r="F212" s="122">
        <v>0</v>
      </c>
      <c r="G212" s="83">
        <v>0</v>
      </c>
      <c r="H212" s="122">
        <v>0</v>
      </c>
      <c r="I212" s="122">
        <v>0</v>
      </c>
      <c r="J212" s="83">
        <v>0</v>
      </c>
      <c r="K212" s="122">
        <v>0</v>
      </c>
      <c r="L212" s="122">
        <v>0</v>
      </c>
      <c r="M212" s="83">
        <v>0</v>
      </c>
      <c r="N212" s="122">
        <v>0</v>
      </c>
      <c r="O212" s="122">
        <v>0</v>
      </c>
      <c r="P212" s="83">
        <v>0</v>
      </c>
      <c r="Q212" s="122">
        <v>0</v>
      </c>
      <c r="R212" s="122">
        <v>0</v>
      </c>
      <c r="S212" s="83">
        <v>0</v>
      </c>
      <c r="T212" s="122">
        <v>0</v>
      </c>
      <c r="U212" s="122">
        <v>0</v>
      </c>
      <c r="V212" s="129">
        <v>0</v>
      </c>
      <c r="W212" s="56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</row>
    <row r="213" spans="1:76" x14ac:dyDescent="0.35">
      <c r="A213" t="s">
        <v>208</v>
      </c>
      <c r="B213" s="13" t="s">
        <v>240</v>
      </c>
      <c r="C213" s="13" t="s">
        <v>56</v>
      </c>
      <c r="D213" s="13" t="s">
        <v>209</v>
      </c>
      <c r="E213" s="122">
        <v>0</v>
      </c>
      <c r="F213" s="122">
        <v>0</v>
      </c>
      <c r="G213" s="83">
        <v>0</v>
      </c>
      <c r="H213" s="122">
        <v>0</v>
      </c>
      <c r="I213" s="122">
        <v>0</v>
      </c>
      <c r="J213" s="83">
        <v>0</v>
      </c>
      <c r="K213" s="122">
        <v>0</v>
      </c>
      <c r="L213" s="122">
        <v>0</v>
      </c>
      <c r="M213" s="83">
        <v>0</v>
      </c>
      <c r="N213" s="122">
        <v>0</v>
      </c>
      <c r="O213" s="122">
        <v>0</v>
      </c>
      <c r="P213" s="83">
        <v>0</v>
      </c>
      <c r="Q213" s="122">
        <v>0</v>
      </c>
      <c r="R213" s="122">
        <v>0</v>
      </c>
      <c r="S213" s="83">
        <v>0</v>
      </c>
      <c r="T213" s="122">
        <v>0</v>
      </c>
      <c r="U213" s="122">
        <v>0</v>
      </c>
      <c r="V213" s="129">
        <v>0</v>
      </c>
      <c r="W213" s="56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</row>
    <row r="214" spans="1:76" x14ac:dyDescent="0.35">
      <c r="A214" t="s">
        <v>210</v>
      </c>
      <c r="B214" s="13" t="s">
        <v>240</v>
      </c>
      <c r="C214" s="13" t="s">
        <v>56</v>
      </c>
      <c r="D214" s="13" t="s">
        <v>211</v>
      </c>
      <c r="E214" s="122">
        <v>0</v>
      </c>
      <c r="F214" s="122">
        <v>0</v>
      </c>
      <c r="G214" s="83">
        <v>0</v>
      </c>
      <c r="H214" s="122">
        <v>0</v>
      </c>
      <c r="I214" s="122">
        <v>0</v>
      </c>
      <c r="J214" s="83">
        <v>0</v>
      </c>
      <c r="K214" s="122">
        <v>0</v>
      </c>
      <c r="L214" s="122">
        <v>0</v>
      </c>
      <c r="M214" s="83">
        <v>0</v>
      </c>
      <c r="N214" s="122">
        <v>0</v>
      </c>
      <c r="O214" s="122">
        <v>0</v>
      </c>
      <c r="P214" s="83">
        <v>0</v>
      </c>
      <c r="Q214" s="122">
        <v>0</v>
      </c>
      <c r="R214" s="122">
        <v>0</v>
      </c>
      <c r="S214" s="83">
        <v>0</v>
      </c>
      <c r="T214" s="122">
        <v>0</v>
      </c>
      <c r="U214" s="122">
        <v>0</v>
      </c>
      <c r="V214" s="129">
        <v>0</v>
      </c>
      <c r="W214" s="56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</row>
    <row r="215" spans="1:76" x14ac:dyDescent="0.35">
      <c r="A215" t="s">
        <v>212</v>
      </c>
      <c r="B215" s="13" t="s">
        <v>240</v>
      </c>
      <c r="C215" s="13" t="s">
        <v>56</v>
      </c>
      <c r="D215" s="13" t="s">
        <v>213</v>
      </c>
      <c r="E215" s="122">
        <v>0</v>
      </c>
      <c r="F215" s="122">
        <v>0</v>
      </c>
      <c r="G215" s="83">
        <v>0</v>
      </c>
      <c r="H215" s="122">
        <v>0</v>
      </c>
      <c r="I215" s="122">
        <v>0</v>
      </c>
      <c r="J215" s="83">
        <v>0</v>
      </c>
      <c r="K215" s="122">
        <v>0</v>
      </c>
      <c r="L215" s="122">
        <v>0</v>
      </c>
      <c r="M215" s="83">
        <v>0</v>
      </c>
      <c r="N215" s="122">
        <v>0</v>
      </c>
      <c r="O215" s="122">
        <v>0</v>
      </c>
      <c r="P215" s="83">
        <v>0</v>
      </c>
      <c r="Q215" s="122">
        <v>0</v>
      </c>
      <c r="R215" s="122">
        <v>0</v>
      </c>
      <c r="S215" s="83">
        <v>0</v>
      </c>
      <c r="T215" s="122">
        <v>0</v>
      </c>
      <c r="U215" s="122">
        <v>0</v>
      </c>
      <c r="V215" s="129">
        <v>0</v>
      </c>
      <c r="W215" s="56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</row>
    <row r="216" spans="1:76" x14ac:dyDescent="0.35">
      <c r="A216" t="s">
        <v>214</v>
      </c>
      <c r="B216" s="13" t="s">
        <v>240</v>
      </c>
      <c r="C216" s="13" t="s">
        <v>53</v>
      </c>
      <c r="D216" s="13" t="s">
        <v>215</v>
      </c>
      <c r="E216" s="122">
        <v>0</v>
      </c>
      <c r="F216" s="122">
        <v>0</v>
      </c>
      <c r="G216" s="83">
        <v>0</v>
      </c>
      <c r="H216" s="122">
        <v>0</v>
      </c>
      <c r="I216" s="122">
        <v>0</v>
      </c>
      <c r="J216" s="83">
        <v>0</v>
      </c>
      <c r="K216" s="122">
        <v>0</v>
      </c>
      <c r="L216" s="122">
        <v>0</v>
      </c>
      <c r="M216" s="83">
        <v>0</v>
      </c>
      <c r="N216" s="122">
        <v>0</v>
      </c>
      <c r="O216" s="122">
        <v>0</v>
      </c>
      <c r="P216" s="83">
        <v>0</v>
      </c>
      <c r="Q216" s="122">
        <v>0</v>
      </c>
      <c r="R216" s="122">
        <v>0</v>
      </c>
      <c r="S216" s="83">
        <v>0</v>
      </c>
      <c r="T216" s="122">
        <v>0</v>
      </c>
      <c r="U216" s="122">
        <v>0</v>
      </c>
      <c r="V216" s="129">
        <v>0</v>
      </c>
      <c r="W216" s="56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</row>
    <row r="217" spans="1:76" ht="15" thickBot="1" x14ac:dyDescent="0.4">
      <c r="A217" t="s">
        <v>216</v>
      </c>
      <c r="B217" s="13" t="s">
        <v>240</v>
      </c>
      <c r="C217" s="13" t="s">
        <v>53</v>
      </c>
      <c r="D217" s="13" t="s">
        <v>217</v>
      </c>
      <c r="E217" s="84">
        <v>0</v>
      </c>
      <c r="F217" s="84">
        <v>0</v>
      </c>
      <c r="G217" s="85">
        <v>0</v>
      </c>
      <c r="H217" s="84">
        <v>0</v>
      </c>
      <c r="I217" s="84">
        <v>0</v>
      </c>
      <c r="J217" s="85">
        <v>0</v>
      </c>
      <c r="K217" s="84">
        <v>0</v>
      </c>
      <c r="L217" s="84">
        <v>0</v>
      </c>
      <c r="M217" s="85">
        <v>0</v>
      </c>
      <c r="N217" s="84">
        <v>0</v>
      </c>
      <c r="O217" s="84">
        <v>0</v>
      </c>
      <c r="P217" s="85">
        <v>0</v>
      </c>
      <c r="Q217" s="84">
        <v>0</v>
      </c>
      <c r="R217" s="84">
        <v>0</v>
      </c>
      <c r="S217" s="85">
        <v>0</v>
      </c>
      <c r="T217" s="84">
        <v>0</v>
      </c>
      <c r="U217" s="84">
        <v>0</v>
      </c>
      <c r="V217" s="130">
        <v>0</v>
      </c>
      <c r="W217" s="56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</row>
    <row r="218" spans="1:76" x14ac:dyDescent="0.35">
      <c r="A218" t="s">
        <v>242</v>
      </c>
      <c r="B218" s="13" t="s">
        <v>241</v>
      </c>
      <c r="C218" s="13" t="s">
        <v>56</v>
      </c>
      <c r="D218" s="13" t="s">
        <v>243</v>
      </c>
      <c r="E218" s="122">
        <v>0</v>
      </c>
      <c r="F218" s="122">
        <v>0</v>
      </c>
      <c r="G218" s="83">
        <v>0</v>
      </c>
      <c r="H218" s="122">
        <v>0</v>
      </c>
      <c r="I218" s="122">
        <v>0</v>
      </c>
      <c r="J218" s="83">
        <v>0</v>
      </c>
      <c r="K218" s="122">
        <v>0</v>
      </c>
      <c r="L218" s="122">
        <v>0</v>
      </c>
      <c r="M218" s="83">
        <v>0</v>
      </c>
      <c r="N218" s="122">
        <v>0</v>
      </c>
      <c r="O218" s="122">
        <v>0</v>
      </c>
      <c r="P218" s="83">
        <v>0</v>
      </c>
      <c r="Q218" s="122">
        <v>0</v>
      </c>
      <c r="R218" s="122">
        <v>0</v>
      </c>
      <c r="S218" s="83">
        <v>0</v>
      </c>
      <c r="T218" s="122">
        <v>0</v>
      </c>
      <c r="U218" s="122">
        <v>0</v>
      </c>
      <c r="V218" s="129">
        <v>0</v>
      </c>
      <c r="W218" s="56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</row>
    <row r="219" spans="1:76" x14ac:dyDescent="0.35">
      <c r="A219" t="s">
        <v>202</v>
      </c>
      <c r="B219" s="13" t="s">
        <v>241</v>
      </c>
      <c r="C219" s="13" t="s">
        <v>56</v>
      </c>
      <c r="D219" s="13" t="s">
        <v>203</v>
      </c>
      <c r="E219" s="122">
        <v>0</v>
      </c>
      <c r="F219" s="122">
        <v>0</v>
      </c>
      <c r="G219" s="83">
        <v>0</v>
      </c>
      <c r="H219" s="122">
        <v>0</v>
      </c>
      <c r="I219" s="122">
        <v>0</v>
      </c>
      <c r="J219" s="83">
        <v>0</v>
      </c>
      <c r="K219" s="122">
        <v>0</v>
      </c>
      <c r="L219" s="122">
        <v>0</v>
      </c>
      <c r="M219" s="83">
        <v>0</v>
      </c>
      <c r="N219" s="122">
        <v>0</v>
      </c>
      <c r="O219" s="122">
        <v>0</v>
      </c>
      <c r="P219" s="83">
        <v>0</v>
      </c>
      <c r="Q219" s="122">
        <v>0</v>
      </c>
      <c r="R219" s="122">
        <v>0</v>
      </c>
      <c r="S219" s="83">
        <v>0</v>
      </c>
      <c r="T219" s="122">
        <v>0</v>
      </c>
      <c r="U219" s="122">
        <v>0</v>
      </c>
      <c r="V219" s="129">
        <v>0</v>
      </c>
      <c r="W219" s="56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</row>
    <row r="220" spans="1:76" x14ac:dyDescent="0.35">
      <c r="A220" t="s">
        <v>204</v>
      </c>
      <c r="B220" s="13" t="s">
        <v>241</v>
      </c>
      <c r="C220" s="13" t="s">
        <v>56</v>
      </c>
      <c r="D220" s="13" t="s">
        <v>205</v>
      </c>
      <c r="E220" s="122">
        <v>0</v>
      </c>
      <c r="F220" s="122">
        <v>0</v>
      </c>
      <c r="G220" s="83">
        <v>0</v>
      </c>
      <c r="H220" s="122">
        <v>0</v>
      </c>
      <c r="I220" s="122">
        <v>0</v>
      </c>
      <c r="J220" s="83">
        <v>0</v>
      </c>
      <c r="K220" s="122">
        <v>0</v>
      </c>
      <c r="L220" s="122">
        <v>0</v>
      </c>
      <c r="M220" s="83">
        <v>0</v>
      </c>
      <c r="N220" s="122">
        <v>0</v>
      </c>
      <c r="O220" s="122">
        <v>0</v>
      </c>
      <c r="P220" s="83">
        <v>0</v>
      </c>
      <c r="Q220" s="122">
        <v>0</v>
      </c>
      <c r="R220" s="122">
        <v>0</v>
      </c>
      <c r="S220" s="83">
        <v>0</v>
      </c>
      <c r="T220" s="122">
        <v>0</v>
      </c>
      <c r="U220" s="122">
        <v>0</v>
      </c>
      <c r="V220" s="129">
        <v>0</v>
      </c>
      <c r="W220" s="56"/>
      <c r="X220" s="54"/>
      <c r="Y220" s="56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</row>
    <row r="221" spans="1:76" x14ac:dyDescent="0.35">
      <c r="A221" t="s">
        <v>206</v>
      </c>
      <c r="B221" s="13" t="s">
        <v>241</v>
      </c>
      <c r="C221" s="13" t="s">
        <v>56</v>
      </c>
      <c r="D221" s="13" t="s">
        <v>207</v>
      </c>
      <c r="E221" s="122">
        <v>0</v>
      </c>
      <c r="F221" s="122">
        <v>0</v>
      </c>
      <c r="G221" s="83">
        <v>0</v>
      </c>
      <c r="H221" s="122">
        <v>0</v>
      </c>
      <c r="I221" s="122">
        <v>0</v>
      </c>
      <c r="J221" s="83">
        <v>0</v>
      </c>
      <c r="K221" s="122">
        <v>0</v>
      </c>
      <c r="L221" s="122">
        <v>0</v>
      </c>
      <c r="M221" s="83">
        <v>0</v>
      </c>
      <c r="N221" s="122">
        <v>0</v>
      </c>
      <c r="O221" s="122">
        <v>0</v>
      </c>
      <c r="P221" s="83">
        <v>0</v>
      </c>
      <c r="Q221" s="122">
        <v>0</v>
      </c>
      <c r="R221" s="122">
        <v>0</v>
      </c>
      <c r="S221" s="83">
        <v>0</v>
      </c>
      <c r="T221" s="122">
        <v>0</v>
      </c>
      <c r="U221" s="122">
        <v>0</v>
      </c>
      <c r="V221" s="129">
        <v>0</v>
      </c>
      <c r="W221" s="56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</row>
    <row r="222" spans="1:76" x14ac:dyDescent="0.35">
      <c r="A222" t="s">
        <v>208</v>
      </c>
      <c r="B222" s="13" t="s">
        <v>241</v>
      </c>
      <c r="C222" s="13" t="s">
        <v>56</v>
      </c>
      <c r="D222" s="13" t="s">
        <v>209</v>
      </c>
      <c r="E222" s="122">
        <v>0</v>
      </c>
      <c r="F222" s="122">
        <v>0</v>
      </c>
      <c r="G222" s="83">
        <v>0</v>
      </c>
      <c r="H222" s="122">
        <v>0</v>
      </c>
      <c r="I222" s="122">
        <v>0</v>
      </c>
      <c r="J222" s="83">
        <v>0</v>
      </c>
      <c r="K222" s="122">
        <v>0</v>
      </c>
      <c r="L222" s="122">
        <v>0</v>
      </c>
      <c r="M222" s="83">
        <v>0</v>
      </c>
      <c r="N222" s="122">
        <v>0</v>
      </c>
      <c r="O222" s="122">
        <v>0</v>
      </c>
      <c r="P222" s="83">
        <v>0</v>
      </c>
      <c r="Q222" s="122">
        <v>0</v>
      </c>
      <c r="R222" s="122">
        <v>0</v>
      </c>
      <c r="S222" s="83">
        <v>0</v>
      </c>
      <c r="T222" s="122">
        <v>0</v>
      </c>
      <c r="U222" s="122">
        <v>0</v>
      </c>
      <c r="V222" s="129">
        <v>0</v>
      </c>
      <c r="W222" s="56"/>
      <c r="X222" s="106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</row>
    <row r="223" spans="1:76" x14ac:dyDescent="0.35">
      <c r="A223" t="s">
        <v>210</v>
      </c>
      <c r="B223" s="13" t="s">
        <v>241</v>
      </c>
      <c r="C223" s="13" t="s">
        <v>56</v>
      </c>
      <c r="D223" s="13" t="s">
        <v>211</v>
      </c>
      <c r="E223" s="122">
        <v>0</v>
      </c>
      <c r="F223" s="122">
        <v>0</v>
      </c>
      <c r="G223" s="83">
        <v>0</v>
      </c>
      <c r="H223" s="122">
        <v>0</v>
      </c>
      <c r="I223" s="122">
        <v>0</v>
      </c>
      <c r="J223" s="83">
        <v>0</v>
      </c>
      <c r="K223" s="122">
        <v>0</v>
      </c>
      <c r="L223" s="122">
        <v>0</v>
      </c>
      <c r="M223" s="83">
        <v>0</v>
      </c>
      <c r="N223" s="122">
        <v>0</v>
      </c>
      <c r="O223" s="122">
        <v>0</v>
      </c>
      <c r="P223" s="83">
        <v>0</v>
      </c>
      <c r="Q223" s="122">
        <v>0</v>
      </c>
      <c r="R223" s="122">
        <v>0</v>
      </c>
      <c r="S223" s="83">
        <v>0</v>
      </c>
      <c r="T223" s="122">
        <v>0</v>
      </c>
      <c r="U223" s="122">
        <v>0</v>
      </c>
      <c r="V223" s="129">
        <v>0</v>
      </c>
      <c r="W223" s="56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</row>
    <row r="224" spans="1:76" x14ac:dyDescent="0.35">
      <c r="A224" t="s">
        <v>212</v>
      </c>
      <c r="B224" s="13" t="s">
        <v>241</v>
      </c>
      <c r="C224" s="13" t="s">
        <v>56</v>
      </c>
      <c r="D224" s="13" t="s">
        <v>213</v>
      </c>
      <c r="E224" s="122">
        <v>0</v>
      </c>
      <c r="F224" s="122">
        <v>0</v>
      </c>
      <c r="G224" s="83">
        <v>0</v>
      </c>
      <c r="H224" s="122">
        <v>0</v>
      </c>
      <c r="I224" s="122">
        <v>0</v>
      </c>
      <c r="J224" s="83">
        <v>0</v>
      </c>
      <c r="K224" s="122">
        <v>0</v>
      </c>
      <c r="L224" s="122">
        <v>0</v>
      </c>
      <c r="M224" s="83">
        <v>0</v>
      </c>
      <c r="N224" s="122">
        <v>0</v>
      </c>
      <c r="O224" s="122">
        <v>0</v>
      </c>
      <c r="P224" s="83">
        <v>0</v>
      </c>
      <c r="Q224" s="122">
        <v>0</v>
      </c>
      <c r="R224" s="122">
        <v>0</v>
      </c>
      <c r="S224" s="83">
        <v>0</v>
      </c>
      <c r="T224" s="122">
        <v>0</v>
      </c>
      <c r="U224" s="122">
        <v>0</v>
      </c>
      <c r="V224" s="129">
        <v>0</v>
      </c>
      <c r="W224" s="56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</row>
    <row r="225" spans="1:86" x14ac:dyDescent="0.35">
      <c r="A225" t="s">
        <v>214</v>
      </c>
      <c r="B225" s="13" t="s">
        <v>241</v>
      </c>
      <c r="C225" s="13" t="s">
        <v>53</v>
      </c>
      <c r="D225" s="13" t="s">
        <v>215</v>
      </c>
      <c r="E225" s="122">
        <v>0</v>
      </c>
      <c r="F225" s="122">
        <v>0</v>
      </c>
      <c r="G225" s="83">
        <v>0</v>
      </c>
      <c r="H225" s="122">
        <v>0</v>
      </c>
      <c r="I225" s="122">
        <v>0</v>
      </c>
      <c r="J225" s="83">
        <v>0</v>
      </c>
      <c r="K225" s="122">
        <v>0</v>
      </c>
      <c r="L225" s="122">
        <v>0</v>
      </c>
      <c r="M225" s="83">
        <v>0</v>
      </c>
      <c r="N225" s="122">
        <v>0</v>
      </c>
      <c r="O225" s="122">
        <v>0</v>
      </c>
      <c r="P225" s="83">
        <v>0</v>
      </c>
      <c r="Q225" s="122">
        <v>0</v>
      </c>
      <c r="R225" s="122">
        <v>0</v>
      </c>
      <c r="S225" s="83">
        <v>0</v>
      </c>
      <c r="T225" s="122">
        <v>0</v>
      </c>
      <c r="U225" s="122">
        <v>0</v>
      </c>
      <c r="V225" s="129">
        <v>0</v>
      </c>
      <c r="W225" s="56"/>
      <c r="X225" s="54"/>
      <c r="Y225" s="54"/>
      <c r="Z225" s="54"/>
      <c r="AA225" s="70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</row>
    <row r="226" spans="1:86" s="18" customFormat="1" x14ac:dyDescent="0.35">
      <c r="A226" s="18" t="s">
        <v>216</v>
      </c>
      <c r="B226" s="28" t="s">
        <v>241</v>
      </c>
      <c r="C226" s="28" t="s">
        <v>53</v>
      </c>
      <c r="D226" s="28" t="s">
        <v>217</v>
      </c>
      <c r="E226" s="107">
        <v>0</v>
      </c>
      <c r="F226" s="107">
        <v>0</v>
      </c>
      <c r="G226" s="108">
        <v>0</v>
      </c>
      <c r="H226" s="107">
        <v>0</v>
      </c>
      <c r="I226" s="107">
        <v>0</v>
      </c>
      <c r="J226" s="108">
        <v>0</v>
      </c>
      <c r="K226" s="107">
        <v>0</v>
      </c>
      <c r="L226" s="107">
        <v>0</v>
      </c>
      <c r="M226" s="108">
        <v>0</v>
      </c>
      <c r="N226" s="107">
        <v>0</v>
      </c>
      <c r="O226" s="107">
        <v>0</v>
      </c>
      <c r="P226" s="108">
        <v>0</v>
      </c>
      <c r="Q226" s="107">
        <v>0</v>
      </c>
      <c r="R226" s="107">
        <v>0</v>
      </c>
      <c r="S226" s="108">
        <v>0</v>
      </c>
      <c r="T226" s="107">
        <v>0</v>
      </c>
      <c r="U226" s="107">
        <v>0</v>
      </c>
      <c r="V226" s="131">
        <v>0</v>
      </c>
      <c r="W226" s="221"/>
      <c r="X226" s="109"/>
      <c r="Y226" s="109"/>
      <c r="Z226" s="109"/>
      <c r="AA226" s="109"/>
      <c r="AB226" s="109"/>
      <c r="AC226" s="109"/>
      <c r="AD226" s="109"/>
      <c r="AE226" s="109"/>
      <c r="AF226" s="109"/>
      <c r="AG226" s="109"/>
      <c r="AH226" s="109"/>
      <c r="AI226" s="109"/>
      <c r="AJ226" s="109"/>
      <c r="AK226" s="109"/>
      <c r="AL226" s="109"/>
      <c r="AM226" s="109"/>
      <c r="AN226" s="109"/>
      <c r="AO226" s="109"/>
      <c r="AP226" s="109"/>
      <c r="AQ226" s="109"/>
      <c r="AR226" s="109"/>
      <c r="AS226" s="109"/>
      <c r="AT226" s="109"/>
      <c r="AU226" s="109"/>
      <c r="AV226" s="109"/>
      <c r="AW226" s="109"/>
      <c r="AX226" s="109"/>
      <c r="AY226" s="109"/>
      <c r="AZ226" s="109"/>
      <c r="BA226" s="109"/>
      <c r="BB226" s="109"/>
      <c r="BC226" s="109"/>
      <c r="BD226" s="109"/>
      <c r="BE226" s="109"/>
      <c r="BF226" s="109"/>
      <c r="BG226" s="109"/>
      <c r="BH226" s="109"/>
      <c r="BI226" s="109"/>
      <c r="BJ226" s="109"/>
      <c r="BK226" s="109"/>
      <c r="BL226" s="109"/>
      <c r="BM226" s="109"/>
      <c r="BN226" s="109"/>
      <c r="BO226" s="109"/>
      <c r="BP226" s="109"/>
      <c r="BQ226" s="109"/>
      <c r="BR226" s="109"/>
      <c r="BS226" s="109"/>
      <c r="BT226" s="109"/>
      <c r="BU226" s="109"/>
      <c r="BV226" s="109"/>
      <c r="BW226" s="109"/>
      <c r="BX226" s="109"/>
      <c r="BY226" s="28"/>
      <c r="BZ226" s="28"/>
      <c r="CA226" s="28"/>
      <c r="CB226" s="28"/>
      <c r="CC226" s="28"/>
      <c r="CD226" s="28"/>
      <c r="CH226" s="28"/>
    </row>
    <row r="227" spans="1:86" x14ac:dyDescent="0.35">
      <c r="A227" t="s">
        <v>218</v>
      </c>
      <c r="B227" s="13" t="s">
        <v>29</v>
      </c>
      <c r="C227" s="13" t="s">
        <v>56</v>
      </c>
      <c r="D227" s="13" t="s">
        <v>219</v>
      </c>
      <c r="W227" s="101" cm="1">
        <f t="array" ref="W227:AE298">MMULT(W76:AE147,MINVERSE(_xlfn.MUNIT(9)*CF22:CF30))</f>
        <v>0</v>
      </c>
      <c r="X227" s="101">
        <v>0</v>
      </c>
      <c r="Y227" s="100">
        <v>1.9500181678711294E-2</v>
      </c>
      <c r="Z227" s="100">
        <v>1.9500181678711294E-2</v>
      </c>
      <c r="AA227" s="101">
        <v>0</v>
      </c>
      <c r="AB227" s="101">
        <v>0</v>
      </c>
      <c r="AC227" s="101">
        <v>0</v>
      </c>
      <c r="AD227" s="101">
        <v>0</v>
      </c>
      <c r="AE227" s="86">
        <v>0</v>
      </c>
      <c r="AF227" s="101">
        <v>0</v>
      </c>
      <c r="AG227" s="101">
        <v>0</v>
      </c>
      <c r="AH227" s="101">
        <v>0</v>
      </c>
      <c r="AI227" s="101">
        <v>0</v>
      </c>
      <c r="AJ227" s="101"/>
      <c r="AK227" s="101"/>
      <c r="AL227" s="101"/>
      <c r="AM227" s="101">
        <v>0</v>
      </c>
      <c r="AN227" s="86">
        <v>0</v>
      </c>
      <c r="AO227" s="101">
        <v>0</v>
      </c>
      <c r="AP227" s="101">
        <v>0</v>
      </c>
      <c r="AQ227" s="101">
        <v>0</v>
      </c>
      <c r="AR227" s="101">
        <v>0</v>
      </c>
      <c r="AS227" s="101"/>
      <c r="AT227" s="101"/>
      <c r="AU227" s="101"/>
      <c r="AV227" s="101">
        <v>0</v>
      </c>
      <c r="AW227" s="86">
        <v>0</v>
      </c>
      <c r="AX227" s="101">
        <v>0</v>
      </c>
      <c r="AY227" s="101">
        <v>0</v>
      </c>
      <c r="AZ227" s="101">
        <v>0</v>
      </c>
      <c r="BA227" s="101">
        <v>0</v>
      </c>
      <c r="BB227" s="101"/>
      <c r="BC227" s="101"/>
      <c r="BD227" s="101"/>
      <c r="BE227" s="101">
        <v>0</v>
      </c>
      <c r="BF227" s="86">
        <v>0</v>
      </c>
      <c r="BG227" s="101">
        <v>0</v>
      </c>
      <c r="BH227" s="101">
        <v>0</v>
      </c>
      <c r="BI227" s="101">
        <v>0</v>
      </c>
      <c r="BJ227" s="101">
        <v>0</v>
      </c>
      <c r="BK227" s="101"/>
      <c r="BL227" s="101"/>
      <c r="BM227" s="101"/>
      <c r="BN227" s="101">
        <v>0</v>
      </c>
      <c r="BO227" s="86">
        <v>0</v>
      </c>
      <c r="BP227" s="101">
        <v>0</v>
      </c>
      <c r="BQ227" s="101">
        <v>0</v>
      </c>
      <c r="BR227" s="101">
        <v>0</v>
      </c>
      <c r="BS227" s="101"/>
      <c r="BT227" s="101"/>
      <c r="BU227" s="101"/>
      <c r="BV227" s="101">
        <v>0</v>
      </c>
      <c r="BW227" s="101">
        <v>0</v>
      </c>
      <c r="BX227" s="101">
        <v>0</v>
      </c>
    </row>
    <row r="228" spans="1:86" x14ac:dyDescent="0.35">
      <c r="A228" s="12" t="s">
        <v>220</v>
      </c>
      <c r="B228" s="13" t="s">
        <v>29</v>
      </c>
      <c r="C228" s="13" t="s">
        <v>56</v>
      </c>
      <c r="D228" s="13" t="s">
        <v>221</v>
      </c>
      <c r="W228" s="101">
        <v>0</v>
      </c>
      <c r="X228" s="101">
        <v>0</v>
      </c>
      <c r="Y228" s="101">
        <v>0</v>
      </c>
      <c r="Z228" s="101">
        <v>0</v>
      </c>
      <c r="AA228" s="101">
        <v>0</v>
      </c>
      <c r="AB228" s="101">
        <v>0</v>
      </c>
      <c r="AC228" s="101">
        <v>0</v>
      </c>
      <c r="AD228" s="101">
        <v>0</v>
      </c>
      <c r="AE228" s="86">
        <v>0</v>
      </c>
      <c r="AF228" s="101">
        <v>0</v>
      </c>
      <c r="AG228" s="101">
        <v>0</v>
      </c>
      <c r="AH228" s="101">
        <v>0</v>
      </c>
      <c r="AI228" s="101">
        <v>0</v>
      </c>
      <c r="AJ228" s="101"/>
      <c r="AK228" s="101"/>
      <c r="AL228" s="101"/>
      <c r="AM228" s="101">
        <v>0</v>
      </c>
      <c r="AN228" s="86">
        <v>0</v>
      </c>
      <c r="AO228" s="101">
        <v>0</v>
      </c>
      <c r="AP228" s="101">
        <v>0</v>
      </c>
      <c r="AQ228" s="101">
        <v>0</v>
      </c>
      <c r="AR228" s="101">
        <v>0</v>
      </c>
      <c r="AS228" s="101"/>
      <c r="AT228" s="101"/>
      <c r="AU228" s="101"/>
      <c r="AV228" s="101">
        <v>0</v>
      </c>
      <c r="AW228" s="86">
        <v>0</v>
      </c>
      <c r="AX228" s="101">
        <v>0</v>
      </c>
      <c r="AY228" s="101">
        <v>0</v>
      </c>
      <c r="AZ228" s="101">
        <v>0</v>
      </c>
      <c r="BA228" s="101">
        <v>0</v>
      </c>
      <c r="BB228" s="101"/>
      <c r="BC228" s="101"/>
      <c r="BD228" s="101"/>
      <c r="BE228" s="101">
        <v>0</v>
      </c>
      <c r="BF228" s="86">
        <v>0</v>
      </c>
      <c r="BG228" s="101">
        <v>0</v>
      </c>
      <c r="BH228" s="101">
        <v>0</v>
      </c>
      <c r="BI228" s="101">
        <v>0</v>
      </c>
      <c r="BJ228" s="101">
        <v>0</v>
      </c>
      <c r="BK228" s="101"/>
      <c r="BL228" s="101"/>
      <c r="BM228" s="101"/>
      <c r="BN228" s="101">
        <v>0</v>
      </c>
      <c r="BO228" s="86">
        <v>0</v>
      </c>
      <c r="BP228" s="101">
        <v>0</v>
      </c>
      <c r="BQ228" s="101">
        <v>0</v>
      </c>
      <c r="BR228" s="101">
        <v>0</v>
      </c>
      <c r="BS228" s="101"/>
      <c r="BT228" s="101"/>
      <c r="BU228" s="101"/>
      <c r="BV228" s="101">
        <v>0</v>
      </c>
      <c r="BW228" s="101">
        <v>0</v>
      </c>
      <c r="BX228" s="101">
        <v>0</v>
      </c>
    </row>
    <row r="229" spans="1:86" x14ac:dyDescent="0.35">
      <c r="A229" t="s">
        <v>222</v>
      </c>
      <c r="B229" s="13" t="s">
        <v>29</v>
      </c>
      <c r="C229" s="13" t="s">
        <v>56</v>
      </c>
      <c r="D229" s="13" t="s">
        <v>223</v>
      </c>
      <c r="W229" s="101">
        <v>0</v>
      </c>
      <c r="X229" s="101">
        <v>0</v>
      </c>
      <c r="Y229" s="100">
        <v>1.9404661061278542E-3</v>
      </c>
      <c r="Z229" s="100">
        <v>1.9404661061278542E-3</v>
      </c>
      <c r="AA229" s="101">
        <v>0</v>
      </c>
      <c r="AB229" s="101">
        <v>0</v>
      </c>
      <c r="AC229" s="101">
        <v>0</v>
      </c>
      <c r="AD229" s="101">
        <v>0</v>
      </c>
      <c r="AE229" s="86">
        <v>0</v>
      </c>
      <c r="AF229" s="101">
        <v>0</v>
      </c>
      <c r="AG229" s="101">
        <v>0</v>
      </c>
      <c r="AH229" s="101">
        <v>0</v>
      </c>
      <c r="AI229" s="101">
        <v>0</v>
      </c>
      <c r="AJ229" s="101"/>
      <c r="AK229" s="101"/>
      <c r="AL229" s="101"/>
      <c r="AM229" s="101">
        <v>0</v>
      </c>
      <c r="AN229" s="86">
        <v>0</v>
      </c>
      <c r="AO229" s="101">
        <v>0</v>
      </c>
      <c r="AP229" s="101">
        <v>0</v>
      </c>
      <c r="AQ229" s="101">
        <v>0</v>
      </c>
      <c r="AR229" s="101">
        <v>0</v>
      </c>
      <c r="AS229" s="101"/>
      <c r="AT229" s="101"/>
      <c r="AU229" s="101"/>
      <c r="AV229" s="101">
        <v>0</v>
      </c>
      <c r="AW229" s="86">
        <v>0</v>
      </c>
      <c r="AX229" s="101">
        <v>0</v>
      </c>
      <c r="AY229" s="101">
        <v>0</v>
      </c>
      <c r="AZ229" s="101">
        <v>0</v>
      </c>
      <c r="BA229" s="101">
        <v>0</v>
      </c>
      <c r="BB229" s="101"/>
      <c r="BC229" s="101"/>
      <c r="BD229" s="101"/>
      <c r="BE229" s="101">
        <v>0</v>
      </c>
      <c r="BF229" s="86">
        <v>0</v>
      </c>
      <c r="BG229" s="101">
        <v>0</v>
      </c>
      <c r="BH229" s="101">
        <v>0</v>
      </c>
      <c r="BI229" s="101">
        <v>0</v>
      </c>
      <c r="BJ229" s="101">
        <v>0</v>
      </c>
      <c r="BK229" s="101"/>
      <c r="BL229" s="101"/>
      <c r="BM229" s="101"/>
      <c r="BN229" s="101">
        <v>0</v>
      </c>
      <c r="BO229" s="86">
        <v>0</v>
      </c>
      <c r="BP229" s="101">
        <v>0</v>
      </c>
      <c r="BQ229" s="101">
        <v>0</v>
      </c>
      <c r="BR229" s="101">
        <v>0</v>
      </c>
      <c r="BS229" s="101"/>
      <c r="BT229" s="101"/>
      <c r="BU229" s="101"/>
      <c r="BV229" s="101">
        <v>0</v>
      </c>
      <c r="BW229" s="101">
        <v>0</v>
      </c>
      <c r="BX229" s="101">
        <v>0</v>
      </c>
    </row>
    <row r="230" spans="1:86" x14ac:dyDescent="0.35">
      <c r="A230" t="s">
        <v>224</v>
      </c>
      <c r="B230" s="13" t="s">
        <v>29</v>
      </c>
      <c r="C230" s="13" t="s">
        <v>56</v>
      </c>
      <c r="D230" s="13" t="s">
        <v>225</v>
      </c>
      <c r="W230" s="101">
        <v>0</v>
      </c>
      <c r="X230" s="101">
        <v>0</v>
      </c>
      <c r="Y230" s="100">
        <v>5.8423628191201782E-3</v>
      </c>
      <c r="Z230" s="100">
        <v>5.8423628191201782E-3</v>
      </c>
      <c r="AA230" s="101">
        <v>0</v>
      </c>
      <c r="AB230" s="101">
        <v>0</v>
      </c>
      <c r="AC230" s="101">
        <v>0</v>
      </c>
      <c r="AD230" s="101">
        <v>0</v>
      </c>
      <c r="AE230" s="86">
        <v>0</v>
      </c>
      <c r="AF230" s="101">
        <v>0</v>
      </c>
      <c r="AG230" s="101">
        <v>0</v>
      </c>
      <c r="AH230" s="101">
        <v>0</v>
      </c>
      <c r="AI230" s="101">
        <v>0</v>
      </c>
      <c r="AJ230" s="101"/>
      <c r="AK230" s="101"/>
      <c r="AL230" s="101"/>
      <c r="AM230" s="101">
        <v>0</v>
      </c>
      <c r="AN230" s="86">
        <v>0</v>
      </c>
      <c r="AO230" s="101">
        <v>0</v>
      </c>
      <c r="AP230" s="101">
        <v>0</v>
      </c>
      <c r="AQ230" s="101">
        <v>0</v>
      </c>
      <c r="AR230" s="101">
        <v>0</v>
      </c>
      <c r="AS230" s="101"/>
      <c r="AT230" s="101"/>
      <c r="AU230" s="101"/>
      <c r="AV230" s="101">
        <v>0</v>
      </c>
      <c r="AW230" s="86">
        <v>0</v>
      </c>
      <c r="AX230" s="101">
        <v>0</v>
      </c>
      <c r="AY230" s="101">
        <v>0</v>
      </c>
      <c r="AZ230" s="101">
        <v>0</v>
      </c>
      <c r="BA230" s="101">
        <v>0</v>
      </c>
      <c r="BB230" s="101"/>
      <c r="BC230" s="101"/>
      <c r="BD230" s="101"/>
      <c r="BE230" s="101">
        <v>0</v>
      </c>
      <c r="BF230" s="86">
        <v>0</v>
      </c>
      <c r="BG230" s="101">
        <v>0</v>
      </c>
      <c r="BH230" s="101">
        <v>0</v>
      </c>
      <c r="BI230" s="101">
        <v>0</v>
      </c>
      <c r="BJ230" s="101">
        <v>0</v>
      </c>
      <c r="BK230" s="101"/>
      <c r="BL230" s="101"/>
      <c r="BM230" s="101"/>
      <c r="BN230" s="101">
        <v>0</v>
      </c>
      <c r="BO230" s="86">
        <v>0</v>
      </c>
      <c r="BP230" s="101">
        <v>0</v>
      </c>
      <c r="BQ230" s="101">
        <v>0</v>
      </c>
      <c r="BR230" s="101">
        <v>0</v>
      </c>
      <c r="BS230" s="101"/>
      <c r="BT230" s="101"/>
      <c r="BU230" s="101"/>
      <c r="BV230" s="101">
        <v>0</v>
      </c>
      <c r="BW230" s="101">
        <v>0</v>
      </c>
      <c r="BX230" s="101">
        <v>0</v>
      </c>
    </row>
    <row r="231" spans="1:86" x14ac:dyDescent="0.35">
      <c r="A231" t="s">
        <v>226</v>
      </c>
      <c r="B231" s="13" t="s">
        <v>29</v>
      </c>
      <c r="C231" s="13" t="s">
        <v>56</v>
      </c>
      <c r="D231" s="13" t="s">
        <v>227</v>
      </c>
      <c r="W231" s="101">
        <v>0</v>
      </c>
      <c r="X231" s="100">
        <v>7.0611384178638645E-2</v>
      </c>
      <c r="Y231" s="100">
        <v>4.8981233243967828E-4</v>
      </c>
      <c r="Z231" s="100">
        <v>4.8981233243967828E-4</v>
      </c>
      <c r="AA231" s="100">
        <v>1.4658301341380521E-2</v>
      </c>
      <c r="AB231" s="100">
        <v>1.4658301341380521E-2</v>
      </c>
      <c r="AC231" s="101">
        <v>0</v>
      </c>
      <c r="AD231" s="101">
        <v>0</v>
      </c>
      <c r="AE231" s="86">
        <v>0</v>
      </c>
      <c r="AF231" s="101">
        <v>0</v>
      </c>
      <c r="AG231" s="101">
        <v>0</v>
      </c>
      <c r="AH231" s="101">
        <v>0</v>
      </c>
      <c r="AI231" s="101">
        <v>0</v>
      </c>
      <c r="AJ231" s="101"/>
      <c r="AK231" s="101"/>
      <c r="AL231" s="101"/>
      <c r="AM231" s="101">
        <v>0</v>
      </c>
      <c r="AN231" s="86">
        <v>0</v>
      </c>
      <c r="AO231" s="101">
        <v>0</v>
      </c>
      <c r="AP231" s="101">
        <v>0</v>
      </c>
      <c r="AQ231" s="101">
        <v>0</v>
      </c>
      <c r="AR231" s="101">
        <v>0</v>
      </c>
      <c r="AS231" s="101"/>
      <c r="AT231" s="101"/>
      <c r="AU231" s="101"/>
      <c r="AV231" s="101">
        <v>0</v>
      </c>
      <c r="AW231" s="86">
        <v>0</v>
      </c>
      <c r="AX231" s="101">
        <v>0</v>
      </c>
      <c r="AY231" s="101">
        <v>0</v>
      </c>
      <c r="AZ231" s="101">
        <v>0</v>
      </c>
      <c r="BA231" s="101">
        <v>0</v>
      </c>
      <c r="BB231" s="101"/>
      <c r="BC231" s="101"/>
      <c r="BD231" s="101"/>
      <c r="BE231" s="101">
        <v>0</v>
      </c>
      <c r="BF231" s="86">
        <v>0</v>
      </c>
      <c r="BG231" s="101">
        <v>0</v>
      </c>
      <c r="BH231" s="101">
        <v>0</v>
      </c>
      <c r="BI231" s="101">
        <v>0</v>
      </c>
      <c r="BJ231" s="101">
        <v>0</v>
      </c>
      <c r="BK231" s="101"/>
      <c r="BL231" s="101"/>
      <c r="BM231" s="101"/>
      <c r="BN231" s="101">
        <v>0</v>
      </c>
      <c r="BO231" s="86">
        <v>0</v>
      </c>
      <c r="BP231" s="101">
        <v>0</v>
      </c>
      <c r="BQ231" s="101">
        <v>0</v>
      </c>
      <c r="BR231" s="101">
        <v>0</v>
      </c>
      <c r="BS231" s="101"/>
      <c r="BT231" s="101"/>
      <c r="BU231" s="101"/>
      <c r="BV231" s="101">
        <v>0</v>
      </c>
      <c r="BW231" s="101">
        <v>0</v>
      </c>
      <c r="BX231" s="101">
        <v>0</v>
      </c>
    </row>
    <row r="232" spans="1:86" x14ac:dyDescent="0.35">
      <c r="A232" t="s">
        <v>83</v>
      </c>
      <c r="B232" s="13" t="s">
        <v>29</v>
      </c>
      <c r="C232" s="13" t="s">
        <v>56</v>
      </c>
      <c r="D232" s="13" t="s">
        <v>228</v>
      </c>
      <c r="W232" s="101">
        <v>0</v>
      </c>
      <c r="X232" s="101">
        <v>0</v>
      </c>
      <c r="Y232" s="101">
        <v>0</v>
      </c>
      <c r="Z232" s="101">
        <v>0</v>
      </c>
      <c r="AA232" s="100">
        <v>3.0740776778828832E-3</v>
      </c>
      <c r="AB232" s="100">
        <v>3.0740776778828832E-3</v>
      </c>
      <c r="AC232" s="101">
        <v>0</v>
      </c>
      <c r="AD232" s="101">
        <v>0</v>
      </c>
      <c r="AE232" s="86">
        <v>0</v>
      </c>
      <c r="AF232" s="101"/>
      <c r="AG232" s="101"/>
      <c r="AH232" s="101"/>
      <c r="AI232" s="101"/>
      <c r="AJ232" s="101"/>
      <c r="AK232" s="101"/>
      <c r="AL232" s="101"/>
      <c r="AM232" s="101"/>
      <c r="AN232" s="86"/>
      <c r="AO232" s="101"/>
      <c r="AP232" s="101"/>
      <c r="AQ232" s="101"/>
      <c r="AR232" s="101"/>
      <c r="AS232" s="101"/>
      <c r="AT232" s="101"/>
      <c r="AU232" s="101"/>
      <c r="AV232" s="101"/>
      <c r="AW232" s="86"/>
      <c r="AX232" s="101"/>
      <c r="AY232" s="101"/>
      <c r="AZ232" s="101"/>
      <c r="BA232" s="101"/>
      <c r="BB232" s="101"/>
      <c r="BC232" s="101"/>
      <c r="BD232" s="101"/>
      <c r="BE232" s="101"/>
      <c r="BF232" s="86"/>
      <c r="BG232" s="101"/>
      <c r="BH232" s="101"/>
      <c r="BI232" s="101"/>
      <c r="BJ232" s="101"/>
      <c r="BK232" s="101"/>
      <c r="BL232" s="101"/>
      <c r="BM232" s="101"/>
      <c r="BN232" s="101"/>
      <c r="BO232" s="86"/>
      <c r="BP232" s="101"/>
      <c r="BQ232" s="101"/>
      <c r="BR232" s="101"/>
      <c r="BS232" s="101"/>
      <c r="BT232" s="101"/>
      <c r="BU232" s="101"/>
      <c r="BV232" s="101"/>
      <c r="BW232" s="101"/>
      <c r="BX232" s="101"/>
    </row>
    <row r="233" spans="1:86" x14ac:dyDescent="0.35">
      <c r="A233" t="s">
        <v>229</v>
      </c>
      <c r="B233" s="13" t="s">
        <v>29</v>
      </c>
      <c r="C233" s="13" t="s">
        <v>56</v>
      </c>
      <c r="D233" s="13" t="s">
        <v>230</v>
      </c>
      <c r="W233" s="101">
        <v>0</v>
      </c>
      <c r="X233" s="101">
        <v>0</v>
      </c>
      <c r="Y233" s="100">
        <v>2.4658201215687387E-3</v>
      </c>
      <c r="Z233" s="100">
        <v>2.4658201215687387E-3</v>
      </c>
      <c r="AA233" s="101">
        <v>0</v>
      </c>
      <c r="AB233" s="101">
        <v>0</v>
      </c>
      <c r="AC233" s="101">
        <v>0</v>
      </c>
      <c r="AD233" s="101">
        <v>0</v>
      </c>
      <c r="AE233" s="86">
        <v>0</v>
      </c>
      <c r="AF233" s="101">
        <v>0</v>
      </c>
      <c r="AG233" s="101">
        <v>0</v>
      </c>
      <c r="AH233" s="101">
        <v>0</v>
      </c>
      <c r="AI233" s="101">
        <v>0</v>
      </c>
      <c r="AJ233" s="101"/>
      <c r="AK233" s="101"/>
      <c r="AL233" s="101"/>
      <c r="AM233" s="101">
        <v>0</v>
      </c>
      <c r="AN233" s="86">
        <v>0</v>
      </c>
      <c r="AO233" s="101">
        <v>0</v>
      </c>
      <c r="AP233" s="101">
        <v>0</v>
      </c>
      <c r="AQ233" s="101">
        <v>0</v>
      </c>
      <c r="AR233" s="101">
        <v>0</v>
      </c>
      <c r="AS233" s="101"/>
      <c r="AT233" s="101"/>
      <c r="AU233" s="101"/>
      <c r="AV233" s="101">
        <v>0</v>
      </c>
      <c r="AW233" s="86">
        <v>0</v>
      </c>
      <c r="AX233" s="101">
        <v>0</v>
      </c>
      <c r="AY233" s="101">
        <v>0</v>
      </c>
      <c r="AZ233" s="101">
        <v>0</v>
      </c>
      <c r="BA233" s="101">
        <v>0</v>
      </c>
      <c r="BB233" s="101"/>
      <c r="BC233" s="101"/>
      <c r="BD233" s="101"/>
      <c r="BE233" s="101">
        <v>0</v>
      </c>
      <c r="BF233" s="86">
        <v>0</v>
      </c>
      <c r="BG233" s="101">
        <v>0</v>
      </c>
      <c r="BH233" s="101">
        <v>0</v>
      </c>
      <c r="BI233" s="101">
        <v>0</v>
      </c>
      <c r="BJ233" s="101">
        <v>0</v>
      </c>
      <c r="BK233" s="101"/>
      <c r="BL233" s="101"/>
      <c r="BM233" s="101"/>
      <c r="BN233" s="101">
        <v>0</v>
      </c>
      <c r="BO233" s="86">
        <v>0</v>
      </c>
      <c r="BP233" s="101">
        <v>0</v>
      </c>
      <c r="BQ233" s="101">
        <v>0</v>
      </c>
      <c r="BR233" s="101">
        <v>0</v>
      </c>
      <c r="BS233" s="101"/>
      <c r="BT233" s="101"/>
      <c r="BU233" s="101"/>
      <c r="BV233" s="101">
        <v>0</v>
      </c>
      <c r="BW233" s="101">
        <v>0</v>
      </c>
      <c r="BX233" s="101">
        <v>0</v>
      </c>
    </row>
    <row r="234" spans="1:86" x14ac:dyDescent="0.35">
      <c r="A234" t="s">
        <v>231</v>
      </c>
      <c r="B234" s="13" t="s">
        <v>29</v>
      </c>
      <c r="C234" s="13" t="s">
        <v>56</v>
      </c>
      <c r="D234" s="13" t="s">
        <v>232</v>
      </c>
      <c r="W234" s="101">
        <v>0</v>
      </c>
      <c r="X234" s="101">
        <v>0</v>
      </c>
      <c r="Y234" s="100">
        <v>4.0654829615707994E-5</v>
      </c>
      <c r="Z234" s="100">
        <v>4.0654829615707994E-5</v>
      </c>
      <c r="AA234" s="101">
        <v>0</v>
      </c>
      <c r="AB234" s="101">
        <v>0</v>
      </c>
      <c r="AC234" s="101">
        <v>0</v>
      </c>
      <c r="AD234" s="101">
        <v>0</v>
      </c>
      <c r="AE234" s="86">
        <v>0</v>
      </c>
      <c r="AF234" s="101">
        <v>0</v>
      </c>
      <c r="AG234" s="101">
        <v>0</v>
      </c>
      <c r="AH234" s="101">
        <v>0</v>
      </c>
      <c r="AI234" s="101">
        <v>0</v>
      </c>
      <c r="AJ234" s="101"/>
      <c r="AK234" s="101"/>
      <c r="AL234" s="101"/>
      <c r="AM234" s="101">
        <v>0</v>
      </c>
      <c r="AN234" s="86">
        <v>0</v>
      </c>
      <c r="AO234" s="101">
        <v>0</v>
      </c>
      <c r="AP234" s="101">
        <v>0</v>
      </c>
      <c r="AQ234" s="101">
        <v>0</v>
      </c>
      <c r="AR234" s="101">
        <v>0</v>
      </c>
      <c r="AS234" s="101"/>
      <c r="AT234" s="101"/>
      <c r="AU234" s="101"/>
      <c r="AV234" s="101">
        <v>0</v>
      </c>
      <c r="AW234" s="86">
        <v>0</v>
      </c>
      <c r="AX234" s="101">
        <v>0</v>
      </c>
      <c r="AY234" s="101">
        <v>0</v>
      </c>
      <c r="AZ234" s="101">
        <v>0</v>
      </c>
      <c r="BA234" s="101">
        <v>0</v>
      </c>
      <c r="BB234" s="101"/>
      <c r="BC234" s="101"/>
      <c r="BD234" s="101"/>
      <c r="BE234" s="101">
        <v>0</v>
      </c>
      <c r="BF234" s="86">
        <v>0</v>
      </c>
      <c r="BG234" s="101">
        <v>0</v>
      </c>
      <c r="BH234" s="101">
        <v>0</v>
      </c>
      <c r="BI234" s="101">
        <v>0</v>
      </c>
      <c r="BJ234" s="101">
        <v>0</v>
      </c>
      <c r="BK234" s="101"/>
      <c r="BL234" s="101"/>
      <c r="BM234" s="101"/>
      <c r="BN234" s="101">
        <v>0</v>
      </c>
      <c r="BO234" s="86">
        <v>0</v>
      </c>
      <c r="BP234" s="101">
        <v>0</v>
      </c>
      <c r="BQ234" s="101">
        <v>0</v>
      </c>
      <c r="BR234" s="101">
        <v>0</v>
      </c>
      <c r="BS234" s="101"/>
      <c r="BT234" s="101"/>
      <c r="BU234" s="101"/>
      <c r="BV234" s="101">
        <v>0</v>
      </c>
      <c r="BW234" s="101">
        <v>0</v>
      </c>
      <c r="BX234" s="101">
        <v>0</v>
      </c>
    </row>
    <row r="235" spans="1:86" x14ac:dyDescent="0.35">
      <c r="A235" t="s">
        <v>233</v>
      </c>
      <c r="B235" s="13" t="s">
        <v>29</v>
      </c>
      <c r="C235" s="13" t="s">
        <v>56</v>
      </c>
      <c r="D235" s="13" t="s">
        <v>228</v>
      </c>
      <c r="W235" s="101">
        <v>0</v>
      </c>
      <c r="X235" s="101">
        <v>0</v>
      </c>
      <c r="Y235" s="101">
        <v>0</v>
      </c>
      <c r="Z235" s="101">
        <v>0</v>
      </c>
      <c r="AA235" s="101">
        <v>0</v>
      </c>
      <c r="AB235" s="101">
        <v>0</v>
      </c>
      <c r="AC235" s="101">
        <v>0</v>
      </c>
      <c r="AD235" s="101">
        <v>0</v>
      </c>
      <c r="AE235" s="86">
        <v>0</v>
      </c>
      <c r="AF235" s="101">
        <v>0</v>
      </c>
      <c r="AG235" s="101">
        <v>0</v>
      </c>
      <c r="AH235" s="101">
        <v>0</v>
      </c>
      <c r="AI235" s="101">
        <v>0</v>
      </c>
      <c r="AJ235" s="101"/>
      <c r="AK235" s="101"/>
      <c r="AL235" s="101"/>
      <c r="AM235" s="101">
        <v>0</v>
      </c>
      <c r="AN235" s="86">
        <v>0</v>
      </c>
      <c r="AO235" s="101">
        <v>0</v>
      </c>
      <c r="AP235" s="101">
        <v>0</v>
      </c>
      <c r="AQ235" s="101">
        <v>0</v>
      </c>
      <c r="AR235" s="101">
        <v>0</v>
      </c>
      <c r="AS235" s="101"/>
      <c r="AT235" s="101"/>
      <c r="AU235" s="101"/>
      <c r="AV235" s="101">
        <v>0</v>
      </c>
      <c r="AW235" s="86">
        <v>0</v>
      </c>
      <c r="AX235" s="101">
        <v>0</v>
      </c>
      <c r="AY235" s="101">
        <v>0</v>
      </c>
      <c r="AZ235" s="101">
        <v>0</v>
      </c>
      <c r="BA235" s="101">
        <v>0</v>
      </c>
      <c r="BB235" s="101"/>
      <c r="BC235" s="101"/>
      <c r="BD235" s="101"/>
      <c r="BE235" s="101">
        <v>0</v>
      </c>
      <c r="BF235" s="86">
        <v>0</v>
      </c>
      <c r="BG235" s="101">
        <v>0</v>
      </c>
      <c r="BH235" s="101">
        <v>0</v>
      </c>
      <c r="BI235" s="101">
        <v>0</v>
      </c>
      <c r="BJ235" s="101">
        <v>0</v>
      </c>
      <c r="BK235" s="101"/>
      <c r="BL235" s="101"/>
      <c r="BM235" s="101"/>
      <c r="BN235" s="101">
        <v>0</v>
      </c>
      <c r="BO235" s="86">
        <v>0</v>
      </c>
      <c r="BP235" s="101">
        <v>0</v>
      </c>
      <c r="BQ235" s="101">
        <v>0</v>
      </c>
      <c r="BR235" s="101">
        <v>0</v>
      </c>
      <c r="BS235" s="101"/>
      <c r="BT235" s="101"/>
      <c r="BU235" s="101"/>
      <c r="BV235" s="101">
        <v>0</v>
      </c>
      <c r="BW235" s="101">
        <v>0</v>
      </c>
      <c r="BX235" s="101">
        <v>0</v>
      </c>
    </row>
    <row r="236" spans="1:86" x14ac:dyDescent="0.35">
      <c r="A236" t="s">
        <v>101</v>
      </c>
      <c r="B236" s="13" t="s">
        <v>29</v>
      </c>
      <c r="C236" s="13" t="s">
        <v>103</v>
      </c>
      <c r="D236" s="13" t="s">
        <v>234</v>
      </c>
      <c r="W236" s="101">
        <v>0</v>
      </c>
      <c r="X236" s="101">
        <v>0</v>
      </c>
      <c r="Y236" s="100">
        <v>1.4567715973119188E-3</v>
      </c>
      <c r="Z236" s="100">
        <v>1.4077232662383567E-3</v>
      </c>
      <c r="AA236" s="101">
        <v>0</v>
      </c>
      <c r="AB236" s="101">
        <v>0</v>
      </c>
      <c r="AC236" s="101">
        <v>0</v>
      </c>
      <c r="AD236" s="101">
        <v>0</v>
      </c>
      <c r="AE236" s="86">
        <v>0</v>
      </c>
      <c r="AF236" s="101"/>
      <c r="AG236" s="101"/>
      <c r="AH236" s="101"/>
      <c r="AI236" s="101"/>
      <c r="AJ236" s="101"/>
      <c r="AK236" s="101"/>
      <c r="AL236" s="101"/>
      <c r="AM236" s="101"/>
      <c r="AN236" s="86"/>
      <c r="AO236" s="101"/>
      <c r="AP236" s="101"/>
      <c r="AQ236" s="101"/>
      <c r="AR236" s="101"/>
      <c r="AS236" s="101"/>
      <c r="AT236" s="101"/>
      <c r="AU236" s="101"/>
      <c r="AV236" s="101"/>
      <c r="AW236" s="86"/>
      <c r="AX236" s="101"/>
      <c r="AY236" s="101"/>
      <c r="AZ236" s="101"/>
      <c r="BA236" s="101"/>
      <c r="BB236" s="101"/>
      <c r="BC236" s="101"/>
      <c r="BD236" s="101"/>
      <c r="BE236" s="101"/>
      <c r="BF236" s="86"/>
      <c r="BG236" s="101"/>
      <c r="BH236" s="101"/>
      <c r="BI236" s="101"/>
      <c r="BJ236" s="101"/>
      <c r="BK236" s="101"/>
      <c r="BL236" s="101"/>
      <c r="BM236" s="101"/>
      <c r="BN236" s="101"/>
      <c r="BO236" s="86"/>
      <c r="BP236" s="101"/>
      <c r="BQ236" s="101"/>
      <c r="BR236" s="101"/>
      <c r="BS236" s="101"/>
      <c r="BT236" s="101"/>
      <c r="BU236" s="101"/>
      <c r="BV236" s="101"/>
      <c r="BW236" s="101"/>
      <c r="BX236" s="101"/>
    </row>
    <row r="237" spans="1:86" x14ac:dyDescent="0.35">
      <c r="A237" t="s">
        <v>104</v>
      </c>
      <c r="B237" s="13" t="s">
        <v>29</v>
      </c>
      <c r="C237" s="13" t="s">
        <v>103</v>
      </c>
      <c r="D237" s="13" t="s">
        <v>235</v>
      </c>
      <c r="W237" s="101">
        <v>0</v>
      </c>
      <c r="X237" s="101">
        <v>0</v>
      </c>
      <c r="Y237" s="100">
        <v>8.3535480890614125E-4</v>
      </c>
      <c r="Z237" s="100">
        <v>8.0722908260373052E-4</v>
      </c>
      <c r="AA237" s="101">
        <v>0</v>
      </c>
      <c r="AB237" s="101">
        <v>0</v>
      </c>
      <c r="AC237" s="101">
        <v>0</v>
      </c>
      <c r="AD237" s="101">
        <v>0</v>
      </c>
      <c r="AE237" s="86">
        <v>0</v>
      </c>
      <c r="AF237" s="101"/>
      <c r="AG237" s="101"/>
      <c r="AH237" s="101"/>
      <c r="AI237" s="101"/>
      <c r="AJ237" s="101"/>
      <c r="AK237" s="101"/>
      <c r="AL237" s="101"/>
      <c r="AM237" s="101"/>
      <c r="AN237" s="86"/>
      <c r="AO237" s="101"/>
      <c r="AP237" s="101"/>
      <c r="AQ237" s="101"/>
      <c r="AR237" s="101"/>
      <c r="AS237" s="101"/>
      <c r="AT237" s="101"/>
      <c r="AU237" s="101"/>
      <c r="AV237" s="101"/>
      <c r="AW237" s="86"/>
      <c r="AX237" s="101"/>
      <c r="AY237" s="101"/>
      <c r="AZ237" s="101"/>
      <c r="BA237" s="101"/>
      <c r="BB237" s="101"/>
      <c r="BC237" s="101"/>
      <c r="BD237" s="101"/>
      <c r="BE237" s="101"/>
      <c r="BF237" s="86"/>
      <c r="BG237" s="101"/>
      <c r="BH237" s="101"/>
      <c r="BI237" s="101"/>
      <c r="BJ237" s="101"/>
      <c r="BK237" s="101"/>
      <c r="BL237" s="101"/>
      <c r="BM237" s="101"/>
      <c r="BN237" s="101"/>
      <c r="BO237" s="86"/>
      <c r="BP237" s="101"/>
      <c r="BQ237" s="101"/>
      <c r="BR237" s="101"/>
      <c r="BS237" s="101"/>
      <c r="BT237" s="101"/>
      <c r="BU237" s="101"/>
      <c r="BV237" s="101"/>
      <c r="BW237" s="101"/>
      <c r="BX237" s="101"/>
    </row>
    <row r="238" spans="1:86" ht="15" thickBot="1" x14ac:dyDescent="0.4">
      <c r="A238" t="s">
        <v>106</v>
      </c>
      <c r="B238" s="13" t="s">
        <v>29</v>
      </c>
      <c r="C238" s="13" t="s">
        <v>103</v>
      </c>
      <c r="D238" s="13" t="s">
        <v>236</v>
      </c>
      <c r="W238" s="87">
        <v>0</v>
      </c>
      <c r="X238" s="87">
        <v>0</v>
      </c>
      <c r="Y238" s="88">
        <v>1.2416531155153262E-3</v>
      </c>
      <c r="Z238" s="88">
        <v>1.1998476511579127E-3</v>
      </c>
      <c r="AA238" s="87">
        <v>0</v>
      </c>
      <c r="AB238" s="87">
        <v>0</v>
      </c>
      <c r="AC238" s="87">
        <v>0</v>
      </c>
      <c r="AD238" s="87">
        <v>0</v>
      </c>
      <c r="AE238" s="89">
        <v>0</v>
      </c>
      <c r="AF238" s="87">
        <v>0</v>
      </c>
      <c r="AG238" s="87">
        <v>0</v>
      </c>
      <c r="AH238" s="87">
        <v>0</v>
      </c>
      <c r="AI238" s="87">
        <v>0</v>
      </c>
      <c r="AJ238" s="87"/>
      <c r="AK238" s="87"/>
      <c r="AL238" s="87"/>
      <c r="AM238" s="87">
        <v>0</v>
      </c>
      <c r="AN238" s="89">
        <v>0</v>
      </c>
      <c r="AO238" s="87">
        <v>0</v>
      </c>
      <c r="AP238" s="87">
        <v>0</v>
      </c>
      <c r="AQ238" s="87">
        <v>0</v>
      </c>
      <c r="AR238" s="87">
        <v>0</v>
      </c>
      <c r="AS238" s="87"/>
      <c r="AT238" s="87"/>
      <c r="AU238" s="87"/>
      <c r="AV238" s="87">
        <v>0</v>
      </c>
      <c r="AW238" s="89">
        <v>0</v>
      </c>
      <c r="AX238" s="87">
        <v>0</v>
      </c>
      <c r="AY238" s="87">
        <v>0</v>
      </c>
      <c r="AZ238" s="87">
        <v>0</v>
      </c>
      <c r="BA238" s="87">
        <v>0</v>
      </c>
      <c r="BB238" s="87"/>
      <c r="BC238" s="87"/>
      <c r="BD238" s="87"/>
      <c r="BE238" s="87">
        <v>0</v>
      </c>
      <c r="BF238" s="89">
        <v>0</v>
      </c>
      <c r="BG238" s="87">
        <v>0</v>
      </c>
      <c r="BH238" s="87">
        <v>0</v>
      </c>
      <c r="BI238" s="87">
        <v>0</v>
      </c>
      <c r="BJ238" s="87">
        <v>0</v>
      </c>
      <c r="BK238" s="87"/>
      <c r="BL238" s="87"/>
      <c r="BM238" s="87"/>
      <c r="BN238" s="87">
        <v>0</v>
      </c>
      <c r="BO238" s="89">
        <v>0</v>
      </c>
      <c r="BP238" s="87">
        <v>0</v>
      </c>
      <c r="BQ238" s="87">
        <v>0</v>
      </c>
      <c r="BR238" s="87">
        <v>0</v>
      </c>
      <c r="BS238" s="87"/>
      <c r="BT238" s="87"/>
      <c r="BU238" s="87"/>
      <c r="BV238" s="87">
        <v>0</v>
      </c>
      <c r="BW238" s="87">
        <v>0</v>
      </c>
      <c r="BX238" s="87">
        <v>0</v>
      </c>
    </row>
    <row r="239" spans="1:86" x14ac:dyDescent="0.35">
      <c r="A239" t="s">
        <v>218</v>
      </c>
      <c r="B239" s="13" t="s">
        <v>237</v>
      </c>
      <c r="C239" s="13" t="s">
        <v>56</v>
      </c>
      <c r="D239" s="13" t="s">
        <v>219</v>
      </c>
      <c r="W239" s="101">
        <v>0</v>
      </c>
      <c r="X239" s="101">
        <v>0</v>
      </c>
      <c r="Y239" s="100">
        <v>0.16108845734587587</v>
      </c>
      <c r="Z239" s="100">
        <v>0.16108845734587587</v>
      </c>
      <c r="AA239" s="101">
        <v>0</v>
      </c>
      <c r="AB239" s="101">
        <v>0</v>
      </c>
      <c r="AC239" s="101">
        <v>0</v>
      </c>
      <c r="AD239" s="101">
        <v>0</v>
      </c>
      <c r="AE239" s="86">
        <v>0</v>
      </c>
      <c r="AF239" s="101">
        <v>0</v>
      </c>
      <c r="AG239" s="101">
        <v>0</v>
      </c>
      <c r="AH239" s="101">
        <v>0</v>
      </c>
      <c r="AI239" s="101">
        <v>0</v>
      </c>
      <c r="AJ239" s="101"/>
      <c r="AK239" s="101"/>
      <c r="AL239" s="101"/>
      <c r="AM239" s="101">
        <v>0</v>
      </c>
      <c r="AN239" s="86">
        <v>0</v>
      </c>
      <c r="AO239" s="101">
        <v>0</v>
      </c>
      <c r="AP239" s="101">
        <v>0</v>
      </c>
      <c r="AQ239" s="101">
        <v>0</v>
      </c>
      <c r="AR239" s="101">
        <v>0</v>
      </c>
      <c r="AS239" s="101"/>
      <c r="AT239" s="101"/>
      <c r="AU239" s="101"/>
      <c r="AV239" s="101">
        <v>0</v>
      </c>
      <c r="AW239" s="86">
        <v>0</v>
      </c>
      <c r="AX239" s="101">
        <v>0</v>
      </c>
      <c r="AY239" s="101">
        <v>0</v>
      </c>
      <c r="AZ239" s="101">
        <v>0</v>
      </c>
      <c r="BA239" s="101">
        <v>0</v>
      </c>
      <c r="BB239" s="101"/>
      <c r="BC239" s="101"/>
      <c r="BD239" s="101"/>
      <c r="BE239" s="101">
        <v>0</v>
      </c>
      <c r="BF239" s="86">
        <v>0</v>
      </c>
      <c r="BG239" s="101">
        <v>0</v>
      </c>
      <c r="BH239" s="101">
        <v>0</v>
      </c>
      <c r="BI239" s="101">
        <v>0</v>
      </c>
      <c r="BJ239" s="101">
        <v>0</v>
      </c>
      <c r="BK239" s="101"/>
      <c r="BL239" s="101"/>
      <c r="BM239" s="101"/>
      <c r="BN239" s="101">
        <v>0</v>
      </c>
      <c r="BO239" s="86">
        <v>0</v>
      </c>
      <c r="BP239" s="101">
        <v>0</v>
      </c>
      <c r="BQ239" s="101">
        <v>0</v>
      </c>
      <c r="BR239" s="101">
        <v>0</v>
      </c>
      <c r="BS239" s="101"/>
      <c r="BT239" s="101"/>
      <c r="BU239" s="101"/>
      <c r="BV239" s="101">
        <v>0</v>
      </c>
      <c r="BW239" s="101">
        <v>0</v>
      </c>
      <c r="BX239" s="101">
        <v>0</v>
      </c>
    </row>
    <row r="240" spans="1:86" x14ac:dyDescent="0.35">
      <c r="A240" s="12" t="s">
        <v>220</v>
      </c>
      <c r="B240" s="13" t="s">
        <v>237</v>
      </c>
      <c r="C240" s="13" t="s">
        <v>56</v>
      </c>
      <c r="D240" s="13" t="s">
        <v>221</v>
      </c>
      <c r="W240" s="101">
        <v>0</v>
      </c>
      <c r="X240" s="101">
        <v>0</v>
      </c>
      <c r="Y240" s="101">
        <v>0</v>
      </c>
      <c r="Z240" s="101">
        <v>0</v>
      </c>
      <c r="AA240" s="101">
        <v>0</v>
      </c>
      <c r="AB240" s="101">
        <v>0</v>
      </c>
      <c r="AC240" s="101">
        <v>0</v>
      </c>
      <c r="AD240" s="101">
        <v>0</v>
      </c>
      <c r="AE240" s="86">
        <v>0</v>
      </c>
      <c r="AF240" s="101">
        <v>0</v>
      </c>
      <c r="AG240" s="101">
        <v>0</v>
      </c>
      <c r="AH240" s="101">
        <v>0</v>
      </c>
      <c r="AI240" s="101">
        <v>0</v>
      </c>
      <c r="AJ240" s="101"/>
      <c r="AK240" s="101"/>
      <c r="AL240" s="101"/>
      <c r="AM240" s="101">
        <v>0</v>
      </c>
      <c r="AN240" s="86">
        <v>0</v>
      </c>
      <c r="AO240" s="101">
        <v>0</v>
      </c>
      <c r="AP240" s="101">
        <v>0</v>
      </c>
      <c r="AQ240" s="101">
        <v>0</v>
      </c>
      <c r="AR240" s="101">
        <v>0</v>
      </c>
      <c r="AS240" s="101"/>
      <c r="AT240" s="101"/>
      <c r="AU240" s="101"/>
      <c r="AV240" s="101">
        <v>0</v>
      </c>
      <c r="AW240" s="86">
        <v>0</v>
      </c>
      <c r="AX240" s="101">
        <v>0</v>
      </c>
      <c r="AY240" s="101">
        <v>0</v>
      </c>
      <c r="AZ240" s="101">
        <v>0</v>
      </c>
      <c r="BA240" s="101">
        <v>0</v>
      </c>
      <c r="BB240" s="101"/>
      <c r="BC240" s="101"/>
      <c r="BD240" s="101"/>
      <c r="BE240" s="101">
        <v>0</v>
      </c>
      <c r="BF240" s="86">
        <v>0</v>
      </c>
      <c r="BG240" s="101">
        <v>0</v>
      </c>
      <c r="BH240" s="101">
        <v>0</v>
      </c>
      <c r="BI240" s="101">
        <v>0</v>
      </c>
      <c r="BJ240" s="101">
        <v>0</v>
      </c>
      <c r="BK240" s="101"/>
      <c r="BL240" s="101"/>
      <c r="BM240" s="101"/>
      <c r="BN240" s="101">
        <v>0</v>
      </c>
      <c r="BO240" s="86">
        <v>0</v>
      </c>
      <c r="BP240" s="101">
        <v>0</v>
      </c>
      <c r="BQ240" s="101">
        <v>0</v>
      </c>
      <c r="BR240" s="101">
        <v>0</v>
      </c>
      <c r="BS240" s="101"/>
      <c r="BT240" s="101"/>
      <c r="BU240" s="101"/>
      <c r="BV240" s="101">
        <v>0</v>
      </c>
      <c r="BW240" s="101">
        <v>0</v>
      </c>
      <c r="BX240" s="101">
        <v>0</v>
      </c>
    </row>
    <row r="241" spans="1:76" x14ac:dyDescent="0.35">
      <c r="A241" t="s">
        <v>222</v>
      </c>
      <c r="B241" s="13" t="s">
        <v>237</v>
      </c>
      <c r="C241" s="13" t="s">
        <v>56</v>
      </c>
      <c r="D241" s="13" t="s">
        <v>223</v>
      </c>
      <c r="W241" s="101">
        <v>0</v>
      </c>
      <c r="X241" s="101">
        <v>0</v>
      </c>
      <c r="Y241" s="100">
        <v>5.0558836222750793E-4</v>
      </c>
      <c r="Z241" s="100">
        <v>5.0558836222750793E-4</v>
      </c>
      <c r="AA241" s="101">
        <v>0</v>
      </c>
      <c r="AB241" s="101">
        <v>0</v>
      </c>
      <c r="AC241" s="101">
        <v>0</v>
      </c>
      <c r="AD241" s="101">
        <v>0</v>
      </c>
      <c r="AE241" s="86">
        <v>0</v>
      </c>
      <c r="AF241" s="101">
        <v>0</v>
      </c>
      <c r="AG241" s="101">
        <v>0</v>
      </c>
      <c r="AH241" s="101">
        <v>0</v>
      </c>
      <c r="AI241" s="101">
        <v>0</v>
      </c>
      <c r="AJ241" s="101"/>
      <c r="AK241" s="101"/>
      <c r="AL241" s="101"/>
      <c r="AM241" s="101">
        <v>0</v>
      </c>
      <c r="AN241" s="86">
        <v>0</v>
      </c>
      <c r="AO241" s="101">
        <v>0</v>
      </c>
      <c r="AP241" s="101">
        <v>0</v>
      </c>
      <c r="AQ241" s="101">
        <v>0</v>
      </c>
      <c r="AR241" s="101">
        <v>0</v>
      </c>
      <c r="AS241" s="101"/>
      <c r="AT241" s="101"/>
      <c r="AU241" s="101"/>
      <c r="AV241" s="101">
        <v>0</v>
      </c>
      <c r="AW241" s="86">
        <v>0</v>
      </c>
      <c r="AX241" s="101">
        <v>0</v>
      </c>
      <c r="AY241" s="101">
        <v>0</v>
      </c>
      <c r="AZ241" s="101">
        <v>0</v>
      </c>
      <c r="BA241" s="101">
        <v>0</v>
      </c>
      <c r="BB241" s="101"/>
      <c r="BC241" s="101"/>
      <c r="BD241" s="101"/>
      <c r="BE241" s="101">
        <v>0</v>
      </c>
      <c r="BF241" s="86">
        <v>0</v>
      </c>
      <c r="BG241" s="101">
        <v>0</v>
      </c>
      <c r="BH241" s="101">
        <v>0</v>
      </c>
      <c r="BI241" s="101">
        <v>0</v>
      </c>
      <c r="BJ241" s="101">
        <v>0</v>
      </c>
      <c r="BK241" s="101"/>
      <c r="BL241" s="101"/>
      <c r="BM241" s="101"/>
      <c r="BN241" s="101">
        <v>0</v>
      </c>
      <c r="BO241" s="86">
        <v>0</v>
      </c>
      <c r="BP241" s="101">
        <v>0</v>
      </c>
      <c r="BQ241" s="101">
        <v>0</v>
      </c>
      <c r="BR241" s="101">
        <v>0</v>
      </c>
      <c r="BS241" s="101"/>
      <c r="BT241" s="101"/>
      <c r="BU241" s="101"/>
      <c r="BV241" s="101">
        <v>0</v>
      </c>
      <c r="BW241" s="101">
        <v>0</v>
      </c>
      <c r="BX241" s="101">
        <v>0</v>
      </c>
    </row>
    <row r="242" spans="1:76" x14ac:dyDescent="0.35">
      <c r="A242" t="s">
        <v>224</v>
      </c>
      <c r="B242" s="13" t="s">
        <v>237</v>
      </c>
      <c r="C242" s="13" t="s">
        <v>56</v>
      </c>
      <c r="D242" s="13" t="s">
        <v>225</v>
      </c>
      <c r="W242" s="101">
        <v>0</v>
      </c>
      <c r="X242" s="101">
        <v>0</v>
      </c>
      <c r="Y242" s="100">
        <v>4.8514464106651379E-3</v>
      </c>
      <c r="Z242" s="100">
        <v>4.8514464106651379E-3</v>
      </c>
      <c r="AA242" s="101">
        <v>0</v>
      </c>
      <c r="AB242" s="101">
        <v>0</v>
      </c>
      <c r="AC242" s="101">
        <v>0</v>
      </c>
      <c r="AD242" s="101">
        <v>0</v>
      </c>
      <c r="AE242" s="86">
        <v>0</v>
      </c>
      <c r="AF242" s="101">
        <v>0</v>
      </c>
      <c r="AG242" s="101">
        <v>0</v>
      </c>
      <c r="AH242" s="101">
        <v>0</v>
      </c>
      <c r="AI242" s="101">
        <v>0</v>
      </c>
      <c r="AJ242" s="101"/>
      <c r="AK242" s="101"/>
      <c r="AL242" s="101"/>
      <c r="AM242" s="101">
        <v>0</v>
      </c>
      <c r="AN242" s="86">
        <v>0</v>
      </c>
      <c r="AO242" s="101">
        <v>0</v>
      </c>
      <c r="AP242" s="101">
        <v>0</v>
      </c>
      <c r="AQ242" s="101">
        <v>0</v>
      </c>
      <c r="AR242" s="101">
        <v>0</v>
      </c>
      <c r="AS242" s="101"/>
      <c r="AT242" s="101"/>
      <c r="AU242" s="101"/>
      <c r="AV242" s="101">
        <v>0</v>
      </c>
      <c r="AW242" s="86">
        <v>0</v>
      </c>
      <c r="AX242" s="101">
        <v>0</v>
      </c>
      <c r="AY242" s="101">
        <v>0</v>
      </c>
      <c r="AZ242" s="101">
        <v>0</v>
      </c>
      <c r="BA242" s="101">
        <v>0</v>
      </c>
      <c r="BB242" s="101"/>
      <c r="BC242" s="101"/>
      <c r="BD242" s="101"/>
      <c r="BE242" s="101">
        <v>0</v>
      </c>
      <c r="BF242" s="86">
        <v>0</v>
      </c>
      <c r="BG242" s="101">
        <v>0</v>
      </c>
      <c r="BH242" s="101">
        <v>0</v>
      </c>
      <c r="BI242" s="101">
        <v>0</v>
      </c>
      <c r="BJ242" s="101">
        <v>0</v>
      </c>
      <c r="BK242" s="101"/>
      <c r="BL242" s="101"/>
      <c r="BM242" s="101"/>
      <c r="BN242" s="101">
        <v>0</v>
      </c>
      <c r="BO242" s="86">
        <v>0</v>
      </c>
      <c r="BP242" s="101">
        <v>0</v>
      </c>
      <c r="BQ242" s="101">
        <v>0</v>
      </c>
      <c r="BR242" s="101">
        <v>0</v>
      </c>
      <c r="BS242" s="101"/>
      <c r="BT242" s="101"/>
      <c r="BU242" s="101"/>
      <c r="BV242" s="101">
        <v>0</v>
      </c>
      <c r="BW242" s="101">
        <v>0</v>
      </c>
      <c r="BX242" s="101">
        <v>0</v>
      </c>
    </row>
    <row r="243" spans="1:76" x14ac:dyDescent="0.35">
      <c r="A243" t="s">
        <v>226</v>
      </c>
      <c r="B243" s="13" t="s">
        <v>237</v>
      </c>
      <c r="C243" s="13" t="s">
        <v>56</v>
      </c>
      <c r="D243" s="13" t="s">
        <v>227</v>
      </c>
      <c r="W243" s="101">
        <v>0</v>
      </c>
      <c r="X243" s="100">
        <v>4.4451090694311274E-2</v>
      </c>
      <c r="Y243" s="100">
        <v>1.109418436791091E-2</v>
      </c>
      <c r="Z243" s="100">
        <v>1.109418436791091E-2</v>
      </c>
      <c r="AA243" s="100">
        <v>9.2276548594747033E-3</v>
      </c>
      <c r="AB243" s="100">
        <v>9.2276548594747033E-3</v>
      </c>
      <c r="AC243" s="101">
        <v>0</v>
      </c>
      <c r="AD243" s="101">
        <v>0</v>
      </c>
      <c r="AE243" s="86">
        <v>0</v>
      </c>
      <c r="AF243" s="101">
        <v>0</v>
      </c>
      <c r="AG243" s="101">
        <v>0</v>
      </c>
      <c r="AH243" s="101">
        <v>0</v>
      </c>
      <c r="AI243" s="101">
        <v>0</v>
      </c>
      <c r="AJ243" s="101"/>
      <c r="AK243" s="101"/>
      <c r="AL243" s="101"/>
      <c r="AM243" s="101">
        <v>0</v>
      </c>
      <c r="AN243" s="86">
        <v>0</v>
      </c>
      <c r="AO243" s="101">
        <v>0</v>
      </c>
      <c r="AP243" s="101">
        <v>0</v>
      </c>
      <c r="AQ243" s="101">
        <v>0</v>
      </c>
      <c r="AR243" s="101">
        <v>0</v>
      </c>
      <c r="AS243" s="101"/>
      <c r="AT243" s="101"/>
      <c r="AU243" s="101"/>
      <c r="AV243" s="101">
        <v>0</v>
      </c>
      <c r="AW243" s="86">
        <v>0</v>
      </c>
      <c r="AX243" s="101">
        <v>0</v>
      </c>
      <c r="AY243" s="101">
        <v>0</v>
      </c>
      <c r="AZ243" s="101">
        <v>0</v>
      </c>
      <c r="BA243" s="101">
        <v>0</v>
      </c>
      <c r="BB243" s="101"/>
      <c r="BC243" s="101"/>
      <c r="BD243" s="101"/>
      <c r="BE243" s="101">
        <v>0</v>
      </c>
      <c r="BF243" s="86">
        <v>0</v>
      </c>
      <c r="BG243" s="101">
        <v>0</v>
      </c>
      <c r="BH243" s="101">
        <v>0</v>
      </c>
      <c r="BI243" s="101">
        <v>0</v>
      </c>
      <c r="BJ243" s="101">
        <v>0</v>
      </c>
      <c r="BK243" s="101"/>
      <c r="BL243" s="101"/>
      <c r="BM243" s="101"/>
      <c r="BN243" s="101">
        <v>0</v>
      </c>
      <c r="BO243" s="86">
        <v>0</v>
      </c>
      <c r="BP243" s="101">
        <v>0</v>
      </c>
      <c r="BQ243" s="101">
        <v>0</v>
      </c>
      <c r="BR243" s="101">
        <v>0</v>
      </c>
      <c r="BS243" s="101"/>
      <c r="BT243" s="101"/>
      <c r="BU243" s="101"/>
      <c r="BV243" s="101">
        <v>0</v>
      </c>
      <c r="BW243" s="101">
        <v>0</v>
      </c>
      <c r="BX243" s="101">
        <v>0</v>
      </c>
    </row>
    <row r="244" spans="1:76" x14ac:dyDescent="0.35">
      <c r="A244" t="s">
        <v>83</v>
      </c>
      <c r="B244" s="13" t="s">
        <v>237</v>
      </c>
      <c r="C244" s="13" t="s">
        <v>56</v>
      </c>
      <c r="D244" s="13" t="s">
        <v>228</v>
      </c>
      <c r="W244" s="101">
        <v>0</v>
      </c>
      <c r="X244" s="101">
        <v>0</v>
      </c>
      <c r="Y244" s="101">
        <v>0</v>
      </c>
      <c r="Z244" s="101">
        <v>0</v>
      </c>
      <c r="AA244" s="100">
        <v>6.9627451701437512E-2</v>
      </c>
      <c r="AB244" s="100">
        <v>6.9627451701437512E-2</v>
      </c>
      <c r="AC244" s="101">
        <v>0</v>
      </c>
      <c r="AD244" s="101">
        <v>0</v>
      </c>
      <c r="AE244" s="86">
        <v>0</v>
      </c>
      <c r="AF244" s="101"/>
      <c r="AG244" s="101"/>
      <c r="AH244" s="101"/>
      <c r="AI244" s="101"/>
      <c r="AJ244" s="101"/>
      <c r="AK244" s="101"/>
      <c r="AL244" s="101"/>
      <c r="AM244" s="101"/>
      <c r="AN244" s="86"/>
      <c r="AO244" s="101"/>
      <c r="AP244" s="101"/>
      <c r="AQ244" s="101"/>
      <c r="AR244" s="101"/>
      <c r="AS244" s="101"/>
      <c r="AT244" s="101"/>
      <c r="AU244" s="101"/>
      <c r="AV244" s="101"/>
      <c r="AW244" s="86"/>
      <c r="AX244" s="101"/>
      <c r="AY244" s="101"/>
      <c r="AZ244" s="101"/>
      <c r="BA244" s="101"/>
      <c r="BB244" s="101"/>
      <c r="BC244" s="101"/>
      <c r="BD244" s="101"/>
      <c r="BE244" s="101"/>
      <c r="BF244" s="86"/>
      <c r="BG244" s="101"/>
      <c r="BH244" s="101"/>
      <c r="BI244" s="101"/>
      <c r="BJ244" s="101"/>
      <c r="BK244" s="101"/>
      <c r="BL244" s="101"/>
      <c r="BM244" s="101"/>
      <c r="BN244" s="101"/>
      <c r="BO244" s="86"/>
      <c r="BP244" s="101"/>
      <c r="BQ244" s="101"/>
      <c r="BR244" s="101"/>
      <c r="BS244" s="101"/>
      <c r="BT244" s="101"/>
      <c r="BU244" s="101"/>
      <c r="BV244" s="101"/>
      <c r="BW244" s="101"/>
      <c r="BX244" s="101"/>
    </row>
    <row r="245" spans="1:76" x14ac:dyDescent="0.35">
      <c r="A245" t="s">
        <v>229</v>
      </c>
      <c r="B245" s="13" t="s">
        <v>237</v>
      </c>
      <c r="C245" s="13" t="s">
        <v>56</v>
      </c>
      <c r="D245" s="13" t="s">
        <v>230</v>
      </c>
      <c r="W245" s="101">
        <v>0</v>
      </c>
      <c r="X245" s="101">
        <v>0</v>
      </c>
      <c r="Y245" s="100">
        <v>2.890870278990243E-5</v>
      </c>
      <c r="Z245" s="100">
        <v>2.890870278990243E-5</v>
      </c>
      <c r="AA245" s="101">
        <v>0</v>
      </c>
      <c r="AB245" s="101">
        <v>0</v>
      </c>
      <c r="AC245" s="101">
        <v>0</v>
      </c>
      <c r="AD245" s="101">
        <v>0</v>
      </c>
      <c r="AE245" s="86">
        <v>0</v>
      </c>
      <c r="AF245" s="101">
        <v>0</v>
      </c>
      <c r="AG245" s="101">
        <v>0</v>
      </c>
      <c r="AH245" s="101">
        <v>0</v>
      </c>
      <c r="AI245" s="101">
        <v>0</v>
      </c>
      <c r="AJ245" s="101"/>
      <c r="AK245" s="101"/>
      <c r="AL245" s="101"/>
      <c r="AM245" s="101">
        <v>0</v>
      </c>
      <c r="AN245" s="86">
        <v>0</v>
      </c>
      <c r="AO245" s="101">
        <v>0</v>
      </c>
      <c r="AP245" s="101">
        <v>0</v>
      </c>
      <c r="AQ245" s="101">
        <v>0</v>
      </c>
      <c r="AR245" s="101">
        <v>0</v>
      </c>
      <c r="AS245" s="101"/>
      <c r="AT245" s="101"/>
      <c r="AU245" s="101"/>
      <c r="AV245" s="101">
        <v>0</v>
      </c>
      <c r="AW245" s="86">
        <v>0</v>
      </c>
      <c r="AX245" s="101">
        <v>0</v>
      </c>
      <c r="AY245" s="101">
        <v>0</v>
      </c>
      <c r="AZ245" s="101">
        <v>0</v>
      </c>
      <c r="BA245" s="101">
        <v>0</v>
      </c>
      <c r="BB245" s="101"/>
      <c r="BC245" s="101"/>
      <c r="BD245" s="101"/>
      <c r="BE245" s="101">
        <v>0</v>
      </c>
      <c r="BF245" s="86">
        <v>0</v>
      </c>
      <c r="BG245" s="101">
        <v>0</v>
      </c>
      <c r="BH245" s="101">
        <v>0</v>
      </c>
      <c r="BI245" s="101">
        <v>0</v>
      </c>
      <c r="BJ245" s="101">
        <v>0</v>
      </c>
      <c r="BK245" s="101"/>
      <c r="BL245" s="101"/>
      <c r="BM245" s="101"/>
      <c r="BN245" s="101">
        <v>0</v>
      </c>
      <c r="BO245" s="86">
        <v>0</v>
      </c>
      <c r="BP245" s="101">
        <v>0</v>
      </c>
      <c r="BQ245" s="101">
        <v>0</v>
      </c>
      <c r="BR245" s="101">
        <v>0</v>
      </c>
      <c r="BS245" s="101"/>
      <c r="BT245" s="101"/>
      <c r="BU245" s="101"/>
      <c r="BV245" s="101">
        <v>0</v>
      </c>
      <c r="BW245" s="101">
        <v>0</v>
      </c>
      <c r="BX245" s="101">
        <v>0</v>
      </c>
    </row>
    <row r="246" spans="1:76" x14ac:dyDescent="0.35">
      <c r="A246" t="s">
        <v>231</v>
      </c>
      <c r="B246" s="13" t="s">
        <v>237</v>
      </c>
      <c r="C246" s="13" t="s">
        <v>56</v>
      </c>
      <c r="D246" s="13" t="s">
        <v>232</v>
      </c>
      <c r="W246" s="101">
        <v>0</v>
      </c>
      <c r="X246" s="101">
        <v>0</v>
      </c>
      <c r="Y246" s="100">
        <v>2.1939759632029279E-4</v>
      </c>
      <c r="Z246" s="100">
        <v>2.1939759632029279E-4</v>
      </c>
      <c r="AA246" s="101">
        <v>0</v>
      </c>
      <c r="AB246" s="101">
        <v>0</v>
      </c>
      <c r="AC246" s="101">
        <v>0</v>
      </c>
      <c r="AD246" s="101">
        <v>0</v>
      </c>
      <c r="AE246" s="86">
        <v>0</v>
      </c>
      <c r="AF246" s="101">
        <v>0</v>
      </c>
      <c r="AG246" s="101">
        <v>0</v>
      </c>
      <c r="AH246" s="101">
        <v>0</v>
      </c>
      <c r="AI246" s="101">
        <v>0</v>
      </c>
      <c r="AJ246" s="101"/>
      <c r="AK246" s="101"/>
      <c r="AL246" s="101"/>
      <c r="AM246" s="101">
        <v>0</v>
      </c>
      <c r="AN246" s="86">
        <v>0</v>
      </c>
      <c r="AO246" s="101">
        <v>0</v>
      </c>
      <c r="AP246" s="101">
        <v>0</v>
      </c>
      <c r="AQ246" s="101">
        <v>0</v>
      </c>
      <c r="AR246" s="101">
        <v>0</v>
      </c>
      <c r="AS246" s="101"/>
      <c r="AT246" s="101"/>
      <c r="AU246" s="101"/>
      <c r="AV246" s="101">
        <v>0</v>
      </c>
      <c r="AW246" s="86">
        <v>0</v>
      </c>
      <c r="AX246" s="101">
        <v>0</v>
      </c>
      <c r="AY246" s="101">
        <v>0</v>
      </c>
      <c r="AZ246" s="101">
        <v>0</v>
      </c>
      <c r="BA246" s="101">
        <v>0</v>
      </c>
      <c r="BB246" s="101"/>
      <c r="BC246" s="101"/>
      <c r="BD246" s="101"/>
      <c r="BE246" s="101">
        <v>0</v>
      </c>
      <c r="BF246" s="86">
        <v>0</v>
      </c>
      <c r="BG246" s="101">
        <v>0</v>
      </c>
      <c r="BH246" s="101">
        <v>0</v>
      </c>
      <c r="BI246" s="101">
        <v>0</v>
      </c>
      <c r="BJ246" s="101">
        <v>0</v>
      </c>
      <c r="BK246" s="101"/>
      <c r="BL246" s="101"/>
      <c r="BM246" s="101"/>
      <c r="BN246" s="101">
        <v>0</v>
      </c>
      <c r="BO246" s="86">
        <v>0</v>
      </c>
      <c r="BP246" s="101">
        <v>0</v>
      </c>
      <c r="BQ246" s="101">
        <v>0</v>
      </c>
      <c r="BR246" s="101">
        <v>0</v>
      </c>
      <c r="BS246" s="101"/>
      <c r="BT246" s="101"/>
      <c r="BU246" s="101"/>
      <c r="BV246" s="101">
        <v>0</v>
      </c>
      <c r="BW246" s="101">
        <v>0</v>
      </c>
      <c r="BX246" s="101">
        <v>0</v>
      </c>
    </row>
    <row r="247" spans="1:76" x14ac:dyDescent="0.35">
      <c r="A247" t="s">
        <v>233</v>
      </c>
      <c r="B247" s="13" t="s">
        <v>237</v>
      </c>
      <c r="C247" s="13" t="s">
        <v>56</v>
      </c>
      <c r="D247" s="13" t="s">
        <v>228</v>
      </c>
      <c r="W247" s="101">
        <v>0</v>
      </c>
      <c r="X247" s="101">
        <v>0</v>
      </c>
      <c r="Y247" s="100">
        <v>2.8514320987501449E-3</v>
      </c>
      <c r="Z247" s="100">
        <v>2.8514320987501449E-3</v>
      </c>
      <c r="AA247" s="101">
        <v>0</v>
      </c>
      <c r="AB247" s="101">
        <v>0</v>
      </c>
      <c r="AC247" s="101">
        <v>0</v>
      </c>
      <c r="AD247" s="101">
        <v>0</v>
      </c>
      <c r="AE247" s="86">
        <v>0</v>
      </c>
      <c r="AF247" s="101">
        <v>0</v>
      </c>
      <c r="AG247" s="101">
        <v>0</v>
      </c>
      <c r="AH247" s="101">
        <v>0</v>
      </c>
      <c r="AI247" s="101">
        <v>0</v>
      </c>
      <c r="AJ247" s="101"/>
      <c r="AK247" s="101"/>
      <c r="AL247" s="101"/>
      <c r="AM247" s="101">
        <v>0</v>
      </c>
      <c r="AN247" s="86">
        <v>0</v>
      </c>
      <c r="AO247" s="101">
        <v>0</v>
      </c>
      <c r="AP247" s="101">
        <v>0</v>
      </c>
      <c r="AQ247" s="101">
        <v>0</v>
      </c>
      <c r="AR247" s="101">
        <v>0</v>
      </c>
      <c r="AS247" s="101"/>
      <c r="AT247" s="101"/>
      <c r="AU247" s="101"/>
      <c r="AV247" s="101">
        <v>0</v>
      </c>
      <c r="AW247" s="86">
        <v>0</v>
      </c>
      <c r="AX247" s="101">
        <v>0</v>
      </c>
      <c r="AY247" s="101">
        <v>0</v>
      </c>
      <c r="AZ247" s="101">
        <v>0</v>
      </c>
      <c r="BA247" s="101">
        <v>0</v>
      </c>
      <c r="BB247" s="101"/>
      <c r="BC247" s="101"/>
      <c r="BD247" s="101"/>
      <c r="BE247" s="101">
        <v>0</v>
      </c>
      <c r="BF247" s="86">
        <v>0</v>
      </c>
      <c r="BG247" s="101">
        <v>0</v>
      </c>
      <c r="BH247" s="101">
        <v>0</v>
      </c>
      <c r="BI247" s="101">
        <v>0</v>
      </c>
      <c r="BJ247" s="101">
        <v>0</v>
      </c>
      <c r="BK247" s="101"/>
      <c r="BL247" s="101"/>
      <c r="BM247" s="101"/>
      <c r="BN247" s="101">
        <v>0</v>
      </c>
      <c r="BO247" s="86">
        <v>0</v>
      </c>
      <c r="BP247" s="101">
        <v>0</v>
      </c>
      <c r="BQ247" s="101">
        <v>0</v>
      </c>
      <c r="BR247" s="101">
        <v>0</v>
      </c>
      <c r="BS247" s="101"/>
      <c r="BT247" s="101"/>
      <c r="BU247" s="101"/>
      <c r="BV247" s="101">
        <v>0</v>
      </c>
      <c r="BW247" s="101">
        <v>0</v>
      </c>
      <c r="BX247" s="101">
        <v>0</v>
      </c>
    </row>
    <row r="248" spans="1:76" x14ac:dyDescent="0.35">
      <c r="A248" t="s">
        <v>101</v>
      </c>
      <c r="B248" s="13" t="s">
        <v>237</v>
      </c>
      <c r="C248" s="13" t="s">
        <v>103</v>
      </c>
      <c r="D248" s="13" t="s">
        <v>234</v>
      </c>
      <c r="W248" s="101">
        <v>0</v>
      </c>
      <c r="X248" s="101">
        <v>0</v>
      </c>
      <c r="Y248" s="101">
        <v>0</v>
      </c>
      <c r="Z248" s="101">
        <v>0</v>
      </c>
      <c r="AA248" s="101">
        <v>0</v>
      </c>
      <c r="AB248" s="101">
        <v>0</v>
      </c>
      <c r="AC248" s="101">
        <v>0</v>
      </c>
      <c r="AD248" s="101">
        <v>0</v>
      </c>
      <c r="AE248" s="86">
        <v>0</v>
      </c>
      <c r="AF248" s="101"/>
      <c r="AG248" s="101"/>
      <c r="AH248" s="101"/>
      <c r="AI248" s="101"/>
      <c r="AJ248" s="101"/>
      <c r="AK248" s="101"/>
      <c r="AL248" s="101"/>
      <c r="AM248" s="101"/>
      <c r="AN248" s="86"/>
      <c r="AO248" s="101"/>
      <c r="AP248" s="101"/>
      <c r="AQ248" s="101"/>
      <c r="AR248" s="101"/>
      <c r="AS248" s="101"/>
      <c r="AT248" s="101"/>
      <c r="AU248" s="101"/>
      <c r="AV248" s="101"/>
      <c r="AW248" s="86"/>
      <c r="AX248" s="101"/>
      <c r="AY248" s="101"/>
      <c r="AZ248" s="101"/>
      <c r="BA248" s="101"/>
      <c r="BB248" s="101"/>
      <c r="BC248" s="101"/>
      <c r="BD248" s="101"/>
      <c r="BE248" s="101"/>
      <c r="BF248" s="86"/>
      <c r="BG248" s="101"/>
      <c r="BH248" s="101"/>
      <c r="BI248" s="101"/>
      <c r="BJ248" s="101"/>
      <c r="BK248" s="101"/>
      <c r="BL248" s="101"/>
      <c r="BM248" s="101"/>
      <c r="BN248" s="101"/>
      <c r="BO248" s="86"/>
      <c r="BP248" s="101"/>
      <c r="BQ248" s="101"/>
      <c r="BR248" s="101"/>
      <c r="BS248" s="101"/>
      <c r="BT248" s="101"/>
      <c r="BU248" s="101"/>
      <c r="BV248" s="101"/>
      <c r="BW248" s="101"/>
      <c r="BX248" s="101"/>
    </row>
    <row r="249" spans="1:76" x14ac:dyDescent="0.35">
      <c r="A249" t="s">
        <v>104</v>
      </c>
      <c r="B249" s="13" t="s">
        <v>237</v>
      </c>
      <c r="C249" s="13" t="s">
        <v>103</v>
      </c>
      <c r="D249" s="13" t="s">
        <v>235</v>
      </c>
      <c r="W249" s="101">
        <v>0</v>
      </c>
      <c r="X249" s="101">
        <v>0</v>
      </c>
      <c r="Y249" s="101">
        <v>0</v>
      </c>
      <c r="Z249" s="101">
        <v>0</v>
      </c>
      <c r="AA249" s="101">
        <v>0</v>
      </c>
      <c r="AB249" s="101">
        <v>0</v>
      </c>
      <c r="AC249" s="101">
        <v>0</v>
      </c>
      <c r="AD249" s="101">
        <v>0</v>
      </c>
      <c r="AE249" s="86">
        <v>0</v>
      </c>
      <c r="AF249" s="101"/>
      <c r="AG249" s="101"/>
      <c r="AH249" s="101"/>
      <c r="AI249" s="101"/>
      <c r="AJ249" s="101"/>
      <c r="AK249" s="101"/>
      <c r="AL249" s="101"/>
      <c r="AM249" s="101"/>
      <c r="AN249" s="86"/>
      <c r="AO249" s="101"/>
      <c r="AP249" s="101"/>
      <c r="AQ249" s="101"/>
      <c r="AR249" s="101"/>
      <c r="AS249" s="101"/>
      <c r="AT249" s="101"/>
      <c r="AU249" s="101"/>
      <c r="AV249" s="101"/>
      <c r="AW249" s="86"/>
      <c r="AX249" s="101"/>
      <c r="AY249" s="101"/>
      <c r="AZ249" s="101"/>
      <c r="BA249" s="101"/>
      <c r="BB249" s="101"/>
      <c r="BC249" s="101"/>
      <c r="BD249" s="101"/>
      <c r="BE249" s="101"/>
      <c r="BF249" s="86"/>
      <c r="BG249" s="101"/>
      <c r="BH249" s="101"/>
      <c r="BI249" s="101"/>
      <c r="BJ249" s="101"/>
      <c r="BK249" s="101"/>
      <c r="BL249" s="101"/>
      <c r="BM249" s="101"/>
      <c r="BN249" s="101"/>
      <c r="BO249" s="86"/>
      <c r="BP249" s="101"/>
      <c r="BQ249" s="101"/>
      <c r="BR249" s="101"/>
      <c r="BS249" s="101"/>
      <c r="BT249" s="101"/>
      <c r="BU249" s="101"/>
      <c r="BV249" s="101"/>
      <c r="BW249" s="101"/>
      <c r="BX249" s="101"/>
    </row>
    <row r="250" spans="1:76" ht="15" thickBot="1" x14ac:dyDescent="0.4">
      <c r="A250" t="s">
        <v>106</v>
      </c>
      <c r="B250" s="13" t="s">
        <v>237</v>
      </c>
      <c r="C250" s="13" t="s">
        <v>103</v>
      </c>
      <c r="D250" s="13" t="s">
        <v>236</v>
      </c>
      <c r="W250" s="87">
        <v>0</v>
      </c>
      <c r="X250" s="87">
        <v>0</v>
      </c>
      <c r="Y250" s="87">
        <v>0</v>
      </c>
      <c r="Z250" s="87">
        <v>0</v>
      </c>
      <c r="AA250" s="87">
        <v>0</v>
      </c>
      <c r="AB250" s="87">
        <v>0</v>
      </c>
      <c r="AC250" s="87">
        <v>0</v>
      </c>
      <c r="AD250" s="87">
        <v>0</v>
      </c>
      <c r="AE250" s="89">
        <v>0</v>
      </c>
      <c r="AF250" s="114">
        <v>0</v>
      </c>
      <c r="AG250" s="87">
        <v>0</v>
      </c>
      <c r="AH250" s="87">
        <v>0</v>
      </c>
      <c r="AI250" s="87">
        <v>0</v>
      </c>
      <c r="AJ250" s="87"/>
      <c r="AK250" s="87"/>
      <c r="AL250" s="87"/>
      <c r="AM250" s="87">
        <v>0</v>
      </c>
      <c r="AN250" s="89">
        <v>0</v>
      </c>
      <c r="AO250" s="114">
        <v>0</v>
      </c>
      <c r="AP250" s="87">
        <v>0</v>
      </c>
      <c r="AQ250" s="87">
        <v>0</v>
      </c>
      <c r="AR250" s="87">
        <v>0</v>
      </c>
      <c r="AS250" s="87"/>
      <c r="AT250" s="87"/>
      <c r="AU250" s="87"/>
      <c r="AV250" s="87">
        <v>0</v>
      </c>
      <c r="AW250" s="89">
        <v>0</v>
      </c>
      <c r="AX250" s="114">
        <v>0</v>
      </c>
      <c r="AY250" s="87">
        <v>0</v>
      </c>
      <c r="AZ250" s="87">
        <v>0</v>
      </c>
      <c r="BA250" s="87">
        <v>0</v>
      </c>
      <c r="BB250" s="87"/>
      <c r="BC250" s="87"/>
      <c r="BD250" s="87"/>
      <c r="BE250" s="87">
        <v>0</v>
      </c>
      <c r="BF250" s="89">
        <v>0</v>
      </c>
      <c r="BG250" s="114">
        <v>0</v>
      </c>
      <c r="BH250" s="87">
        <v>0</v>
      </c>
      <c r="BI250" s="87">
        <v>0</v>
      </c>
      <c r="BJ250" s="87">
        <v>0</v>
      </c>
      <c r="BK250" s="87"/>
      <c r="BL250" s="87"/>
      <c r="BM250" s="87"/>
      <c r="BN250" s="87">
        <v>0</v>
      </c>
      <c r="BO250" s="89">
        <v>0</v>
      </c>
      <c r="BP250" s="114">
        <v>0</v>
      </c>
      <c r="BQ250" s="87">
        <v>0</v>
      </c>
      <c r="BR250" s="87">
        <v>0</v>
      </c>
      <c r="BS250" s="87"/>
      <c r="BT250" s="87"/>
      <c r="BU250" s="87"/>
      <c r="BV250" s="87">
        <v>0</v>
      </c>
      <c r="BW250" s="87">
        <v>0</v>
      </c>
      <c r="BX250" s="87">
        <v>0</v>
      </c>
    </row>
    <row r="251" spans="1:76" x14ac:dyDescent="0.35">
      <c r="A251" t="s">
        <v>218</v>
      </c>
      <c r="B251" s="13" t="s">
        <v>238</v>
      </c>
      <c r="C251" s="13" t="s">
        <v>56</v>
      </c>
      <c r="D251" s="13" t="s">
        <v>219</v>
      </c>
      <c r="W251" s="101">
        <v>0</v>
      </c>
      <c r="X251" s="101">
        <v>0</v>
      </c>
      <c r="Y251" s="100">
        <v>2.949251079979006E-2</v>
      </c>
      <c r="Z251" s="100">
        <v>2.949251079979006E-2</v>
      </c>
      <c r="AA251" s="101">
        <v>0</v>
      </c>
      <c r="AB251" s="101">
        <v>0</v>
      </c>
      <c r="AC251" s="101">
        <v>0</v>
      </c>
      <c r="AD251" s="101">
        <v>0</v>
      </c>
      <c r="AE251" s="86">
        <v>0</v>
      </c>
      <c r="AF251" s="101">
        <v>0</v>
      </c>
      <c r="AG251" s="101">
        <v>0</v>
      </c>
      <c r="AH251" s="101">
        <v>0</v>
      </c>
      <c r="AI251" s="101">
        <v>0</v>
      </c>
      <c r="AJ251" s="101"/>
      <c r="AK251" s="101"/>
      <c r="AL251" s="101"/>
      <c r="AM251" s="101">
        <v>0</v>
      </c>
      <c r="AN251" s="86">
        <v>0</v>
      </c>
      <c r="AO251" s="101">
        <v>0</v>
      </c>
      <c r="AP251" s="101">
        <v>0</v>
      </c>
      <c r="AQ251" s="101">
        <v>0</v>
      </c>
      <c r="AR251" s="101">
        <v>0</v>
      </c>
      <c r="AS251" s="101"/>
      <c r="AT251" s="101"/>
      <c r="AU251" s="101"/>
      <c r="AV251" s="101">
        <v>0</v>
      </c>
      <c r="AW251" s="86">
        <v>0</v>
      </c>
      <c r="AX251" s="101">
        <v>0</v>
      </c>
      <c r="AY251" s="101">
        <v>0</v>
      </c>
      <c r="AZ251" s="101">
        <v>0</v>
      </c>
      <c r="BA251" s="101">
        <v>0</v>
      </c>
      <c r="BB251" s="101"/>
      <c r="BC251" s="101"/>
      <c r="BD251" s="101"/>
      <c r="BE251" s="101">
        <v>0</v>
      </c>
      <c r="BF251" s="86">
        <v>0</v>
      </c>
      <c r="BG251" s="101">
        <v>0</v>
      </c>
      <c r="BH251" s="101">
        <v>0</v>
      </c>
      <c r="BI251" s="101">
        <v>0</v>
      </c>
      <c r="BJ251" s="101">
        <v>0</v>
      </c>
      <c r="BK251" s="101"/>
      <c r="BL251" s="101"/>
      <c r="BM251" s="101"/>
      <c r="BN251" s="101">
        <v>0</v>
      </c>
      <c r="BO251" s="86">
        <v>0</v>
      </c>
      <c r="BP251" s="101">
        <v>0</v>
      </c>
      <c r="BQ251" s="101">
        <v>0</v>
      </c>
      <c r="BR251" s="101">
        <v>0</v>
      </c>
      <c r="BS251" s="101"/>
      <c r="BT251" s="101"/>
      <c r="BU251" s="101"/>
      <c r="BV251" s="101">
        <v>0</v>
      </c>
      <c r="BW251" s="101">
        <v>0</v>
      </c>
      <c r="BX251" s="101">
        <v>0</v>
      </c>
    </row>
    <row r="252" spans="1:76" x14ac:dyDescent="0.35">
      <c r="A252" s="12" t="s">
        <v>220</v>
      </c>
      <c r="B252" s="13" t="s">
        <v>238</v>
      </c>
      <c r="C252" s="13" t="s">
        <v>56</v>
      </c>
      <c r="D252" s="13" t="s">
        <v>221</v>
      </c>
      <c r="W252" s="101">
        <v>0</v>
      </c>
      <c r="X252" s="101">
        <v>0</v>
      </c>
      <c r="Y252" s="101">
        <v>0</v>
      </c>
      <c r="Z252" s="101">
        <v>0</v>
      </c>
      <c r="AA252" s="101">
        <v>0</v>
      </c>
      <c r="AB252" s="101">
        <v>0</v>
      </c>
      <c r="AC252" s="101">
        <v>0</v>
      </c>
      <c r="AD252" s="101">
        <v>0</v>
      </c>
      <c r="AE252" s="86">
        <v>0</v>
      </c>
      <c r="AF252" s="101">
        <v>0</v>
      </c>
      <c r="AG252" s="101">
        <v>0</v>
      </c>
      <c r="AH252" s="101">
        <v>0</v>
      </c>
      <c r="AI252" s="101">
        <v>0</v>
      </c>
      <c r="AJ252" s="101"/>
      <c r="AK252" s="101"/>
      <c r="AL252" s="101"/>
      <c r="AM252" s="101">
        <v>0</v>
      </c>
      <c r="AN252" s="86">
        <v>0</v>
      </c>
      <c r="AO252" s="101">
        <v>0</v>
      </c>
      <c r="AP252" s="101">
        <v>0</v>
      </c>
      <c r="AQ252" s="101">
        <v>0</v>
      </c>
      <c r="AR252" s="101">
        <v>0</v>
      </c>
      <c r="AS252" s="101"/>
      <c r="AT252" s="101"/>
      <c r="AU252" s="101"/>
      <c r="AV252" s="101">
        <v>0</v>
      </c>
      <c r="AW252" s="86">
        <v>0</v>
      </c>
      <c r="AX252" s="101">
        <v>0</v>
      </c>
      <c r="AY252" s="101">
        <v>0</v>
      </c>
      <c r="AZ252" s="101">
        <v>0</v>
      </c>
      <c r="BA252" s="101">
        <v>0</v>
      </c>
      <c r="BB252" s="101"/>
      <c r="BC252" s="101"/>
      <c r="BD252" s="101"/>
      <c r="BE252" s="101">
        <v>0</v>
      </c>
      <c r="BF252" s="86">
        <v>0</v>
      </c>
      <c r="BG252" s="101">
        <v>0</v>
      </c>
      <c r="BH252" s="101">
        <v>0</v>
      </c>
      <c r="BI252" s="101">
        <v>0</v>
      </c>
      <c r="BJ252" s="101">
        <v>0</v>
      </c>
      <c r="BK252" s="101"/>
      <c r="BL252" s="101"/>
      <c r="BM252" s="101"/>
      <c r="BN252" s="101">
        <v>0</v>
      </c>
      <c r="BO252" s="86">
        <v>0</v>
      </c>
      <c r="BP252" s="101">
        <v>0</v>
      </c>
      <c r="BQ252" s="101">
        <v>0</v>
      </c>
      <c r="BR252" s="101">
        <v>0</v>
      </c>
      <c r="BS252" s="101"/>
      <c r="BT252" s="101"/>
      <c r="BU252" s="101"/>
      <c r="BV252" s="101">
        <v>0</v>
      </c>
      <c r="BW252" s="101">
        <v>0</v>
      </c>
      <c r="BX252" s="101">
        <v>0</v>
      </c>
    </row>
    <row r="253" spans="1:76" x14ac:dyDescent="0.35">
      <c r="A253" t="s">
        <v>222</v>
      </c>
      <c r="B253" s="13" t="s">
        <v>238</v>
      </c>
      <c r="C253" s="13" t="s">
        <v>56</v>
      </c>
      <c r="D253" s="13" t="s">
        <v>223</v>
      </c>
      <c r="W253" s="101">
        <v>0</v>
      </c>
      <c r="X253" s="101">
        <v>0</v>
      </c>
      <c r="Y253" s="100">
        <v>2.1047443073980527E-5</v>
      </c>
      <c r="Z253" s="100">
        <v>2.1047443073980527E-5</v>
      </c>
      <c r="AA253" s="101">
        <v>0</v>
      </c>
      <c r="AB253" s="101">
        <v>0</v>
      </c>
      <c r="AC253" s="101">
        <v>0</v>
      </c>
      <c r="AD253" s="101">
        <v>0</v>
      </c>
      <c r="AE253" s="86">
        <v>0</v>
      </c>
      <c r="AF253" s="101">
        <v>0</v>
      </c>
      <c r="AG253" s="101">
        <v>0</v>
      </c>
      <c r="AH253" s="101">
        <v>0</v>
      </c>
      <c r="AI253" s="101">
        <v>0</v>
      </c>
      <c r="AJ253" s="101"/>
      <c r="AK253" s="101"/>
      <c r="AL253" s="101"/>
      <c r="AM253" s="101">
        <v>0</v>
      </c>
      <c r="AN253" s="86">
        <v>0</v>
      </c>
      <c r="AO253" s="101">
        <v>0</v>
      </c>
      <c r="AP253" s="101">
        <v>0</v>
      </c>
      <c r="AQ253" s="101">
        <v>0</v>
      </c>
      <c r="AR253" s="101">
        <v>0</v>
      </c>
      <c r="AS253" s="101"/>
      <c r="AT253" s="101"/>
      <c r="AU253" s="101"/>
      <c r="AV253" s="101">
        <v>0</v>
      </c>
      <c r="AW253" s="86">
        <v>0</v>
      </c>
      <c r="AX253" s="101">
        <v>0</v>
      </c>
      <c r="AY253" s="101">
        <v>0</v>
      </c>
      <c r="AZ253" s="101">
        <v>0</v>
      </c>
      <c r="BA253" s="101">
        <v>0</v>
      </c>
      <c r="BB253" s="101"/>
      <c r="BC253" s="101"/>
      <c r="BD253" s="101"/>
      <c r="BE253" s="101">
        <v>0</v>
      </c>
      <c r="BF253" s="86">
        <v>0</v>
      </c>
      <c r="BG253" s="101">
        <v>0</v>
      </c>
      <c r="BH253" s="101">
        <v>0</v>
      </c>
      <c r="BI253" s="101">
        <v>0</v>
      </c>
      <c r="BJ253" s="101">
        <v>0</v>
      </c>
      <c r="BK253" s="101"/>
      <c r="BL253" s="101"/>
      <c r="BM253" s="101"/>
      <c r="BN253" s="101">
        <v>0</v>
      </c>
      <c r="BO253" s="86">
        <v>0</v>
      </c>
      <c r="BP253" s="101">
        <v>0</v>
      </c>
      <c r="BQ253" s="101">
        <v>0</v>
      </c>
      <c r="BR253" s="101">
        <v>0</v>
      </c>
      <c r="BS253" s="101"/>
      <c r="BT253" s="101"/>
      <c r="BU253" s="101"/>
      <c r="BV253" s="101">
        <v>0</v>
      </c>
      <c r="BW253" s="101">
        <v>0</v>
      </c>
      <c r="BX253" s="101">
        <v>0</v>
      </c>
    </row>
    <row r="254" spans="1:76" x14ac:dyDescent="0.35">
      <c r="A254" t="s">
        <v>224</v>
      </c>
      <c r="B254" s="13" t="s">
        <v>238</v>
      </c>
      <c r="C254" s="13" t="s">
        <v>56</v>
      </c>
      <c r="D254" s="13" t="s">
        <v>225</v>
      </c>
      <c r="W254" s="101">
        <v>0</v>
      </c>
      <c r="X254" s="101">
        <v>0</v>
      </c>
      <c r="Y254" s="100">
        <v>5.8414015621608938E-3</v>
      </c>
      <c r="Z254" s="100">
        <v>5.8414015621608938E-3</v>
      </c>
      <c r="AA254" s="101">
        <v>0</v>
      </c>
      <c r="AB254" s="101">
        <v>0</v>
      </c>
      <c r="AC254" s="101">
        <v>0</v>
      </c>
      <c r="AD254" s="101">
        <v>0</v>
      </c>
      <c r="AE254" s="86">
        <v>0</v>
      </c>
      <c r="AF254" s="101">
        <v>0</v>
      </c>
      <c r="AG254" s="101">
        <v>0</v>
      </c>
      <c r="AH254" s="101">
        <v>0</v>
      </c>
      <c r="AI254" s="101">
        <v>0</v>
      </c>
      <c r="AJ254" s="101"/>
      <c r="AK254" s="101"/>
      <c r="AL254" s="101"/>
      <c r="AM254" s="101">
        <v>0</v>
      </c>
      <c r="AN254" s="86">
        <v>0</v>
      </c>
      <c r="AO254" s="101">
        <v>0</v>
      </c>
      <c r="AP254" s="101">
        <v>0</v>
      </c>
      <c r="AQ254" s="101">
        <v>0</v>
      </c>
      <c r="AR254" s="101">
        <v>0</v>
      </c>
      <c r="AS254" s="101"/>
      <c r="AT254" s="101"/>
      <c r="AU254" s="101"/>
      <c r="AV254" s="101">
        <v>0</v>
      </c>
      <c r="AW254" s="86">
        <v>0</v>
      </c>
      <c r="AX254" s="101">
        <v>0</v>
      </c>
      <c r="AY254" s="101">
        <v>0</v>
      </c>
      <c r="AZ254" s="101">
        <v>0</v>
      </c>
      <c r="BA254" s="101">
        <v>0</v>
      </c>
      <c r="BB254" s="101"/>
      <c r="BC254" s="101"/>
      <c r="BD254" s="101"/>
      <c r="BE254" s="101">
        <v>0</v>
      </c>
      <c r="BF254" s="86">
        <v>0</v>
      </c>
      <c r="BG254" s="101">
        <v>0</v>
      </c>
      <c r="BH254" s="101">
        <v>0</v>
      </c>
      <c r="BI254" s="101">
        <v>0</v>
      </c>
      <c r="BJ254" s="101">
        <v>0</v>
      </c>
      <c r="BK254" s="101"/>
      <c r="BL254" s="101"/>
      <c r="BM254" s="101"/>
      <c r="BN254" s="101">
        <v>0</v>
      </c>
      <c r="BO254" s="86">
        <v>0</v>
      </c>
      <c r="BP254" s="101">
        <v>0</v>
      </c>
      <c r="BQ254" s="101">
        <v>0</v>
      </c>
      <c r="BR254" s="101">
        <v>0</v>
      </c>
      <c r="BS254" s="101"/>
      <c r="BT254" s="101"/>
      <c r="BU254" s="101"/>
      <c r="BV254" s="101">
        <v>0</v>
      </c>
      <c r="BW254" s="101">
        <v>0</v>
      </c>
      <c r="BX254" s="101">
        <v>0</v>
      </c>
    </row>
    <row r="255" spans="1:76" x14ac:dyDescent="0.35">
      <c r="A255" t="s">
        <v>226</v>
      </c>
      <c r="B255" s="13" t="s">
        <v>238</v>
      </c>
      <c r="C255" s="13" t="s">
        <v>56</v>
      </c>
      <c r="D255" s="13" t="s">
        <v>227</v>
      </c>
      <c r="W255" s="101">
        <v>0</v>
      </c>
      <c r="X255" s="100">
        <v>1.0694147292515508E-5</v>
      </c>
      <c r="Y255" s="100">
        <v>1.4521138379047227E-3</v>
      </c>
      <c r="Z255" s="100">
        <v>1.4521138379047227E-3</v>
      </c>
      <c r="AA255" s="100">
        <v>2.2200107734217647E-6</v>
      </c>
      <c r="AB255" s="100">
        <v>2.2200107734217647E-6</v>
      </c>
      <c r="AC255" s="101">
        <v>0</v>
      </c>
      <c r="AD255" s="101">
        <v>0</v>
      </c>
      <c r="AE255" s="86">
        <v>0</v>
      </c>
      <c r="AF255" s="101">
        <v>0</v>
      </c>
      <c r="AG255" s="101">
        <v>0</v>
      </c>
      <c r="AH255" s="101">
        <v>0</v>
      </c>
      <c r="AI255" s="101">
        <v>0</v>
      </c>
      <c r="AJ255" s="101"/>
      <c r="AK255" s="101"/>
      <c r="AL255" s="101"/>
      <c r="AM255" s="101">
        <v>0</v>
      </c>
      <c r="AN255" s="86">
        <v>0</v>
      </c>
      <c r="AO255" s="101">
        <v>0</v>
      </c>
      <c r="AP255" s="101">
        <v>0</v>
      </c>
      <c r="AQ255" s="101">
        <v>0</v>
      </c>
      <c r="AR255" s="101">
        <v>0</v>
      </c>
      <c r="AS255" s="101"/>
      <c r="AT255" s="101"/>
      <c r="AU255" s="101"/>
      <c r="AV255" s="101">
        <v>0</v>
      </c>
      <c r="AW255" s="86">
        <v>0</v>
      </c>
      <c r="AX255" s="101">
        <v>0</v>
      </c>
      <c r="AY255" s="101">
        <v>0</v>
      </c>
      <c r="AZ255" s="101">
        <v>0</v>
      </c>
      <c r="BA255" s="101">
        <v>0</v>
      </c>
      <c r="BB255" s="101"/>
      <c r="BC255" s="101"/>
      <c r="BD255" s="101"/>
      <c r="BE255" s="101">
        <v>0</v>
      </c>
      <c r="BF255" s="86">
        <v>0</v>
      </c>
      <c r="BG255" s="101">
        <v>0</v>
      </c>
      <c r="BH255" s="101">
        <v>0</v>
      </c>
      <c r="BI255" s="101">
        <v>0</v>
      </c>
      <c r="BJ255" s="101">
        <v>0</v>
      </c>
      <c r="BK255" s="101"/>
      <c r="BL255" s="101"/>
      <c r="BM255" s="101"/>
      <c r="BN255" s="101">
        <v>0</v>
      </c>
      <c r="BO255" s="86">
        <v>0</v>
      </c>
      <c r="BP255" s="101">
        <v>0</v>
      </c>
      <c r="BQ255" s="101">
        <v>0</v>
      </c>
      <c r="BR255" s="101">
        <v>0</v>
      </c>
      <c r="BS255" s="101"/>
      <c r="BT255" s="101"/>
      <c r="BU255" s="101"/>
      <c r="BV255" s="101">
        <v>0</v>
      </c>
      <c r="BW255" s="101">
        <v>0</v>
      </c>
      <c r="BX255" s="101">
        <v>0</v>
      </c>
    </row>
    <row r="256" spans="1:76" x14ac:dyDescent="0.35">
      <c r="A256" t="s">
        <v>83</v>
      </c>
      <c r="B256" s="13" t="s">
        <v>238</v>
      </c>
      <c r="C256" s="13" t="s">
        <v>56</v>
      </c>
      <c r="D256" s="13" t="s">
        <v>228</v>
      </c>
      <c r="W256" s="101">
        <v>0</v>
      </c>
      <c r="X256" s="101">
        <v>0</v>
      </c>
      <c r="Y256" s="101">
        <v>0</v>
      </c>
      <c r="Z256" s="101">
        <v>0</v>
      </c>
      <c r="AA256" s="100">
        <v>9.1135123377023061E-3</v>
      </c>
      <c r="AB256" s="100">
        <v>9.1135123377023061E-3</v>
      </c>
      <c r="AC256" s="101">
        <v>0</v>
      </c>
      <c r="AD256" s="101">
        <v>0</v>
      </c>
      <c r="AE256" s="86">
        <v>0</v>
      </c>
      <c r="AF256" s="101"/>
      <c r="AG256" s="101"/>
      <c r="AH256" s="101"/>
      <c r="AI256" s="101"/>
      <c r="AJ256" s="101"/>
      <c r="AK256" s="101"/>
      <c r="AL256" s="101"/>
      <c r="AM256" s="101"/>
      <c r="AN256" s="86"/>
      <c r="AO256" s="101"/>
      <c r="AP256" s="101"/>
      <c r="AQ256" s="101"/>
      <c r="AR256" s="101"/>
      <c r="AS256" s="101"/>
      <c r="AT256" s="101"/>
      <c r="AU256" s="101"/>
      <c r="AV256" s="101"/>
      <c r="AW256" s="86"/>
      <c r="AX256" s="101"/>
      <c r="AY256" s="101"/>
      <c r="AZ256" s="101"/>
      <c r="BA256" s="101"/>
      <c r="BB256" s="101"/>
      <c r="BC256" s="101"/>
      <c r="BD256" s="101"/>
      <c r="BE256" s="101"/>
      <c r="BF256" s="86"/>
      <c r="BG256" s="101"/>
      <c r="BH256" s="101"/>
      <c r="BI256" s="101"/>
      <c r="BJ256" s="101"/>
      <c r="BK256" s="101"/>
      <c r="BL256" s="101"/>
      <c r="BM256" s="101"/>
      <c r="BN256" s="101"/>
      <c r="BO256" s="86"/>
      <c r="BP256" s="101"/>
      <c r="BQ256" s="101"/>
      <c r="BR256" s="101"/>
      <c r="BS256" s="101"/>
      <c r="BT256" s="101"/>
      <c r="BU256" s="101"/>
      <c r="BV256" s="101"/>
      <c r="BW256" s="101"/>
      <c r="BX256" s="101"/>
    </row>
    <row r="257" spans="1:76" x14ac:dyDescent="0.35">
      <c r="A257" t="s">
        <v>229</v>
      </c>
      <c r="B257" s="13" t="s">
        <v>238</v>
      </c>
      <c r="C257" s="13" t="s">
        <v>56</v>
      </c>
      <c r="D257" s="13" t="s">
        <v>230</v>
      </c>
      <c r="W257" s="101">
        <v>0</v>
      </c>
      <c r="X257" s="101">
        <v>0</v>
      </c>
      <c r="Y257" s="100">
        <v>6.5130870114372285E-5</v>
      </c>
      <c r="Z257" s="100">
        <v>6.5130870114372285E-5</v>
      </c>
      <c r="AA257" s="101">
        <v>0</v>
      </c>
      <c r="AB257" s="101">
        <v>0</v>
      </c>
      <c r="AC257" s="101">
        <v>0</v>
      </c>
      <c r="AD257" s="101">
        <v>0</v>
      </c>
      <c r="AE257" s="86">
        <v>0</v>
      </c>
      <c r="AF257" s="101">
        <v>0</v>
      </c>
      <c r="AG257" s="101">
        <v>0</v>
      </c>
      <c r="AH257" s="101">
        <v>0</v>
      </c>
      <c r="AI257" s="101">
        <v>0</v>
      </c>
      <c r="AJ257" s="101"/>
      <c r="AK257" s="101"/>
      <c r="AL257" s="101"/>
      <c r="AM257" s="101">
        <v>0</v>
      </c>
      <c r="AN257" s="86">
        <v>0</v>
      </c>
      <c r="AO257" s="101">
        <v>0</v>
      </c>
      <c r="AP257" s="101">
        <v>0</v>
      </c>
      <c r="AQ257" s="101">
        <v>0</v>
      </c>
      <c r="AR257" s="101">
        <v>0</v>
      </c>
      <c r="AS257" s="101"/>
      <c r="AT257" s="101"/>
      <c r="AU257" s="101"/>
      <c r="AV257" s="101">
        <v>0</v>
      </c>
      <c r="AW257" s="86">
        <v>0</v>
      </c>
      <c r="AX257" s="101">
        <v>0</v>
      </c>
      <c r="AY257" s="101">
        <v>0</v>
      </c>
      <c r="AZ257" s="101">
        <v>0</v>
      </c>
      <c r="BA257" s="101">
        <v>0</v>
      </c>
      <c r="BB257" s="101"/>
      <c r="BC257" s="101"/>
      <c r="BD257" s="101"/>
      <c r="BE257" s="101">
        <v>0</v>
      </c>
      <c r="BF257" s="86">
        <v>0</v>
      </c>
      <c r="BG257" s="101">
        <v>0</v>
      </c>
      <c r="BH257" s="101">
        <v>0</v>
      </c>
      <c r="BI257" s="101">
        <v>0</v>
      </c>
      <c r="BJ257" s="101">
        <v>0</v>
      </c>
      <c r="BK257" s="101"/>
      <c r="BL257" s="101"/>
      <c r="BM257" s="101"/>
      <c r="BN257" s="101">
        <v>0</v>
      </c>
      <c r="BO257" s="86">
        <v>0</v>
      </c>
      <c r="BP257" s="101">
        <v>0</v>
      </c>
      <c r="BQ257" s="101">
        <v>0</v>
      </c>
      <c r="BR257" s="101">
        <v>0</v>
      </c>
      <c r="BS257" s="101"/>
      <c r="BT257" s="101"/>
      <c r="BU257" s="101"/>
      <c r="BV257" s="101">
        <v>0</v>
      </c>
      <c r="BW257" s="101">
        <v>0</v>
      </c>
      <c r="BX257" s="101">
        <v>0</v>
      </c>
    </row>
    <row r="258" spans="1:76" x14ac:dyDescent="0.35">
      <c r="A258" t="s">
        <v>231</v>
      </c>
      <c r="B258" s="13" t="s">
        <v>238</v>
      </c>
      <c r="C258" s="13" t="s">
        <v>56</v>
      </c>
      <c r="D258" s="13" t="s">
        <v>232</v>
      </c>
      <c r="W258" s="101">
        <v>0</v>
      </c>
      <c r="X258" s="101">
        <v>0</v>
      </c>
      <c r="Y258" s="100">
        <v>9.6800039566744163E-4</v>
      </c>
      <c r="Z258" s="100">
        <v>9.6800039566744163E-4</v>
      </c>
      <c r="AA258" s="101">
        <v>0</v>
      </c>
      <c r="AB258" s="101">
        <v>0</v>
      </c>
      <c r="AC258" s="101">
        <v>0</v>
      </c>
      <c r="AD258" s="101">
        <v>0</v>
      </c>
      <c r="AE258" s="86">
        <v>0</v>
      </c>
      <c r="AF258" s="101">
        <v>0</v>
      </c>
      <c r="AG258" s="101">
        <v>0</v>
      </c>
      <c r="AH258" s="101">
        <v>0</v>
      </c>
      <c r="AI258" s="101">
        <v>0</v>
      </c>
      <c r="AJ258" s="101"/>
      <c r="AK258" s="101"/>
      <c r="AL258" s="101"/>
      <c r="AM258" s="101">
        <v>0</v>
      </c>
      <c r="AN258" s="86">
        <v>0</v>
      </c>
      <c r="AO258" s="101">
        <v>0</v>
      </c>
      <c r="AP258" s="101">
        <v>0</v>
      </c>
      <c r="AQ258" s="101">
        <v>0</v>
      </c>
      <c r="AR258" s="101">
        <v>0</v>
      </c>
      <c r="AS258" s="101"/>
      <c r="AT258" s="101"/>
      <c r="AU258" s="101"/>
      <c r="AV258" s="101">
        <v>0</v>
      </c>
      <c r="AW258" s="86">
        <v>0</v>
      </c>
      <c r="AX258" s="101">
        <v>0</v>
      </c>
      <c r="AY258" s="101">
        <v>0</v>
      </c>
      <c r="AZ258" s="101">
        <v>0</v>
      </c>
      <c r="BA258" s="101">
        <v>0</v>
      </c>
      <c r="BB258" s="101"/>
      <c r="BC258" s="101"/>
      <c r="BD258" s="101"/>
      <c r="BE258" s="101">
        <v>0</v>
      </c>
      <c r="BF258" s="86">
        <v>0</v>
      </c>
      <c r="BG258" s="101">
        <v>0</v>
      </c>
      <c r="BH258" s="101">
        <v>0</v>
      </c>
      <c r="BI258" s="101">
        <v>0</v>
      </c>
      <c r="BJ258" s="101">
        <v>0</v>
      </c>
      <c r="BK258" s="101"/>
      <c r="BL258" s="101"/>
      <c r="BM258" s="101"/>
      <c r="BN258" s="101">
        <v>0</v>
      </c>
      <c r="BO258" s="86">
        <v>0</v>
      </c>
      <c r="BP258" s="101">
        <v>0</v>
      </c>
      <c r="BQ258" s="101">
        <v>0</v>
      </c>
      <c r="BR258" s="101">
        <v>0</v>
      </c>
      <c r="BS258" s="101"/>
      <c r="BT258" s="101"/>
      <c r="BU258" s="101"/>
      <c r="BV258" s="101">
        <v>0</v>
      </c>
      <c r="BW258" s="101">
        <v>0</v>
      </c>
      <c r="BX258" s="101">
        <v>0</v>
      </c>
    </row>
    <row r="259" spans="1:76" x14ac:dyDescent="0.35">
      <c r="A259" t="s">
        <v>233</v>
      </c>
      <c r="B259" s="13" t="s">
        <v>238</v>
      </c>
      <c r="C259" s="13" t="s">
        <v>56</v>
      </c>
      <c r="D259" s="13" t="s">
        <v>228</v>
      </c>
      <c r="W259" s="101">
        <v>0</v>
      </c>
      <c r="X259" s="101">
        <v>0</v>
      </c>
      <c r="Y259" s="100">
        <v>8.4821183458843076E-3</v>
      </c>
      <c r="Z259" s="100">
        <v>8.4821183458843076E-3</v>
      </c>
      <c r="AA259" s="101">
        <v>0</v>
      </c>
      <c r="AB259" s="101">
        <v>0</v>
      </c>
      <c r="AC259" s="101">
        <v>0</v>
      </c>
      <c r="AD259" s="101">
        <v>0</v>
      </c>
      <c r="AE259" s="86">
        <v>0</v>
      </c>
      <c r="AF259" s="101">
        <v>0</v>
      </c>
      <c r="AG259" s="101">
        <v>0</v>
      </c>
      <c r="AH259" s="101">
        <v>0</v>
      </c>
      <c r="AI259" s="101">
        <v>0</v>
      </c>
      <c r="AJ259" s="101"/>
      <c r="AK259" s="101"/>
      <c r="AL259" s="101"/>
      <c r="AM259" s="101">
        <v>0</v>
      </c>
      <c r="AN259" s="86">
        <v>0</v>
      </c>
      <c r="AO259" s="101">
        <v>0</v>
      </c>
      <c r="AP259" s="101">
        <v>0</v>
      </c>
      <c r="AQ259" s="101">
        <v>0</v>
      </c>
      <c r="AR259" s="101">
        <v>0</v>
      </c>
      <c r="AS259" s="101"/>
      <c r="AT259" s="101"/>
      <c r="AU259" s="101"/>
      <c r="AV259" s="101">
        <v>0</v>
      </c>
      <c r="AW259" s="86">
        <v>0</v>
      </c>
      <c r="AX259" s="101">
        <v>0</v>
      </c>
      <c r="AY259" s="101">
        <v>0</v>
      </c>
      <c r="AZ259" s="101">
        <v>0</v>
      </c>
      <c r="BA259" s="101">
        <v>0</v>
      </c>
      <c r="BB259" s="101"/>
      <c r="BC259" s="101"/>
      <c r="BD259" s="101"/>
      <c r="BE259" s="101">
        <v>0</v>
      </c>
      <c r="BF259" s="86">
        <v>0</v>
      </c>
      <c r="BG259" s="101">
        <v>0</v>
      </c>
      <c r="BH259" s="101">
        <v>0</v>
      </c>
      <c r="BI259" s="101">
        <v>0</v>
      </c>
      <c r="BJ259" s="101">
        <v>0</v>
      </c>
      <c r="BK259" s="101"/>
      <c r="BL259" s="101"/>
      <c r="BM259" s="101"/>
      <c r="BN259" s="101">
        <v>0</v>
      </c>
      <c r="BO259" s="86">
        <v>0</v>
      </c>
      <c r="BP259" s="101">
        <v>0</v>
      </c>
      <c r="BQ259" s="101">
        <v>0</v>
      </c>
      <c r="BR259" s="101">
        <v>0</v>
      </c>
      <c r="BS259" s="101"/>
      <c r="BT259" s="101"/>
      <c r="BU259" s="101"/>
      <c r="BV259" s="101">
        <v>0</v>
      </c>
      <c r="BW259" s="101">
        <v>0</v>
      </c>
      <c r="BX259" s="101">
        <v>0</v>
      </c>
    </row>
    <row r="260" spans="1:76" x14ac:dyDescent="0.35">
      <c r="A260" t="s">
        <v>101</v>
      </c>
      <c r="B260" s="13" t="s">
        <v>238</v>
      </c>
      <c r="C260" s="13" t="s">
        <v>103</v>
      </c>
      <c r="D260" s="13" t="s">
        <v>234</v>
      </c>
      <c r="W260" s="101">
        <v>0</v>
      </c>
      <c r="X260" s="101">
        <v>0</v>
      </c>
      <c r="Y260" s="101">
        <v>0</v>
      </c>
      <c r="Z260" s="101">
        <v>0</v>
      </c>
      <c r="AA260" s="101">
        <v>0</v>
      </c>
      <c r="AB260" s="101">
        <v>0</v>
      </c>
      <c r="AC260" s="101">
        <v>0</v>
      </c>
      <c r="AD260" s="101">
        <v>0</v>
      </c>
      <c r="AE260" s="86">
        <v>0</v>
      </c>
      <c r="AF260" s="101"/>
      <c r="AG260" s="101"/>
      <c r="AH260" s="101"/>
      <c r="AI260" s="101"/>
      <c r="AJ260" s="101"/>
      <c r="AK260" s="101"/>
      <c r="AL260" s="101"/>
      <c r="AM260" s="101"/>
      <c r="AN260" s="86"/>
      <c r="AO260" s="101"/>
      <c r="AP260" s="101"/>
      <c r="AQ260" s="101"/>
      <c r="AR260" s="101"/>
      <c r="AS260" s="101"/>
      <c r="AT260" s="101"/>
      <c r="AU260" s="101"/>
      <c r="AV260" s="101"/>
      <c r="AW260" s="86"/>
      <c r="AX260" s="101"/>
      <c r="AY260" s="101"/>
      <c r="AZ260" s="101"/>
      <c r="BA260" s="101"/>
      <c r="BB260" s="101"/>
      <c r="BC260" s="101"/>
      <c r="BD260" s="101"/>
      <c r="BE260" s="101"/>
      <c r="BF260" s="86"/>
      <c r="BG260" s="101"/>
      <c r="BH260" s="101"/>
      <c r="BI260" s="101"/>
      <c r="BJ260" s="101"/>
      <c r="BK260" s="101"/>
      <c r="BL260" s="101"/>
      <c r="BM260" s="101"/>
      <c r="BN260" s="101"/>
      <c r="BO260" s="86"/>
      <c r="BP260" s="101"/>
      <c r="BQ260" s="101"/>
      <c r="BR260" s="101"/>
      <c r="BS260" s="101"/>
      <c r="BT260" s="101"/>
      <c r="BU260" s="101"/>
      <c r="BV260" s="101"/>
      <c r="BW260" s="101"/>
      <c r="BX260" s="101"/>
    </row>
    <row r="261" spans="1:76" x14ac:dyDescent="0.35">
      <c r="A261" t="s">
        <v>104</v>
      </c>
      <c r="B261" s="13" t="s">
        <v>238</v>
      </c>
      <c r="C261" s="13" t="s">
        <v>103</v>
      </c>
      <c r="D261" s="13" t="s">
        <v>235</v>
      </c>
      <c r="W261" s="101">
        <v>0</v>
      </c>
      <c r="X261" s="101">
        <v>0</v>
      </c>
      <c r="Y261" s="101">
        <v>0</v>
      </c>
      <c r="Z261" s="101">
        <v>0</v>
      </c>
      <c r="AA261" s="101">
        <v>0</v>
      </c>
      <c r="AB261" s="101">
        <v>0</v>
      </c>
      <c r="AC261" s="101">
        <v>0</v>
      </c>
      <c r="AD261" s="101">
        <v>0</v>
      </c>
      <c r="AE261" s="86">
        <v>0</v>
      </c>
      <c r="AF261" s="101"/>
      <c r="AG261" s="101"/>
      <c r="AH261" s="101"/>
      <c r="AI261" s="101"/>
      <c r="AJ261" s="101"/>
      <c r="AK261" s="101"/>
      <c r="AL261" s="101"/>
      <c r="AM261" s="101"/>
      <c r="AN261" s="86"/>
      <c r="AO261" s="101"/>
      <c r="AP261" s="101"/>
      <c r="AQ261" s="101"/>
      <c r="AR261" s="101"/>
      <c r="AS261" s="101"/>
      <c r="AT261" s="101"/>
      <c r="AU261" s="101"/>
      <c r="AV261" s="101"/>
      <c r="AW261" s="86"/>
      <c r="AX261" s="101"/>
      <c r="AY261" s="101"/>
      <c r="AZ261" s="101"/>
      <c r="BA261" s="101"/>
      <c r="BB261" s="101"/>
      <c r="BC261" s="101"/>
      <c r="BD261" s="101"/>
      <c r="BE261" s="101"/>
      <c r="BF261" s="86"/>
      <c r="BG261" s="101"/>
      <c r="BH261" s="101"/>
      <c r="BI261" s="101"/>
      <c r="BJ261" s="101"/>
      <c r="BK261" s="101"/>
      <c r="BL261" s="101"/>
      <c r="BM261" s="101"/>
      <c r="BN261" s="101"/>
      <c r="BO261" s="86"/>
      <c r="BP261" s="101"/>
      <c r="BQ261" s="101"/>
      <c r="BR261" s="101"/>
      <c r="BS261" s="101"/>
      <c r="BT261" s="101"/>
      <c r="BU261" s="101"/>
      <c r="BV261" s="101"/>
      <c r="BW261" s="101"/>
      <c r="BX261" s="101"/>
    </row>
    <row r="262" spans="1:76" ht="15" thickBot="1" x14ac:dyDescent="0.4">
      <c r="A262" t="s">
        <v>106</v>
      </c>
      <c r="B262" s="13" t="s">
        <v>238</v>
      </c>
      <c r="C262" s="13" t="s">
        <v>103</v>
      </c>
      <c r="D262" s="13" t="s">
        <v>236</v>
      </c>
      <c r="W262" s="87">
        <v>0</v>
      </c>
      <c r="X262" s="87">
        <v>0</v>
      </c>
      <c r="Y262" s="87">
        <v>0</v>
      </c>
      <c r="Z262" s="87">
        <v>0</v>
      </c>
      <c r="AA262" s="87">
        <v>0</v>
      </c>
      <c r="AB262" s="87">
        <v>0</v>
      </c>
      <c r="AC262" s="87">
        <v>0</v>
      </c>
      <c r="AD262" s="87">
        <v>0</v>
      </c>
      <c r="AE262" s="89">
        <v>0</v>
      </c>
      <c r="AF262" s="114">
        <v>0</v>
      </c>
      <c r="AG262" s="87">
        <v>0</v>
      </c>
      <c r="AH262" s="87">
        <v>0</v>
      </c>
      <c r="AI262" s="87">
        <v>0</v>
      </c>
      <c r="AJ262" s="87"/>
      <c r="AK262" s="87"/>
      <c r="AL262" s="87"/>
      <c r="AM262" s="87">
        <v>0</v>
      </c>
      <c r="AN262" s="89">
        <v>0</v>
      </c>
      <c r="AO262" s="114">
        <v>0</v>
      </c>
      <c r="AP262" s="87">
        <v>0</v>
      </c>
      <c r="AQ262" s="87">
        <v>0</v>
      </c>
      <c r="AR262" s="87">
        <v>0</v>
      </c>
      <c r="AS262" s="87"/>
      <c r="AT262" s="87"/>
      <c r="AU262" s="87"/>
      <c r="AV262" s="87">
        <v>0</v>
      </c>
      <c r="AW262" s="89">
        <v>0</v>
      </c>
      <c r="AX262" s="114">
        <v>0</v>
      </c>
      <c r="AY262" s="87">
        <v>0</v>
      </c>
      <c r="AZ262" s="87">
        <v>0</v>
      </c>
      <c r="BA262" s="87">
        <v>0</v>
      </c>
      <c r="BB262" s="87"/>
      <c r="BC262" s="87"/>
      <c r="BD262" s="87"/>
      <c r="BE262" s="87">
        <v>0</v>
      </c>
      <c r="BF262" s="89">
        <v>0</v>
      </c>
      <c r="BG262" s="114">
        <v>0</v>
      </c>
      <c r="BH262" s="87">
        <v>0</v>
      </c>
      <c r="BI262" s="87">
        <v>0</v>
      </c>
      <c r="BJ262" s="87">
        <v>0</v>
      </c>
      <c r="BK262" s="87"/>
      <c r="BL262" s="87"/>
      <c r="BM262" s="87"/>
      <c r="BN262" s="87">
        <v>0</v>
      </c>
      <c r="BO262" s="89">
        <v>0</v>
      </c>
      <c r="BP262" s="114">
        <v>0</v>
      </c>
      <c r="BQ262" s="87">
        <v>0</v>
      </c>
      <c r="BR262" s="87">
        <v>0</v>
      </c>
      <c r="BS262" s="87"/>
      <c r="BT262" s="87"/>
      <c r="BU262" s="87"/>
      <c r="BV262" s="87">
        <v>0</v>
      </c>
      <c r="BW262" s="87">
        <v>0</v>
      </c>
      <c r="BX262" s="87">
        <v>0</v>
      </c>
    </row>
    <row r="263" spans="1:76" x14ac:dyDescent="0.35">
      <c r="A263" t="s">
        <v>218</v>
      </c>
      <c r="B263" s="13" t="s">
        <v>239</v>
      </c>
      <c r="C263" s="13" t="s">
        <v>56</v>
      </c>
      <c r="D263" s="13" t="s">
        <v>219</v>
      </c>
      <c r="W263" s="101">
        <v>0</v>
      </c>
      <c r="X263" s="101">
        <v>0</v>
      </c>
      <c r="Y263" s="100">
        <v>0.15097500908393557</v>
      </c>
      <c r="Z263" s="100">
        <v>0.15097500908393557</v>
      </c>
      <c r="AA263" s="101">
        <v>0</v>
      </c>
      <c r="AB263" s="101">
        <v>0</v>
      </c>
      <c r="AC263" s="101">
        <v>0</v>
      </c>
      <c r="AD263" s="101">
        <v>0</v>
      </c>
      <c r="AE263" s="86">
        <v>0</v>
      </c>
      <c r="AF263" s="101">
        <v>0</v>
      </c>
      <c r="AG263" s="101">
        <v>0</v>
      </c>
      <c r="AH263" s="101">
        <v>0</v>
      </c>
      <c r="AI263" s="101">
        <v>0</v>
      </c>
      <c r="AJ263" s="101"/>
      <c r="AK263" s="101"/>
      <c r="AL263" s="101"/>
      <c r="AM263" s="101">
        <v>0</v>
      </c>
      <c r="AN263" s="86">
        <v>0</v>
      </c>
      <c r="AO263" s="101">
        <v>0</v>
      </c>
      <c r="AP263" s="101">
        <v>0</v>
      </c>
      <c r="AQ263" s="101">
        <v>0</v>
      </c>
      <c r="AR263" s="101">
        <v>0</v>
      </c>
      <c r="AS263" s="101"/>
      <c r="AT263" s="101"/>
      <c r="AU263" s="101"/>
      <c r="AV263" s="101">
        <v>0</v>
      </c>
      <c r="AW263" s="86">
        <v>0</v>
      </c>
      <c r="AX263" s="101">
        <v>0</v>
      </c>
      <c r="AY263" s="101">
        <v>0</v>
      </c>
      <c r="AZ263" s="101">
        <v>0</v>
      </c>
      <c r="BA263" s="101">
        <v>0</v>
      </c>
      <c r="BB263" s="101"/>
      <c r="BC263" s="101"/>
      <c r="BD263" s="101"/>
      <c r="BE263" s="101">
        <v>0</v>
      </c>
      <c r="BF263" s="86">
        <v>0</v>
      </c>
      <c r="BG263" s="101">
        <v>0</v>
      </c>
      <c r="BH263" s="101">
        <v>0</v>
      </c>
      <c r="BI263" s="101">
        <v>0</v>
      </c>
      <c r="BJ263" s="101">
        <v>0</v>
      </c>
      <c r="BK263" s="101"/>
      <c r="BL263" s="101"/>
      <c r="BM263" s="101"/>
      <c r="BN263" s="101">
        <v>0</v>
      </c>
      <c r="BO263" s="86">
        <v>0</v>
      </c>
      <c r="BP263" s="101">
        <v>0</v>
      </c>
      <c r="BQ263" s="101">
        <v>0</v>
      </c>
      <c r="BR263" s="101">
        <v>0</v>
      </c>
      <c r="BS263" s="101"/>
      <c r="BT263" s="101"/>
      <c r="BU263" s="101"/>
      <c r="BV263" s="101">
        <v>0</v>
      </c>
      <c r="BW263" s="101">
        <v>0</v>
      </c>
      <c r="BX263" s="101">
        <v>0</v>
      </c>
    </row>
    <row r="264" spans="1:76" x14ac:dyDescent="0.35">
      <c r="A264" s="12" t="s">
        <v>220</v>
      </c>
      <c r="B264" s="13" t="s">
        <v>239</v>
      </c>
      <c r="C264" s="13" t="s">
        <v>56</v>
      </c>
      <c r="D264" s="13" t="s">
        <v>221</v>
      </c>
      <c r="W264" s="101">
        <v>0</v>
      </c>
      <c r="X264" s="101">
        <v>0</v>
      </c>
      <c r="Y264" s="101">
        <v>0</v>
      </c>
      <c r="Z264" s="101">
        <v>0</v>
      </c>
      <c r="AA264" s="101">
        <v>0</v>
      </c>
      <c r="AB264" s="101">
        <v>0</v>
      </c>
      <c r="AC264" s="101">
        <v>0</v>
      </c>
      <c r="AD264" s="101">
        <v>0</v>
      </c>
      <c r="AE264" s="86">
        <v>0</v>
      </c>
      <c r="AF264" s="101">
        <v>0</v>
      </c>
      <c r="AG264" s="101">
        <v>0</v>
      </c>
      <c r="AH264" s="101">
        <v>0</v>
      </c>
      <c r="AI264" s="101">
        <v>0</v>
      </c>
      <c r="AJ264" s="101"/>
      <c r="AK264" s="101"/>
      <c r="AL264" s="101"/>
      <c r="AM264" s="101">
        <v>0</v>
      </c>
      <c r="AN264" s="86">
        <v>0</v>
      </c>
      <c r="AO264" s="101">
        <v>0</v>
      </c>
      <c r="AP264" s="101">
        <v>0</v>
      </c>
      <c r="AQ264" s="101">
        <v>0</v>
      </c>
      <c r="AR264" s="101">
        <v>0</v>
      </c>
      <c r="AS264" s="101"/>
      <c r="AT264" s="101"/>
      <c r="AU264" s="101"/>
      <c r="AV264" s="101">
        <v>0</v>
      </c>
      <c r="AW264" s="86">
        <v>0</v>
      </c>
      <c r="AX264" s="101">
        <v>0</v>
      </c>
      <c r="AY264" s="101">
        <v>0</v>
      </c>
      <c r="AZ264" s="101">
        <v>0</v>
      </c>
      <c r="BA264" s="101">
        <v>0</v>
      </c>
      <c r="BB264" s="101"/>
      <c r="BC264" s="101"/>
      <c r="BD264" s="101"/>
      <c r="BE264" s="101">
        <v>0</v>
      </c>
      <c r="BF264" s="86">
        <v>0</v>
      </c>
      <c r="BG264" s="101">
        <v>0</v>
      </c>
      <c r="BH264" s="101">
        <v>0</v>
      </c>
      <c r="BI264" s="101">
        <v>0</v>
      </c>
      <c r="BJ264" s="101">
        <v>0</v>
      </c>
      <c r="BK264" s="101"/>
      <c r="BL264" s="101"/>
      <c r="BM264" s="101"/>
      <c r="BN264" s="101">
        <v>0</v>
      </c>
      <c r="BO264" s="86">
        <v>0</v>
      </c>
      <c r="BP264" s="101">
        <v>0</v>
      </c>
      <c r="BQ264" s="101">
        <v>0</v>
      </c>
      <c r="BR264" s="101">
        <v>0</v>
      </c>
      <c r="BS264" s="101"/>
      <c r="BT264" s="101"/>
      <c r="BU264" s="101"/>
      <c r="BV264" s="101">
        <v>0</v>
      </c>
      <c r="BW264" s="101">
        <v>0</v>
      </c>
      <c r="BX264" s="101">
        <v>0</v>
      </c>
    </row>
    <row r="265" spans="1:76" x14ac:dyDescent="0.35">
      <c r="A265" t="s">
        <v>222</v>
      </c>
      <c r="B265" s="13" t="s">
        <v>239</v>
      </c>
      <c r="C265" s="13" t="s">
        <v>56</v>
      </c>
      <c r="D265" s="13" t="s">
        <v>223</v>
      </c>
      <c r="W265" s="101">
        <v>0</v>
      </c>
      <c r="X265" s="101">
        <v>0</v>
      </c>
      <c r="Y265" s="100">
        <v>6.7728942399646885E-5</v>
      </c>
      <c r="Z265" s="100">
        <v>6.7728942399646885E-5</v>
      </c>
      <c r="AA265" s="101">
        <v>0</v>
      </c>
      <c r="AB265" s="101">
        <v>0</v>
      </c>
      <c r="AC265" s="101">
        <v>0</v>
      </c>
      <c r="AD265" s="101">
        <v>0</v>
      </c>
      <c r="AE265" s="86">
        <v>0</v>
      </c>
      <c r="AF265" s="101">
        <v>0</v>
      </c>
      <c r="AG265" s="101">
        <v>0</v>
      </c>
      <c r="AH265" s="101">
        <v>0</v>
      </c>
      <c r="AI265" s="101">
        <v>0</v>
      </c>
      <c r="AJ265" s="101"/>
      <c r="AK265" s="101"/>
      <c r="AL265" s="101"/>
      <c r="AM265" s="101">
        <v>0</v>
      </c>
      <c r="AN265" s="86">
        <v>0</v>
      </c>
      <c r="AO265" s="101">
        <v>0</v>
      </c>
      <c r="AP265" s="101">
        <v>0</v>
      </c>
      <c r="AQ265" s="101">
        <v>0</v>
      </c>
      <c r="AR265" s="101">
        <v>0</v>
      </c>
      <c r="AS265" s="101"/>
      <c r="AT265" s="101"/>
      <c r="AU265" s="101"/>
      <c r="AV265" s="101">
        <v>0</v>
      </c>
      <c r="AW265" s="86">
        <v>0</v>
      </c>
      <c r="AX265" s="101">
        <v>0</v>
      </c>
      <c r="AY265" s="101">
        <v>0</v>
      </c>
      <c r="AZ265" s="101">
        <v>0</v>
      </c>
      <c r="BA265" s="101">
        <v>0</v>
      </c>
      <c r="BB265" s="101"/>
      <c r="BC265" s="101"/>
      <c r="BD265" s="101"/>
      <c r="BE265" s="101">
        <v>0</v>
      </c>
      <c r="BF265" s="86">
        <v>0</v>
      </c>
      <c r="BG265" s="101">
        <v>0</v>
      </c>
      <c r="BH265" s="101">
        <v>0</v>
      </c>
      <c r="BI265" s="101">
        <v>0</v>
      </c>
      <c r="BJ265" s="101">
        <v>0</v>
      </c>
      <c r="BK265" s="101"/>
      <c r="BL265" s="101"/>
      <c r="BM265" s="101"/>
      <c r="BN265" s="101">
        <v>0</v>
      </c>
      <c r="BO265" s="86">
        <v>0</v>
      </c>
      <c r="BP265" s="101">
        <v>0</v>
      </c>
      <c r="BQ265" s="101">
        <v>0</v>
      </c>
      <c r="BR265" s="101">
        <v>0</v>
      </c>
      <c r="BS265" s="101"/>
      <c r="BT265" s="101"/>
      <c r="BU265" s="101"/>
      <c r="BV265" s="101">
        <v>0</v>
      </c>
      <c r="BW265" s="101">
        <v>0</v>
      </c>
      <c r="BX265" s="101">
        <v>0</v>
      </c>
    </row>
    <row r="266" spans="1:76" x14ac:dyDescent="0.35">
      <c r="A266" t="s">
        <v>224</v>
      </c>
      <c r="B266" s="13" t="s">
        <v>239</v>
      </c>
      <c r="C266" s="13" t="s">
        <v>56</v>
      </c>
      <c r="D266" s="13" t="s">
        <v>225</v>
      </c>
      <c r="W266" s="101">
        <v>0</v>
      </c>
      <c r="X266" s="101">
        <v>0</v>
      </c>
      <c r="Y266" s="100">
        <v>5.6233849622410815E-3</v>
      </c>
      <c r="Z266" s="100">
        <v>5.6233849622410815E-3</v>
      </c>
      <c r="AA266" s="101">
        <v>0</v>
      </c>
      <c r="AB266" s="101">
        <v>0</v>
      </c>
      <c r="AC266" s="101">
        <v>0</v>
      </c>
      <c r="AD266" s="101">
        <v>0</v>
      </c>
      <c r="AE266" s="86">
        <v>0</v>
      </c>
      <c r="AF266" s="101">
        <v>0</v>
      </c>
      <c r="AG266" s="101">
        <v>0</v>
      </c>
      <c r="AH266" s="101">
        <v>0</v>
      </c>
      <c r="AI266" s="101">
        <v>0</v>
      </c>
      <c r="AJ266" s="101"/>
      <c r="AK266" s="101"/>
      <c r="AL266" s="101"/>
      <c r="AM266" s="101">
        <v>0</v>
      </c>
      <c r="AN266" s="86">
        <v>0</v>
      </c>
      <c r="AO266" s="101">
        <v>0</v>
      </c>
      <c r="AP266" s="101">
        <v>0</v>
      </c>
      <c r="AQ266" s="101">
        <v>0</v>
      </c>
      <c r="AR266" s="101">
        <v>0</v>
      </c>
      <c r="AS266" s="101"/>
      <c r="AT266" s="101"/>
      <c r="AU266" s="101"/>
      <c r="AV266" s="101">
        <v>0</v>
      </c>
      <c r="AW266" s="86">
        <v>0</v>
      </c>
      <c r="AX266" s="101">
        <v>0</v>
      </c>
      <c r="AY266" s="101">
        <v>0</v>
      </c>
      <c r="AZ266" s="101">
        <v>0</v>
      </c>
      <c r="BA266" s="101">
        <v>0</v>
      </c>
      <c r="BB266" s="101"/>
      <c r="BC266" s="101"/>
      <c r="BD266" s="101"/>
      <c r="BE266" s="101">
        <v>0</v>
      </c>
      <c r="BF266" s="86">
        <v>0</v>
      </c>
      <c r="BG266" s="101">
        <v>0</v>
      </c>
      <c r="BH266" s="101">
        <v>0</v>
      </c>
      <c r="BI266" s="101">
        <v>0</v>
      </c>
      <c r="BJ266" s="101">
        <v>0</v>
      </c>
      <c r="BK266" s="101"/>
      <c r="BL266" s="101"/>
      <c r="BM266" s="101"/>
      <c r="BN266" s="101">
        <v>0</v>
      </c>
      <c r="BO266" s="86">
        <v>0</v>
      </c>
      <c r="BP266" s="101">
        <v>0</v>
      </c>
      <c r="BQ266" s="101">
        <v>0</v>
      </c>
      <c r="BR266" s="101">
        <v>0</v>
      </c>
      <c r="BS266" s="101"/>
      <c r="BT266" s="101"/>
      <c r="BU266" s="101"/>
      <c r="BV266" s="101">
        <v>0</v>
      </c>
      <c r="BW266" s="101">
        <v>0</v>
      </c>
      <c r="BX266" s="101">
        <v>0</v>
      </c>
    </row>
    <row r="267" spans="1:76" x14ac:dyDescent="0.35">
      <c r="A267" t="s">
        <v>226</v>
      </c>
      <c r="B267" s="13" t="s">
        <v>239</v>
      </c>
      <c r="C267" s="13" t="s">
        <v>56</v>
      </c>
      <c r="D267" s="13" t="s">
        <v>227</v>
      </c>
      <c r="W267" s="101">
        <v>0</v>
      </c>
      <c r="X267" s="100">
        <v>2.0807907452574416E-3</v>
      </c>
      <c r="Y267" s="100">
        <v>1.8068055269127655E-3</v>
      </c>
      <c r="Z267" s="100">
        <v>1.8068055269127655E-3</v>
      </c>
      <c r="AA267" s="100">
        <v>4.3195382907628159E-4</v>
      </c>
      <c r="AB267" s="100">
        <v>4.3195382907628159E-4</v>
      </c>
      <c r="AC267" s="101">
        <v>0</v>
      </c>
      <c r="AD267" s="101">
        <v>0</v>
      </c>
      <c r="AE267" s="86">
        <v>0</v>
      </c>
      <c r="AF267" s="101">
        <v>0</v>
      </c>
      <c r="AG267" s="101">
        <v>0</v>
      </c>
      <c r="AH267" s="101">
        <v>0</v>
      </c>
      <c r="AI267" s="101">
        <v>0</v>
      </c>
      <c r="AJ267" s="101"/>
      <c r="AK267" s="101"/>
      <c r="AL267" s="101"/>
      <c r="AM267" s="101">
        <v>0</v>
      </c>
      <c r="AN267" s="86">
        <v>0</v>
      </c>
      <c r="AO267" s="101">
        <v>0</v>
      </c>
      <c r="AP267" s="101">
        <v>0</v>
      </c>
      <c r="AQ267" s="101">
        <v>0</v>
      </c>
      <c r="AR267" s="101">
        <v>0</v>
      </c>
      <c r="AS267" s="101"/>
      <c r="AT267" s="101"/>
      <c r="AU267" s="101"/>
      <c r="AV267" s="101">
        <v>0</v>
      </c>
      <c r="AW267" s="86">
        <v>0</v>
      </c>
      <c r="AX267" s="101">
        <v>0</v>
      </c>
      <c r="AY267" s="101">
        <v>0</v>
      </c>
      <c r="AZ267" s="101">
        <v>0</v>
      </c>
      <c r="BA267" s="101">
        <v>0</v>
      </c>
      <c r="BB267" s="101"/>
      <c r="BC267" s="101"/>
      <c r="BD267" s="101"/>
      <c r="BE267" s="101">
        <v>0</v>
      </c>
      <c r="BF267" s="86">
        <v>0</v>
      </c>
      <c r="BG267" s="101">
        <v>0</v>
      </c>
      <c r="BH267" s="101">
        <v>0</v>
      </c>
      <c r="BI267" s="101">
        <v>0</v>
      </c>
      <c r="BJ267" s="101">
        <v>0</v>
      </c>
      <c r="BK267" s="101"/>
      <c r="BL267" s="101"/>
      <c r="BM267" s="101"/>
      <c r="BN267" s="101">
        <v>0</v>
      </c>
      <c r="BO267" s="86">
        <v>0</v>
      </c>
      <c r="BP267" s="101">
        <v>0</v>
      </c>
      <c r="BQ267" s="101">
        <v>0</v>
      </c>
      <c r="BR267" s="101">
        <v>0</v>
      </c>
      <c r="BS267" s="101"/>
      <c r="BT267" s="101"/>
      <c r="BU267" s="101"/>
      <c r="BV267" s="101">
        <v>0</v>
      </c>
      <c r="BW267" s="101">
        <v>0</v>
      </c>
      <c r="BX267" s="101">
        <v>0</v>
      </c>
    </row>
    <row r="268" spans="1:76" x14ac:dyDescent="0.35">
      <c r="A268" t="s">
        <v>83</v>
      </c>
      <c r="B268" s="13" t="s">
        <v>239</v>
      </c>
      <c r="C268" s="13" t="s">
        <v>56</v>
      </c>
      <c r="D268" s="13" t="s">
        <v>228</v>
      </c>
      <c r="W268" s="101">
        <v>0</v>
      </c>
      <c r="X268" s="101">
        <v>0</v>
      </c>
      <c r="Y268" s="101">
        <v>0</v>
      </c>
      <c r="Z268" s="101">
        <v>0</v>
      </c>
      <c r="AA268" s="100">
        <v>1.1339568587203704E-2</v>
      </c>
      <c r="AB268" s="100">
        <v>1.1339568587203704E-2</v>
      </c>
      <c r="AC268" s="101">
        <v>0</v>
      </c>
      <c r="AD268" s="101">
        <v>0</v>
      </c>
      <c r="AE268" s="86">
        <v>0</v>
      </c>
      <c r="AF268" s="101"/>
      <c r="AG268" s="101"/>
      <c r="AH268" s="101"/>
      <c r="AI268" s="101"/>
      <c r="AJ268" s="101"/>
      <c r="AK268" s="101"/>
      <c r="AL268" s="101"/>
      <c r="AM268" s="101"/>
      <c r="AN268" s="86"/>
      <c r="AO268" s="101"/>
      <c r="AP268" s="101"/>
      <c r="AQ268" s="101"/>
      <c r="AR268" s="101"/>
      <c r="AS268" s="101"/>
      <c r="AT268" s="101"/>
      <c r="AU268" s="101"/>
      <c r="AV268" s="101"/>
      <c r="AW268" s="86"/>
      <c r="AX268" s="101"/>
      <c r="AY268" s="101"/>
      <c r="AZ268" s="101"/>
      <c r="BA268" s="101"/>
      <c r="BB268" s="101"/>
      <c r="BC268" s="101"/>
      <c r="BD268" s="101"/>
      <c r="BE268" s="101"/>
      <c r="BF268" s="86"/>
      <c r="BG268" s="101"/>
      <c r="BH268" s="101"/>
      <c r="BI268" s="101"/>
      <c r="BJ268" s="101"/>
      <c r="BK268" s="101"/>
      <c r="BL268" s="101"/>
      <c r="BM268" s="101"/>
      <c r="BN268" s="101"/>
      <c r="BO268" s="86"/>
      <c r="BP268" s="101"/>
      <c r="BQ268" s="101"/>
      <c r="BR268" s="101"/>
      <c r="BS268" s="101"/>
      <c r="BT268" s="101"/>
      <c r="BU268" s="101"/>
      <c r="BV268" s="101"/>
      <c r="BW268" s="101"/>
      <c r="BX268" s="101"/>
    </row>
    <row r="269" spans="1:76" x14ac:dyDescent="0.35">
      <c r="A269" t="s">
        <v>229</v>
      </c>
      <c r="B269" s="13" t="s">
        <v>239</v>
      </c>
      <c r="C269" s="13" t="s">
        <v>56</v>
      </c>
      <c r="D269" s="13" t="s">
        <v>230</v>
      </c>
      <c r="W269" s="101">
        <v>0</v>
      </c>
      <c r="X269" s="101">
        <v>0</v>
      </c>
      <c r="Y269" s="100">
        <v>5.6492118062760293E-6</v>
      </c>
      <c r="Z269" s="100">
        <v>5.6492118062760293E-6</v>
      </c>
      <c r="AA269" s="101">
        <v>0</v>
      </c>
      <c r="AB269" s="101">
        <v>0</v>
      </c>
      <c r="AC269" s="101">
        <v>0</v>
      </c>
      <c r="AD269" s="101">
        <v>0</v>
      </c>
      <c r="AE269" s="86">
        <v>0</v>
      </c>
      <c r="AF269" s="101">
        <v>0</v>
      </c>
      <c r="AG269" s="101">
        <v>0</v>
      </c>
      <c r="AH269" s="101">
        <v>0</v>
      </c>
      <c r="AI269" s="101">
        <v>0</v>
      </c>
      <c r="AJ269" s="101"/>
      <c r="AK269" s="101"/>
      <c r="AL269" s="101"/>
      <c r="AM269" s="101">
        <v>0</v>
      </c>
      <c r="AN269" s="86">
        <v>0</v>
      </c>
      <c r="AO269" s="101">
        <v>0</v>
      </c>
      <c r="AP269" s="101">
        <v>0</v>
      </c>
      <c r="AQ269" s="101">
        <v>0</v>
      </c>
      <c r="AR269" s="101">
        <v>0</v>
      </c>
      <c r="AS269" s="101"/>
      <c r="AT269" s="101"/>
      <c r="AU269" s="101"/>
      <c r="AV269" s="101">
        <v>0</v>
      </c>
      <c r="AW269" s="86">
        <v>0</v>
      </c>
      <c r="AX269" s="101">
        <v>0</v>
      </c>
      <c r="AY269" s="101">
        <v>0</v>
      </c>
      <c r="AZ269" s="101">
        <v>0</v>
      </c>
      <c r="BA269" s="101">
        <v>0</v>
      </c>
      <c r="BB269" s="101"/>
      <c r="BC269" s="101"/>
      <c r="BD269" s="101"/>
      <c r="BE269" s="101">
        <v>0</v>
      </c>
      <c r="BF269" s="86">
        <v>0</v>
      </c>
      <c r="BG269" s="101">
        <v>0</v>
      </c>
      <c r="BH269" s="101">
        <v>0</v>
      </c>
      <c r="BI269" s="101">
        <v>0</v>
      </c>
      <c r="BJ269" s="101">
        <v>0</v>
      </c>
      <c r="BK269" s="101"/>
      <c r="BL269" s="101"/>
      <c r="BM269" s="101"/>
      <c r="BN269" s="101">
        <v>0</v>
      </c>
      <c r="BO269" s="86">
        <v>0</v>
      </c>
      <c r="BP269" s="101">
        <v>0</v>
      </c>
      <c r="BQ269" s="101">
        <v>0</v>
      </c>
      <c r="BR269" s="101">
        <v>0</v>
      </c>
      <c r="BS269" s="101"/>
      <c r="BT269" s="101"/>
      <c r="BU269" s="101"/>
      <c r="BV269" s="101">
        <v>0</v>
      </c>
      <c r="BW269" s="101">
        <v>0</v>
      </c>
      <c r="BX269" s="101">
        <v>0</v>
      </c>
    </row>
    <row r="270" spans="1:76" x14ac:dyDescent="0.35">
      <c r="A270" t="s">
        <v>231</v>
      </c>
      <c r="B270" s="13" t="s">
        <v>239</v>
      </c>
      <c r="C270" s="13" t="s">
        <v>56</v>
      </c>
      <c r="D270" s="13" t="s">
        <v>232</v>
      </c>
      <c r="W270" s="101">
        <v>0</v>
      </c>
      <c r="X270" s="101">
        <v>0</v>
      </c>
      <c r="Y270" s="100">
        <v>2.9477224392897769E-5</v>
      </c>
      <c r="Z270" s="100">
        <v>2.9477224392897769E-5</v>
      </c>
      <c r="AA270" s="101">
        <v>0</v>
      </c>
      <c r="AB270" s="101">
        <v>0</v>
      </c>
      <c r="AC270" s="101">
        <v>0</v>
      </c>
      <c r="AD270" s="101">
        <v>0</v>
      </c>
      <c r="AE270" s="86">
        <v>0</v>
      </c>
      <c r="AF270" s="101">
        <v>0</v>
      </c>
      <c r="AG270" s="101">
        <v>0</v>
      </c>
      <c r="AH270" s="101">
        <v>0</v>
      </c>
      <c r="AI270" s="101">
        <v>0</v>
      </c>
      <c r="AJ270" s="101"/>
      <c r="AK270" s="101"/>
      <c r="AL270" s="101"/>
      <c r="AM270" s="101">
        <v>0</v>
      </c>
      <c r="AN270" s="86">
        <v>0</v>
      </c>
      <c r="AO270" s="101">
        <v>0</v>
      </c>
      <c r="AP270" s="101">
        <v>0</v>
      </c>
      <c r="AQ270" s="101">
        <v>0</v>
      </c>
      <c r="AR270" s="101">
        <v>0</v>
      </c>
      <c r="AS270" s="101"/>
      <c r="AT270" s="101"/>
      <c r="AU270" s="101"/>
      <c r="AV270" s="101">
        <v>0</v>
      </c>
      <c r="AW270" s="86">
        <v>0</v>
      </c>
      <c r="AX270" s="101">
        <v>0</v>
      </c>
      <c r="AY270" s="101">
        <v>0</v>
      </c>
      <c r="AZ270" s="101">
        <v>0</v>
      </c>
      <c r="BA270" s="101">
        <v>0</v>
      </c>
      <c r="BB270" s="101"/>
      <c r="BC270" s="101"/>
      <c r="BD270" s="101"/>
      <c r="BE270" s="101">
        <v>0</v>
      </c>
      <c r="BF270" s="86">
        <v>0</v>
      </c>
      <c r="BG270" s="101">
        <v>0</v>
      </c>
      <c r="BH270" s="101">
        <v>0</v>
      </c>
      <c r="BI270" s="101">
        <v>0</v>
      </c>
      <c r="BJ270" s="101">
        <v>0</v>
      </c>
      <c r="BK270" s="101"/>
      <c r="BL270" s="101"/>
      <c r="BM270" s="101"/>
      <c r="BN270" s="101">
        <v>0</v>
      </c>
      <c r="BO270" s="86">
        <v>0</v>
      </c>
      <c r="BP270" s="101">
        <v>0</v>
      </c>
      <c r="BQ270" s="101">
        <v>0</v>
      </c>
      <c r="BR270" s="101">
        <v>0</v>
      </c>
      <c r="BS270" s="101"/>
      <c r="BT270" s="101"/>
      <c r="BU270" s="101"/>
      <c r="BV270" s="101">
        <v>0</v>
      </c>
      <c r="BW270" s="101">
        <v>0</v>
      </c>
      <c r="BX270" s="101">
        <v>0</v>
      </c>
    </row>
    <row r="271" spans="1:76" x14ac:dyDescent="0.35">
      <c r="A271" t="s">
        <v>233</v>
      </c>
      <c r="B271" s="13" t="s">
        <v>239</v>
      </c>
      <c r="C271" s="13" t="s">
        <v>56</v>
      </c>
      <c r="D271" s="13" t="s">
        <v>228</v>
      </c>
      <c r="W271" s="101">
        <v>0</v>
      </c>
      <c r="X271" s="101">
        <v>0</v>
      </c>
      <c r="Y271" s="100">
        <v>8.1093795177776388E-4</v>
      </c>
      <c r="Z271" s="100">
        <v>8.1093795177776388E-4</v>
      </c>
      <c r="AA271" s="101">
        <v>0</v>
      </c>
      <c r="AB271" s="101">
        <v>0</v>
      </c>
      <c r="AC271" s="101">
        <v>0</v>
      </c>
      <c r="AD271" s="101">
        <v>0</v>
      </c>
      <c r="AE271" s="86">
        <v>0</v>
      </c>
      <c r="AF271" s="101">
        <v>0</v>
      </c>
      <c r="AG271" s="101">
        <v>0</v>
      </c>
      <c r="AH271" s="101">
        <v>0</v>
      </c>
      <c r="AI271" s="101">
        <v>0</v>
      </c>
      <c r="AJ271" s="101"/>
      <c r="AK271" s="101"/>
      <c r="AL271" s="101"/>
      <c r="AM271" s="101">
        <v>0</v>
      </c>
      <c r="AN271" s="86">
        <v>0</v>
      </c>
      <c r="AO271" s="101">
        <v>0</v>
      </c>
      <c r="AP271" s="101">
        <v>0</v>
      </c>
      <c r="AQ271" s="101">
        <v>0</v>
      </c>
      <c r="AR271" s="101">
        <v>0</v>
      </c>
      <c r="AS271" s="101"/>
      <c r="AT271" s="101"/>
      <c r="AU271" s="101"/>
      <c r="AV271" s="101">
        <v>0</v>
      </c>
      <c r="AW271" s="86">
        <v>0</v>
      </c>
      <c r="AX271" s="101">
        <v>0</v>
      </c>
      <c r="AY271" s="101">
        <v>0</v>
      </c>
      <c r="AZ271" s="101">
        <v>0</v>
      </c>
      <c r="BA271" s="101">
        <v>0</v>
      </c>
      <c r="BB271" s="101"/>
      <c r="BC271" s="101"/>
      <c r="BD271" s="101"/>
      <c r="BE271" s="101">
        <v>0</v>
      </c>
      <c r="BF271" s="86">
        <v>0</v>
      </c>
      <c r="BG271" s="101">
        <v>0</v>
      </c>
      <c r="BH271" s="101">
        <v>0</v>
      </c>
      <c r="BI271" s="101">
        <v>0</v>
      </c>
      <c r="BJ271" s="101">
        <v>0</v>
      </c>
      <c r="BK271" s="101"/>
      <c r="BL271" s="101"/>
      <c r="BM271" s="101"/>
      <c r="BN271" s="101">
        <v>0</v>
      </c>
      <c r="BO271" s="86">
        <v>0</v>
      </c>
      <c r="BP271" s="101">
        <v>0</v>
      </c>
      <c r="BQ271" s="101">
        <v>0</v>
      </c>
      <c r="BR271" s="101">
        <v>0</v>
      </c>
      <c r="BS271" s="101"/>
      <c r="BT271" s="101"/>
      <c r="BU271" s="101"/>
      <c r="BV271" s="101">
        <v>0</v>
      </c>
      <c r="BW271" s="101">
        <v>0</v>
      </c>
      <c r="BX271" s="101">
        <v>0</v>
      </c>
    </row>
    <row r="272" spans="1:76" x14ac:dyDescent="0.35">
      <c r="A272" t="s">
        <v>101</v>
      </c>
      <c r="B272" s="13" t="s">
        <v>239</v>
      </c>
      <c r="C272" s="13" t="s">
        <v>103</v>
      </c>
      <c r="D272" s="13" t="s">
        <v>234</v>
      </c>
      <c r="W272" s="101">
        <v>0</v>
      </c>
      <c r="X272" s="101">
        <v>0</v>
      </c>
      <c r="Y272" s="101">
        <v>0</v>
      </c>
      <c r="Z272" s="101">
        <v>0</v>
      </c>
      <c r="AA272" s="101">
        <v>0</v>
      </c>
      <c r="AB272" s="101">
        <v>0</v>
      </c>
      <c r="AC272" s="101">
        <v>0</v>
      </c>
      <c r="AD272" s="101">
        <v>0</v>
      </c>
      <c r="AE272" s="86">
        <v>0</v>
      </c>
      <c r="AF272" s="101"/>
      <c r="AG272" s="101"/>
      <c r="AH272" s="101"/>
      <c r="AI272" s="101"/>
      <c r="AJ272" s="101"/>
      <c r="AK272" s="101"/>
      <c r="AL272" s="101"/>
      <c r="AM272" s="101"/>
      <c r="AN272" s="86"/>
      <c r="AO272" s="101"/>
      <c r="AP272" s="101"/>
      <c r="AQ272" s="101"/>
      <c r="AR272" s="101"/>
      <c r="AS272" s="101"/>
      <c r="AT272" s="101"/>
      <c r="AU272" s="101"/>
      <c r="AV272" s="101"/>
      <c r="AW272" s="86"/>
      <c r="AX272" s="101"/>
      <c r="AY272" s="101"/>
      <c r="AZ272" s="101"/>
      <c r="BA272" s="101"/>
      <c r="BB272" s="101"/>
      <c r="BC272" s="101"/>
      <c r="BD272" s="101"/>
      <c r="BE272" s="101"/>
      <c r="BF272" s="86"/>
      <c r="BG272" s="101"/>
      <c r="BH272" s="101"/>
      <c r="BI272" s="101"/>
      <c r="BJ272" s="101"/>
      <c r="BK272" s="101"/>
      <c r="BL272" s="101"/>
      <c r="BM272" s="101"/>
      <c r="BN272" s="101"/>
      <c r="BO272" s="86"/>
      <c r="BP272" s="101"/>
      <c r="BQ272" s="101"/>
      <c r="BR272" s="101"/>
      <c r="BS272" s="101"/>
      <c r="BT272" s="101"/>
      <c r="BU272" s="101"/>
      <c r="BV272" s="101"/>
      <c r="BW272" s="101"/>
      <c r="BX272" s="101"/>
    </row>
    <row r="273" spans="1:76" x14ac:dyDescent="0.35">
      <c r="A273" t="s">
        <v>104</v>
      </c>
      <c r="B273" s="13" t="s">
        <v>239</v>
      </c>
      <c r="C273" s="13" t="s">
        <v>103</v>
      </c>
      <c r="D273" s="13" t="s">
        <v>235</v>
      </c>
      <c r="W273" s="101">
        <v>0</v>
      </c>
      <c r="X273" s="101">
        <v>0</v>
      </c>
      <c r="Y273" s="101">
        <v>0</v>
      </c>
      <c r="Z273" s="101">
        <v>0</v>
      </c>
      <c r="AA273" s="101">
        <v>0</v>
      </c>
      <c r="AB273" s="101">
        <v>0</v>
      </c>
      <c r="AC273" s="101">
        <v>0</v>
      </c>
      <c r="AD273" s="101">
        <v>0</v>
      </c>
      <c r="AE273" s="86">
        <v>0</v>
      </c>
      <c r="AF273" s="101"/>
      <c r="AG273" s="101"/>
      <c r="AH273" s="101"/>
      <c r="AI273" s="101"/>
      <c r="AJ273" s="101"/>
      <c r="AK273" s="101"/>
      <c r="AL273" s="101"/>
      <c r="AM273" s="101"/>
      <c r="AN273" s="86"/>
      <c r="AO273" s="101"/>
      <c r="AP273" s="101"/>
      <c r="AQ273" s="101"/>
      <c r="AR273" s="101"/>
      <c r="AS273" s="101"/>
      <c r="AT273" s="101"/>
      <c r="AU273" s="101"/>
      <c r="AV273" s="101"/>
      <c r="AW273" s="86"/>
      <c r="AX273" s="101"/>
      <c r="AY273" s="101"/>
      <c r="AZ273" s="101"/>
      <c r="BA273" s="101"/>
      <c r="BB273" s="101"/>
      <c r="BC273" s="101"/>
      <c r="BD273" s="101"/>
      <c r="BE273" s="101"/>
      <c r="BF273" s="86"/>
      <c r="BG273" s="101"/>
      <c r="BH273" s="101"/>
      <c r="BI273" s="101"/>
      <c r="BJ273" s="101"/>
      <c r="BK273" s="101"/>
      <c r="BL273" s="101"/>
      <c r="BM273" s="101"/>
      <c r="BN273" s="101"/>
      <c r="BO273" s="86"/>
      <c r="BP273" s="101"/>
      <c r="BQ273" s="101"/>
      <c r="BR273" s="101"/>
      <c r="BS273" s="101"/>
      <c r="BT273" s="101"/>
      <c r="BU273" s="101"/>
      <c r="BV273" s="101"/>
      <c r="BW273" s="101"/>
      <c r="BX273" s="101"/>
    </row>
    <row r="274" spans="1:76" ht="15" thickBot="1" x14ac:dyDescent="0.4">
      <c r="A274" t="s">
        <v>106</v>
      </c>
      <c r="B274" s="13" t="s">
        <v>239</v>
      </c>
      <c r="C274" s="13" t="s">
        <v>103</v>
      </c>
      <c r="D274" s="13" t="s">
        <v>236</v>
      </c>
      <c r="W274" s="87">
        <v>0</v>
      </c>
      <c r="X274" s="87">
        <v>0</v>
      </c>
      <c r="Y274" s="87">
        <v>0</v>
      </c>
      <c r="Z274" s="87">
        <v>0</v>
      </c>
      <c r="AA274" s="87">
        <v>0</v>
      </c>
      <c r="AB274" s="87">
        <v>0</v>
      </c>
      <c r="AC274" s="87">
        <v>0</v>
      </c>
      <c r="AD274" s="87">
        <v>0</v>
      </c>
      <c r="AE274" s="89">
        <v>0</v>
      </c>
      <c r="AF274" s="114">
        <v>0</v>
      </c>
      <c r="AG274" s="87">
        <v>0</v>
      </c>
      <c r="AH274" s="87">
        <v>0</v>
      </c>
      <c r="AI274" s="87">
        <v>0</v>
      </c>
      <c r="AJ274" s="87"/>
      <c r="AK274" s="87"/>
      <c r="AL274" s="87"/>
      <c r="AM274" s="87">
        <v>0</v>
      </c>
      <c r="AN274" s="89">
        <v>0</v>
      </c>
      <c r="AO274" s="114">
        <v>0</v>
      </c>
      <c r="AP274" s="87">
        <v>0</v>
      </c>
      <c r="AQ274" s="87">
        <v>0</v>
      </c>
      <c r="AR274" s="87">
        <v>0</v>
      </c>
      <c r="AS274" s="87"/>
      <c r="AT274" s="87"/>
      <c r="AU274" s="87"/>
      <c r="AV274" s="87">
        <v>0</v>
      </c>
      <c r="AW274" s="89">
        <v>0</v>
      </c>
      <c r="AX274" s="114">
        <v>0</v>
      </c>
      <c r="AY274" s="87">
        <v>0</v>
      </c>
      <c r="AZ274" s="87">
        <v>0</v>
      </c>
      <c r="BA274" s="87">
        <v>0</v>
      </c>
      <c r="BB274" s="87"/>
      <c r="BC274" s="87"/>
      <c r="BD274" s="87"/>
      <c r="BE274" s="87">
        <v>0</v>
      </c>
      <c r="BF274" s="89">
        <v>0</v>
      </c>
      <c r="BG274" s="114">
        <v>0</v>
      </c>
      <c r="BH274" s="87">
        <v>0</v>
      </c>
      <c r="BI274" s="87">
        <v>0</v>
      </c>
      <c r="BJ274" s="87">
        <v>0</v>
      </c>
      <c r="BK274" s="87"/>
      <c r="BL274" s="87"/>
      <c r="BM274" s="87"/>
      <c r="BN274" s="87">
        <v>0</v>
      </c>
      <c r="BO274" s="89">
        <v>0</v>
      </c>
      <c r="BP274" s="114">
        <v>0</v>
      </c>
      <c r="BQ274" s="87">
        <v>0</v>
      </c>
      <c r="BR274" s="87">
        <v>0</v>
      </c>
      <c r="BS274" s="87"/>
      <c r="BT274" s="87"/>
      <c r="BU274" s="87"/>
      <c r="BV274" s="87">
        <v>0</v>
      </c>
      <c r="BW274" s="87">
        <v>0</v>
      </c>
      <c r="BX274" s="87">
        <v>0</v>
      </c>
    </row>
    <row r="275" spans="1:76" x14ac:dyDescent="0.35">
      <c r="A275" t="s">
        <v>218</v>
      </c>
      <c r="B275" s="13" t="s">
        <v>240</v>
      </c>
      <c r="C275" s="13" t="s">
        <v>56</v>
      </c>
      <c r="D275" s="13" t="s">
        <v>219</v>
      </c>
      <c r="W275" s="101">
        <v>0</v>
      </c>
      <c r="X275" s="101">
        <v>0</v>
      </c>
      <c r="Y275" s="100">
        <v>0.13886309499777949</v>
      </c>
      <c r="Z275" s="100">
        <v>0.13886309499777949</v>
      </c>
      <c r="AA275" s="101">
        <v>0</v>
      </c>
      <c r="AB275" s="101">
        <v>0</v>
      </c>
      <c r="AC275" s="101">
        <v>0</v>
      </c>
      <c r="AD275" s="101">
        <v>0</v>
      </c>
      <c r="AE275" s="86">
        <v>0</v>
      </c>
      <c r="AF275" s="101">
        <v>0</v>
      </c>
      <c r="AG275" s="101">
        <v>0</v>
      </c>
      <c r="AH275" s="101">
        <v>0</v>
      </c>
      <c r="AI275" s="101">
        <v>0</v>
      </c>
      <c r="AJ275" s="101"/>
      <c r="AK275" s="101"/>
      <c r="AL275" s="101"/>
      <c r="AM275" s="101">
        <v>0</v>
      </c>
      <c r="AN275" s="86">
        <v>0</v>
      </c>
      <c r="AO275" s="101">
        <v>0</v>
      </c>
      <c r="AP275" s="101">
        <v>0</v>
      </c>
      <c r="AQ275" s="101">
        <v>0</v>
      </c>
      <c r="AR275" s="101">
        <v>0</v>
      </c>
      <c r="AS275" s="101"/>
      <c r="AT275" s="101"/>
      <c r="AU275" s="101"/>
      <c r="AV275" s="101">
        <v>0</v>
      </c>
      <c r="AW275" s="86">
        <v>0</v>
      </c>
      <c r="AX275" s="101">
        <v>0</v>
      </c>
      <c r="AY275" s="101">
        <v>0</v>
      </c>
      <c r="AZ275" s="101">
        <v>0</v>
      </c>
      <c r="BA275" s="101">
        <v>0</v>
      </c>
      <c r="BB275" s="101"/>
      <c r="BC275" s="101"/>
      <c r="BD275" s="101"/>
      <c r="BE275" s="101">
        <v>0</v>
      </c>
      <c r="BF275" s="86">
        <v>0</v>
      </c>
      <c r="BG275" s="101">
        <v>0</v>
      </c>
      <c r="BH275" s="101">
        <v>0</v>
      </c>
      <c r="BI275" s="101">
        <v>0</v>
      </c>
      <c r="BJ275" s="101">
        <v>0</v>
      </c>
      <c r="BK275" s="101"/>
      <c r="BL275" s="101"/>
      <c r="BM275" s="101"/>
      <c r="BN275" s="101">
        <v>0</v>
      </c>
      <c r="BO275" s="86">
        <v>0</v>
      </c>
      <c r="BP275" s="101">
        <v>0</v>
      </c>
      <c r="BQ275" s="101">
        <v>0</v>
      </c>
      <c r="BR275" s="101">
        <v>0</v>
      </c>
      <c r="BS275" s="101"/>
      <c r="BT275" s="101"/>
      <c r="BU275" s="101"/>
      <c r="BV275" s="101">
        <v>0</v>
      </c>
      <c r="BW275" s="101">
        <v>0</v>
      </c>
      <c r="BX275" s="101">
        <v>0</v>
      </c>
    </row>
    <row r="276" spans="1:76" x14ac:dyDescent="0.35">
      <c r="A276" s="12" t="s">
        <v>220</v>
      </c>
      <c r="B276" s="13" t="s">
        <v>240</v>
      </c>
      <c r="C276" s="13" t="s">
        <v>56</v>
      </c>
      <c r="D276" s="13" t="s">
        <v>221</v>
      </c>
      <c r="W276" s="101">
        <v>0</v>
      </c>
      <c r="X276" s="101">
        <v>0</v>
      </c>
      <c r="Y276" s="101">
        <v>0</v>
      </c>
      <c r="Z276" s="101">
        <v>0</v>
      </c>
      <c r="AA276" s="101">
        <v>0</v>
      </c>
      <c r="AB276" s="101">
        <v>0</v>
      </c>
      <c r="AC276" s="101">
        <v>0</v>
      </c>
      <c r="AD276" s="101">
        <v>0</v>
      </c>
      <c r="AE276" s="86">
        <v>0</v>
      </c>
      <c r="AF276" s="101">
        <v>0</v>
      </c>
      <c r="AG276" s="101">
        <v>0</v>
      </c>
      <c r="AH276" s="101">
        <v>0</v>
      </c>
      <c r="AI276" s="101">
        <v>0</v>
      </c>
      <c r="AJ276" s="101"/>
      <c r="AK276" s="101"/>
      <c r="AL276" s="101"/>
      <c r="AM276" s="101">
        <v>0</v>
      </c>
      <c r="AN276" s="86">
        <v>0</v>
      </c>
      <c r="AO276" s="101">
        <v>0</v>
      </c>
      <c r="AP276" s="101">
        <v>0</v>
      </c>
      <c r="AQ276" s="101">
        <v>0</v>
      </c>
      <c r="AR276" s="101">
        <v>0</v>
      </c>
      <c r="AS276" s="101"/>
      <c r="AT276" s="101"/>
      <c r="AU276" s="101"/>
      <c r="AV276" s="101">
        <v>0</v>
      </c>
      <c r="AW276" s="86">
        <v>0</v>
      </c>
      <c r="AX276" s="101">
        <v>0</v>
      </c>
      <c r="AY276" s="101">
        <v>0</v>
      </c>
      <c r="AZ276" s="101">
        <v>0</v>
      </c>
      <c r="BA276" s="101">
        <v>0</v>
      </c>
      <c r="BB276" s="101"/>
      <c r="BC276" s="101"/>
      <c r="BD276" s="101"/>
      <c r="BE276" s="101">
        <v>0</v>
      </c>
      <c r="BF276" s="86">
        <v>0</v>
      </c>
      <c r="BG276" s="101">
        <v>0</v>
      </c>
      <c r="BH276" s="101">
        <v>0</v>
      </c>
      <c r="BI276" s="101">
        <v>0</v>
      </c>
      <c r="BJ276" s="101">
        <v>0</v>
      </c>
      <c r="BK276" s="101"/>
      <c r="BL276" s="101"/>
      <c r="BM276" s="101"/>
      <c r="BN276" s="101">
        <v>0</v>
      </c>
      <c r="BO276" s="86">
        <v>0</v>
      </c>
      <c r="BP276" s="101">
        <v>0</v>
      </c>
      <c r="BQ276" s="101">
        <v>0</v>
      </c>
      <c r="BR276" s="101">
        <v>0</v>
      </c>
      <c r="BS276" s="101"/>
      <c r="BT276" s="101"/>
      <c r="BU276" s="101"/>
      <c r="BV276" s="101">
        <v>0</v>
      </c>
      <c r="BW276" s="101">
        <v>0</v>
      </c>
      <c r="BX276" s="101">
        <v>0</v>
      </c>
    </row>
    <row r="277" spans="1:76" x14ac:dyDescent="0.35">
      <c r="A277" t="s">
        <v>222</v>
      </c>
      <c r="B277" s="13" t="s">
        <v>240</v>
      </c>
      <c r="C277" s="13" t="s">
        <v>56</v>
      </c>
      <c r="D277" s="13" t="s">
        <v>223</v>
      </c>
      <c r="W277" s="101">
        <v>0</v>
      </c>
      <c r="X277" s="101">
        <v>0</v>
      </c>
      <c r="Y277" s="100">
        <v>9.2968907089085616E-5</v>
      </c>
      <c r="Z277" s="100">
        <v>9.2968907089085616E-5</v>
      </c>
      <c r="AA277" s="101">
        <v>0</v>
      </c>
      <c r="AB277" s="101">
        <v>0</v>
      </c>
      <c r="AC277" s="101">
        <v>0</v>
      </c>
      <c r="AD277" s="101">
        <v>0</v>
      </c>
      <c r="AE277" s="86">
        <v>0</v>
      </c>
      <c r="AF277" s="101">
        <v>0</v>
      </c>
      <c r="AG277" s="101">
        <v>0</v>
      </c>
      <c r="AH277" s="101">
        <v>0</v>
      </c>
      <c r="AI277" s="101">
        <v>0</v>
      </c>
      <c r="AJ277" s="101"/>
      <c r="AK277" s="101"/>
      <c r="AL277" s="101"/>
      <c r="AM277" s="101">
        <v>0</v>
      </c>
      <c r="AN277" s="86">
        <v>0</v>
      </c>
      <c r="AO277" s="101">
        <v>0</v>
      </c>
      <c r="AP277" s="101">
        <v>0</v>
      </c>
      <c r="AQ277" s="101">
        <v>0</v>
      </c>
      <c r="AR277" s="101">
        <v>0</v>
      </c>
      <c r="AS277" s="101"/>
      <c r="AT277" s="101"/>
      <c r="AU277" s="101"/>
      <c r="AV277" s="101">
        <v>0</v>
      </c>
      <c r="AW277" s="86">
        <v>0</v>
      </c>
      <c r="AX277" s="101">
        <v>0</v>
      </c>
      <c r="AY277" s="101">
        <v>0</v>
      </c>
      <c r="AZ277" s="101">
        <v>0</v>
      </c>
      <c r="BA277" s="101">
        <v>0</v>
      </c>
      <c r="BB277" s="101"/>
      <c r="BC277" s="101"/>
      <c r="BD277" s="101"/>
      <c r="BE277" s="101">
        <v>0</v>
      </c>
      <c r="BF277" s="86">
        <v>0</v>
      </c>
      <c r="BG277" s="101">
        <v>0</v>
      </c>
      <c r="BH277" s="101">
        <v>0</v>
      </c>
      <c r="BI277" s="101">
        <v>0</v>
      </c>
      <c r="BJ277" s="101">
        <v>0</v>
      </c>
      <c r="BK277" s="101"/>
      <c r="BL277" s="101"/>
      <c r="BM277" s="101"/>
      <c r="BN277" s="101">
        <v>0</v>
      </c>
      <c r="BO277" s="86">
        <v>0</v>
      </c>
      <c r="BP277" s="101">
        <v>0</v>
      </c>
      <c r="BQ277" s="101">
        <v>0</v>
      </c>
      <c r="BR277" s="101">
        <v>0</v>
      </c>
      <c r="BS277" s="101"/>
      <c r="BT277" s="101"/>
      <c r="BU277" s="101"/>
      <c r="BV277" s="101">
        <v>0</v>
      </c>
      <c r="BW277" s="101">
        <v>0</v>
      </c>
      <c r="BX277" s="101">
        <v>0</v>
      </c>
    </row>
    <row r="278" spans="1:76" x14ac:dyDescent="0.35">
      <c r="A278" t="s">
        <v>224</v>
      </c>
      <c r="B278" s="13" t="s">
        <v>240</v>
      </c>
      <c r="C278" s="13" t="s">
        <v>56</v>
      </c>
      <c r="D278" s="13" t="s">
        <v>225</v>
      </c>
      <c r="W278" s="101">
        <v>0</v>
      </c>
      <c r="X278" s="101">
        <v>0</v>
      </c>
      <c r="Y278" s="101">
        <v>0</v>
      </c>
      <c r="Z278" s="101">
        <v>0</v>
      </c>
      <c r="AA278" s="101">
        <v>0</v>
      </c>
      <c r="AB278" s="101">
        <v>0</v>
      </c>
      <c r="AC278" s="101">
        <v>0</v>
      </c>
      <c r="AD278" s="101">
        <v>0</v>
      </c>
      <c r="AE278" s="86">
        <v>0</v>
      </c>
      <c r="AF278" s="101">
        <v>0</v>
      </c>
      <c r="AG278" s="101">
        <v>0</v>
      </c>
      <c r="AH278" s="101">
        <v>0</v>
      </c>
      <c r="AI278" s="101">
        <v>0</v>
      </c>
      <c r="AJ278" s="101"/>
      <c r="AK278" s="101"/>
      <c r="AL278" s="101"/>
      <c r="AM278" s="101">
        <v>0</v>
      </c>
      <c r="AN278" s="86">
        <v>0</v>
      </c>
      <c r="AO278" s="101">
        <v>0</v>
      </c>
      <c r="AP278" s="101">
        <v>0</v>
      </c>
      <c r="AQ278" s="101">
        <v>0</v>
      </c>
      <c r="AR278" s="101">
        <v>0</v>
      </c>
      <c r="AS278" s="101"/>
      <c r="AT278" s="101"/>
      <c r="AU278" s="101"/>
      <c r="AV278" s="101">
        <v>0</v>
      </c>
      <c r="AW278" s="86">
        <v>0</v>
      </c>
      <c r="AX278" s="101">
        <v>0</v>
      </c>
      <c r="AY278" s="101">
        <v>0</v>
      </c>
      <c r="AZ278" s="101">
        <v>0</v>
      </c>
      <c r="BA278" s="101">
        <v>0</v>
      </c>
      <c r="BB278" s="101"/>
      <c r="BC278" s="101"/>
      <c r="BD278" s="101"/>
      <c r="BE278" s="101">
        <v>0</v>
      </c>
      <c r="BF278" s="86">
        <v>0</v>
      </c>
      <c r="BG278" s="101">
        <v>0</v>
      </c>
      <c r="BH278" s="101">
        <v>0</v>
      </c>
      <c r="BI278" s="101">
        <v>0</v>
      </c>
      <c r="BJ278" s="101">
        <v>0</v>
      </c>
      <c r="BK278" s="101"/>
      <c r="BL278" s="101"/>
      <c r="BM278" s="101"/>
      <c r="BN278" s="101">
        <v>0</v>
      </c>
      <c r="BO278" s="86">
        <v>0</v>
      </c>
      <c r="BP278" s="101">
        <v>0</v>
      </c>
      <c r="BQ278" s="101">
        <v>0</v>
      </c>
      <c r="BR278" s="101">
        <v>0</v>
      </c>
      <c r="BS278" s="101"/>
      <c r="BT278" s="101"/>
      <c r="BU278" s="101"/>
      <c r="BV278" s="101">
        <v>0</v>
      </c>
      <c r="BW278" s="101">
        <v>0</v>
      </c>
      <c r="BX278" s="101">
        <v>0</v>
      </c>
    </row>
    <row r="279" spans="1:76" x14ac:dyDescent="0.35">
      <c r="A279" t="s">
        <v>226</v>
      </c>
      <c r="B279" s="13" t="s">
        <v>240</v>
      </c>
      <c r="C279" s="13" t="s">
        <v>56</v>
      </c>
      <c r="D279" s="13" t="s">
        <v>227</v>
      </c>
      <c r="W279" s="101">
        <v>0</v>
      </c>
      <c r="X279" s="100">
        <v>2.8885571737041122E-3</v>
      </c>
      <c r="Y279" s="100">
        <v>1.1251392039595793E-3</v>
      </c>
      <c r="Z279" s="100">
        <v>1.1251392039595793E-3</v>
      </c>
      <c r="AA279" s="100">
        <v>5.9963902402539811E-4</v>
      </c>
      <c r="AB279" s="100">
        <v>5.9963902402539811E-4</v>
      </c>
      <c r="AC279" s="101">
        <v>0</v>
      </c>
      <c r="AD279" s="101">
        <v>0</v>
      </c>
      <c r="AE279" s="86">
        <v>0</v>
      </c>
      <c r="AF279" s="101">
        <v>0</v>
      </c>
      <c r="AG279" s="101">
        <v>0</v>
      </c>
      <c r="AH279" s="101">
        <v>0</v>
      </c>
      <c r="AI279" s="101">
        <v>0</v>
      </c>
      <c r="AJ279" s="101"/>
      <c r="AK279" s="101"/>
      <c r="AL279" s="101"/>
      <c r="AM279" s="101">
        <v>0</v>
      </c>
      <c r="AN279" s="86">
        <v>0</v>
      </c>
      <c r="AO279" s="101">
        <v>0</v>
      </c>
      <c r="AP279" s="101">
        <v>0</v>
      </c>
      <c r="AQ279" s="101">
        <v>0</v>
      </c>
      <c r="AR279" s="101">
        <v>0</v>
      </c>
      <c r="AS279" s="101"/>
      <c r="AT279" s="101"/>
      <c r="AU279" s="101"/>
      <c r="AV279" s="101">
        <v>0</v>
      </c>
      <c r="AW279" s="86">
        <v>0</v>
      </c>
      <c r="AX279" s="101">
        <v>0</v>
      </c>
      <c r="AY279" s="101">
        <v>0</v>
      </c>
      <c r="AZ279" s="101">
        <v>0</v>
      </c>
      <c r="BA279" s="101">
        <v>0</v>
      </c>
      <c r="BB279" s="101"/>
      <c r="BC279" s="101"/>
      <c r="BD279" s="101"/>
      <c r="BE279" s="101">
        <v>0</v>
      </c>
      <c r="BF279" s="86">
        <v>0</v>
      </c>
      <c r="BG279" s="101">
        <v>0</v>
      </c>
      <c r="BH279" s="101">
        <v>0</v>
      </c>
      <c r="BI279" s="101">
        <v>0</v>
      </c>
      <c r="BJ279" s="101">
        <v>0</v>
      </c>
      <c r="BK279" s="101"/>
      <c r="BL279" s="101"/>
      <c r="BM279" s="101"/>
      <c r="BN279" s="101">
        <v>0</v>
      </c>
      <c r="BO279" s="86">
        <v>0</v>
      </c>
      <c r="BP279" s="101">
        <v>0</v>
      </c>
      <c r="BQ279" s="101">
        <v>0</v>
      </c>
      <c r="BR279" s="101">
        <v>0</v>
      </c>
      <c r="BS279" s="101"/>
      <c r="BT279" s="101"/>
      <c r="BU279" s="101"/>
      <c r="BV279" s="101">
        <v>0</v>
      </c>
      <c r="BW279" s="101">
        <v>0</v>
      </c>
      <c r="BX279" s="101">
        <v>0</v>
      </c>
    </row>
    <row r="280" spans="1:76" x14ac:dyDescent="0.35">
      <c r="A280" t="s">
        <v>83</v>
      </c>
      <c r="B280" s="13" t="s">
        <v>240</v>
      </c>
      <c r="C280" s="13" t="s">
        <v>56</v>
      </c>
      <c r="D280" s="13" t="s">
        <v>228</v>
      </c>
      <c r="W280" s="101">
        <v>0</v>
      </c>
      <c r="X280" s="101">
        <v>0</v>
      </c>
      <c r="Y280" s="101">
        <v>0</v>
      </c>
      <c r="Z280" s="101">
        <v>0</v>
      </c>
      <c r="AA280" s="100">
        <v>7.0614092017150581E-3</v>
      </c>
      <c r="AB280" s="100">
        <v>7.0614092017150581E-3</v>
      </c>
      <c r="AC280" s="101">
        <v>0</v>
      </c>
      <c r="AD280" s="101">
        <v>0</v>
      </c>
      <c r="AE280" s="86">
        <v>0</v>
      </c>
      <c r="AF280" s="101"/>
      <c r="AG280" s="101"/>
      <c r="AH280" s="101"/>
      <c r="AI280" s="101"/>
      <c r="AJ280" s="101"/>
      <c r="AK280" s="101"/>
      <c r="AL280" s="101"/>
      <c r="AM280" s="101"/>
      <c r="AN280" s="86"/>
      <c r="AO280" s="101"/>
      <c r="AP280" s="101"/>
      <c r="AQ280" s="101"/>
      <c r="AR280" s="101"/>
      <c r="AS280" s="101"/>
      <c r="AT280" s="101"/>
      <c r="AU280" s="101"/>
      <c r="AV280" s="101"/>
      <c r="AW280" s="86"/>
      <c r="AX280" s="101"/>
      <c r="AY280" s="101"/>
      <c r="AZ280" s="101"/>
      <c r="BA280" s="101"/>
      <c r="BB280" s="101"/>
      <c r="BC280" s="101"/>
      <c r="BD280" s="101"/>
      <c r="BE280" s="101"/>
      <c r="BF280" s="86"/>
      <c r="BG280" s="101"/>
      <c r="BH280" s="101"/>
      <c r="BI280" s="101"/>
      <c r="BJ280" s="101"/>
      <c r="BK280" s="101"/>
      <c r="BL280" s="101"/>
      <c r="BM280" s="101"/>
      <c r="BN280" s="101"/>
      <c r="BO280" s="86"/>
      <c r="BP280" s="101"/>
      <c r="BQ280" s="101"/>
      <c r="BR280" s="101"/>
      <c r="BS280" s="101"/>
      <c r="BT280" s="101"/>
      <c r="BU280" s="101"/>
      <c r="BV280" s="101"/>
      <c r="BW280" s="101"/>
      <c r="BX280" s="101"/>
    </row>
    <row r="281" spans="1:76" x14ac:dyDescent="0.35">
      <c r="A281" t="s">
        <v>229</v>
      </c>
      <c r="B281" s="13" t="s">
        <v>240</v>
      </c>
      <c r="C281" s="13" t="s">
        <v>56</v>
      </c>
      <c r="D281" s="13" t="s">
        <v>230</v>
      </c>
      <c r="W281" s="101">
        <v>0</v>
      </c>
      <c r="X281" s="101">
        <v>0</v>
      </c>
      <c r="Y281" s="100">
        <v>5.0048817841215026E-7</v>
      </c>
      <c r="Z281" s="100">
        <v>5.0048817841215026E-7</v>
      </c>
      <c r="AA281" s="101">
        <v>0</v>
      </c>
      <c r="AB281" s="101">
        <v>0</v>
      </c>
      <c r="AC281" s="101">
        <v>0</v>
      </c>
      <c r="AD281" s="101">
        <v>0</v>
      </c>
      <c r="AE281" s="86">
        <v>0</v>
      </c>
      <c r="AF281" s="101">
        <v>0</v>
      </c>
      <c r="AG281" s="101">
        <v>0</v>
      </c>
      <c r="AH281" s="101">
        <v>0</v>
      </c>
      <c r="AI281" s="101">
        <v>0</v>
      </c>
      <c r="AJ281" s="101"/>
      <c r="AK281" s="101"/>
      <c r="AL281" s="101"/>
      <c r="AM281" s="101">
        <v>0</v>
      </c>
      <c r="AN281" s="86">
        <v>0</v>
      </c>
      <c r="AO281" s="101">
        <v>0</v>
      </c>
      <c r="AP281" s="101">
        <v>0</v>
      </c>
      <c r="AQ281" s="101">
        <v>0</v>
      </c>
      <c r="AR281" s="101">
        <v>0</v>
      </c>
      <c r="AS281" s="101"/>
      <c r="AT281" s="101"/>
      <c r="AU281" s="101"/>
      <c r="AV281" s="101">
        <v>0</v>
      </c>
      <c r="AW281" s="86">
        <v>0</v>
      </c>
      <c r="AX281" s="101">
        <v>0</v>
      </c>
      <c r="AY281" s="101">
        <v>0</v>
      </c>
      <c r="AZ281" s="101">
        <v>0</v>
      </c>
      <c r="BA281" s="101">
        <v>0</v>
      </c>
      <c r="BB281" s="101"/>
      <c r="BC281" s="101"/>
      <c r="BD281" s="101"/>
      <c r="BE281" s="101">
        <v>0</v>
      </c>
      <c r="BF281" s="86">
        <v>0</v>
      </c>
      <c r="BG281" s="101">
        <v>0</v>
      </c>
      <c r="BH281" s="101">
        <v>0</v>
      </c>
      <c r="BI281" s="101">
        <v>0</v>
      </c>
      <c r="BJ281" s="101">
        <v>0</v>
      </c>
      <c r="BK281" s="101"/>
      <c r="BL281" s="101"/>
      <c r="BM281" s="101"/>
      <c r="BN281" s="101">
        <v>0</v>
      </c>
      <c r="BO281" s="86">
        <v>0</v>
      </c>
      <c r="BP281" s="101">
        <v>0</v>
      </c>
      <c r="BQ281" s="101">
        <v>0</v>
      </c>
      <c r="BR281" s="101">
        <v>0</v>
      </c>
      <c r="BS281" s="101"/>
      <c r="BT281" s="101"/>
      <c r="BU281" s="101"/>
      <c r="BV281" s="101">
        <v>0</v>
      </c>
      <c r="BW281" s="101">
        <v>0</v>
      </c>
      <c r="BX281" s="101">
        <v>0</v>
      </c>
    </row>
    <row r="282" spans="1:76" x14ac:dyDescent="0.35">
      <c r="A282" t="s">
        <v>231</v>
      </c>
      <c r="B282" s="13" t="s">
        <v>240</v>
      </c>
      <c r="C282" s="13" t="s">
        <v>56</v>
      </c>
      <c r="D282" s="13" t="s">
        <v>232</v>
      </c>
      <c r="W282" s="101">
        <v>0</v>
      </c>
      <c r="X282" s="101">
        <v>0</v>
      </c>
      <c r="Y282" s="100">
        <v>6.1170186458281818E-4</v>
      </c>
      <c r="Z282" s="100">
        <v>6.1170186458281818E-4</v>
      </c>
      <c r="AA282" s="101">
        <v>0</v>
      </c>
      <c r="AB282" s="101">
        <v>0</v>
      </c>
      <c r="AC282" s="101">
        <v>0</v>
      </c>
      <c r="AD282" s="101">
        <v>0</v>
      </c>
      <c r="AE282" s="86">
        <v>0</v>
      </c>
      <c r="AF282" s="101">
        <v>0</v>
      </c>
      <c r="AG282" s="101">
        <v>0</v>
      </c>
      <c r="AH282" s="101">
        <v>0</v>
      </c>
      <c r="AI282" s="101">
        <v>0</v>
      </c>
      <c r="AJ282" s="101"/>
      <c r="AK282" s="101"/>
      <c r="AL282" s="101"/>
      <c r="AM282" s="101">
        <v>0</v>
      </c>
      <c r="AN282" s="86">
        <v>0</v>
      </c>
      <c r="AO282" s="101">
        <v>0</v>
      </c>
      <c r="AP282" s="101">
        <v>0</v>
      </c>
      <c r="AQ282" s="101">
        <v>0</v>
      </c>
      <c r="AR282" s="101">
        <v>0</v>
      </c>
      <c r="AS282" s="101"/>
      <c r="AT282" s="101"/>
      <c r="AU282" s="101"/>
      <c r="AV282" s="101">
        <v>0</v>
      </c>
      <c r="AW282" s="86">
        <v>0</v>
      </c>
      <c r="AX282" s="101">
        <v>0</v>
      </c>
      <c r="AY282" s="101">
        <v>0</v>
      </c>
      <c r="AZ282" s="101">
        <v>0</v>
      </c>
      <c r="BA282" s="101">
        <v>0</v>
      </c>
      <c r="BB282" s="101"/>
      <c r="BC282" s="101"/>
      <c r="BD282" s="101"/>
      <c r="BE282" s="101">
        <v>0</v>
      </c>
      <c r="BF282" s="86">
        <v>0</v>
      </c>
      <c r="BG282" s="101">
        <v>0</v>
      </c>
      <c r="BH282" s="101">
        <v>0</v>
      </c>
      <c r="BI282" s="101">
        <v>0</v>
      </c>
      <c r="BJ282" s="101">
        <v>0</v>
      </c>
      <c r="BK282" s="101"/>
      <c r="BL282" s="101"/>
      <c r="BM282" s="101"/>
      <c r="BN282" s="101">
        <v>0</v>
      </c>
      <c r="BO282" s="86">
        <v>0</v>
      </c>
      <c r="BP282" s="101">
        <v>0</v>
      </c>
      <c r="BQ282" s="101">
        <v>0</v>
      </c>
      <c r="BR282" s="101">
        <v>0</v>
      </c>
      <c r="BS282" s="101"/>
      <c r="BT282" s="101"/>
      <c r="BU282" s="101"/>
      <c r="BV282" s="101">
        <v>0</v>
      </c>
      <c r="BW282" s="101">
        <v>0</v>
      </c>
      <c r="BX282" s="101">
        <v>0</v>
      </c>
    </row>
    <row r="283" spans="1:76" x14ac:dyDescent="0.35">
      <c r="A283" t="s">
        <v>233</v>
      </c>
      <c r="B283" s="13" t="s">
        <v>240</v>
      </c>
      <c r="C283" s="13" t="s">
        <v>56</v>
      </c>
      <c r="D283" s="13" t="s">
        <v>228</v>
      </c>
      <c r="W283" s="101">
        <v>0</v>
      </c>
      <c r="X283" s="101">
        <v>0</v>
      </c>
      <c r="Y283" s="101">
        <v>0</v>
      </c>
      <c r="Z283" s="101">
        <v>0</v>
      </c>
      <c r="AA283" s="101">
        <v>0</v>
      </c>
      <c r="AB283" s="101">
        <v>0</v>
      </c>
      <c r="AC283" s="101">
        <v>0</v>
      </c>
      <c r="AD283" s="101">
        <v>0</v>
      </c>
      <c r="AE283" s="86">
        <v>0</v>
      </c>
      <c r="AF283" s="101">
        <v>0</v>
      </c>
      <c r="AG283" s="101">
        <v>0</v>
      </c>
      <c r="AH283" s="101">
        <v>0</v>
      </c>
      <c r="AI283" s="101">
        <v>0</v>
      </c>
      <c r="AJ283" s="101"/>
      <c r="AK283" s="101"/>
      <c r="AL283" s="101"/>
      <c r="AM283" s="101">
        <v>0</v>
      </c>
      <c r="AN283" s="86">
        <v>0</v>
      </c>
      <c r="AO283" s="101">
        <v>0</v>
      </c>
      <c r="AP283" s="101">
        <v>0</v>
      </c>
      <c r="AQ283" s="101">
        <v>0</v>
      </c>
      <c r="AR283" s="101">
        <v>0</v>
      </c>
      <c r="AS283" s="101"/>
      <c r="AT283" s="101"/>
      <c r="AU283" s="101"/>
      <c r="AV283" s="101">
        <v>0</v>
      </c>
      <c r="AW283" s="86">
        <v>0</v>
      </c>
      <c r="AX283" s="101">
        <v>0</v>
      </c>
      <c r="AY283" s="101">
        <v>0</v>
      </c>
      <c r="AZ283" s="101">
        <v>0</v>
      </c>
      <c r="BA283" s="101">
        <v>0</v>
      </c>
      <c r="BB283" s="101"/>
      <c r="BC283" s="101"/>
      <c r="BD283" s="101"/>
      <c r="BE283" s="101">
        <v>0</v>
      </c>
      <c r="BF283" s="86">
        <v>0</v>
      </c>
      <c r="BG283" s="101">
        <v>0</v>
      </c>
      <c r="BH283" s="101">
        <v>0</v>
      </c>
      <c r="BI283" s="101">
        <v>0</v>
      </c>
      <c r="BJ283" s="101">
        <v>0</v>
      </c>
      <c r="BK283" s="101"/>
      <c r="BL283" s="101"/>
      <c r="BM283" s="101"/>
      <c r="BN283" s="101">
        <v>0</v>
      </c>
      <c r="BO283" s="86">
        <v>0</v>
      </c>
      <c r="BP283" s="101">
        <v>0</v>
      </c>
      <c r="BQ283" s="101">
        <v>0</v>
      </c>
      <c r="BR283" s="101">
        <v>0</v>
      </c>
      <c r="BS283" s="101"/>
      <c r="BT283" s="101"/>
      <c r="BU283" s="101"/>
      <c r="BV283" s="101">
        <v>0</v>
      </c>
      <c r="BW283" s="101">
        <v>0</v>
      </c>
      <c r="BX283" s="101">
        <v>0</v>
      </c>
    </row>
    <row r="284" spans="1:76" x14ac:dyDescent="0.35">
      <c r="A284" t="s">
        <v>101</v>
      </c>
      <c r="B284" s="13" t="s">
        <v>240</v>
      </c>
      <c r="C284" s="13" t="s">
        <v>103</v>
      </c>
      <c r="D284" s="13" t="s">
        <v>234</v>
      </c>
      <c r="W284" s="101">
        <v>0</v>
      </c>
      <c r="X284" s="101">
        <v>0</v>
      </c>
      <c r="Y284" s="101">
        <v>0</v>
      </c>
      <c r="Z284" s="101">
        <v>0</v>
      </c>
      <c r="AA284" s="101">
        <v>0</v>
      </c>
      <c r="AB284" s="101">
        <v>0</v>
      </c>
      <c r="AC284" s="101">
        <v>0</v>
      </c>
      <c r="AD284" s="101">
        <v>0</v>
      </c>
      <c r="AE284" s="86">
        <v>0</v>
      </c>
      <c r="AF284" s="101"/>
      <c r="AG284" s="101"/>
      <c r="AH284" s="101"/>
      <c r="AI284" s="101"/>
      <c r="AJ284" s="101"/>
      <c r="AK284" s="101"/>
      <c r="AL284" s="101"/>
      <c r="AM284" s="101"/>
      <c r="AN284" s="86"/>
      <c r="AO284" s="101"/>
      <c r="AP284" s="101"/>
      <c r="AQ284" s="101"/>
      <c r="AR284" s="101"/>
      <c r="AS284" s="101"/>
      <c r="AT284" s="101"/>
      <c r="AU284" s="101"/>
      <c r="AV284" s="101"/>
      <c r="AW284" s="86"/>
      <c r="AX284" s="101"/>
      <c r="AY284" s="101"/>
      <c r="AZ284" s="101"/>
      <c r="BA284" s="101"/>
      <c r="BB284" s="101"/>
      <c r="BC284" s="101"/>
      <c r="BD284" s="101"/>
      <c r="BE284" s="101"/>
      <c r="BF284" s="86"/>
      <c r="BG284" s="101"/>
      <c r="BH284" s="101"/>
      <c r="BI284" s="101"/>
      <c r="BJ284" s="101"/>
      <c r="BK284" s="101"/>
      <c r="BL284" s="101"/>
      <c r="BM284" s="101"/>
      <c r="BN284" s="101"/>
      <c r="BO284" s="86"/>
      <c r="BP284" s="101"/>
      <c r="BQ284" s="101"/>
      <c r="BR284" s="101"/>
      <c r="BS284" s="101"/>
      <c r="BT284" s="101"/>
      <c r="BU284" s="101"/>
      <c r="BV284" s="101"/>
      <c r="BW284" s="101"/>
      <c r="BX284" s="101"/>
    </row>
    <row r="285" spans="1:76" x14ac:dyDescent="0.35">
      <c r="A285" t="s">
        <v>104</v>
      </c>
      <c r="B285" s="13" t="s">
        <v>240</v>
      </c>
      <c r="C285" s="13" t="s">
        <v>103</v>
      </c>
      <c r="D285" s="13" t="s">
        <v>235</v>
      </c>
      <c r="W285" s="101">
        <v>0</v>
      </c>
      <c r="X285" s="101">
        <v>0</v>
      </c>
      <c r="Y285" s="101">
        <v>0</v>
      </c>
      <c r="Z285" s="101">
        <v>0</v>
      </c>
      <c r="AA285" s="101">
        <v>0</v>
      </c>
      <c r="AB285" s="101">
        <v>0</v>
      </c>
      <c r="AC285" s="101">
        <v>0</v>
      </c>
      <c r="AD285" s="101">
        <v>0</v>
      </c>
      <c r="AE285" s="86">
        <v>0</v>
      </c>
      <c r="AF285" s="101"/>
      <c r="AG285" s="101"/>
      <c r="AH285" s="101"/>
      <c r="AI285" s="101"/>
      <c r="AJ285" s="101"/>
      <c r="AK285" s="101"/>
      <c r="AL285" s="101"/>
      <c r="AM285" s="101"/>
      <c r="AN285" s="86"/>
      <c r="AO285" s="101"/>
      <c r="AP285" s="101"/>
      <c r="AQ285" s="101"/>
      <c r="AR285" s="101"/>
      <c r="AS285" s="101"/>
      <c r="AT285" s="101"/>
      <c r="AU285" s="101"/>
      <c r="AV285" s="101"/>
      <c r="AW285" s="86"/>
      <c r="AX285" s="101"/>
      <c r="AY285" s="101"/>
      <c r="AZ285" s="101"/>
      <c r="BA285" s="101"/>
      <c r="BB285" s="101"/>
      <c r="BC285" s="101"/>
      <c r="BD285" s="101"/>
      <c r="BE285" s="101"/>
      <c r="BF285" s="86"/>
      <c r="BG285" s="101"/>
      <c r="BH285" s="101"/>
      <c r="BI285" s="101"/>
      <c r="BJ285" s="101"/>
      <c r="BK285" s="101"/>
      <c r="BL285" s="101"/>
      <c r="BM285" s="101"/>
      <c r="BN285" s="101"/>
      <c r="BO285" s="86"/>
      <c r="BP285" s="101"/>
      <c r="BQ285" s="101"/>
      <c r="BR285" s="101"/>
      <c r="BS285" s="101"/>
      <c r="BT285" s="101"/>
      <c r="BU285" s="101"/>
      <c r="BV285" s="101"/>
      <c r="BW285" s="101"/>
      <c r="BX285" s="101"/>
    </row>
    <row r="286" spans="1:76" ht="15" thickBot="1" x14ac:dyDescent="0.4">
      <c r="A286" t="s">
        <v>106</v>
      </c>
      <c r="B286" s="13" t="s">
        <v>240</v>
      </c>
      <c r="C286" s="13" t="s">
        <v>103</v>
      </c>
      <c r="D286" s="13" t="s">
        <v>236</v>
      </c>
      <c r="W286" s="87">
        <v>0</v>
      </c>
      <c r="X286" s="87">
        <v>0</v>
      </c>
      <c r="Y286" s="87">
        <v>0</v>
      </c>
      <c r="Z286" s="87">
        <v>0</v>
      </c>
      <c r="AA286" s="87">
        <v>0</v>
      </c>
      <c r="AB286" s="87">
        <v>0</v>
      </c>
      <c r="AC286" s="87">
        <v>0</v>
      </c>
      <c r="AD286" s="87">
        <v>0</v>
      </c>
      <c r="AE286" s="89">
        <v>0</v>
      </c>
      <c r="AF286" s="87">
        <v>0</v>
      </c>
      <c r="AG286" s="87">
        <v>0</v>
      </c>
      <c r="AH286" s="87">
        <v>0</v>
      </c>
      <c r="AI286" s="87">
        <v>0</v>
      </c>
      <c r="AJ286" s="87"/>
      <c r="AK286" s="87"/>
      <c r="AL286" s="87"/>
      <c r="AM286" s="87">
        <v>0</v>
      </c>
      <c r="AN286" s="89">
        <v>0</v>
      </c>
      <c r="AO286" s="87">
        <v>0</v>
      </c>
      <c r="AP286" s="87">
        <v>0</v>
      </c>
      <c r="AQ286" s="87">
        <v>0</v>
      </c>
      <c r="AR286" s="87">
        <v>0</v>
      </c>
      <c r="AS286" s="87"/>
      <c r="AT286" s="87"/>
      <c r="AU286" s="87"/>
      <c r="AV286" s="87">
        <v>0</v>
      </c>
      <c r="AW286" s="89">
        <v>0</v>
      </c>
      <c r="AX286" s="87">
        <v>0</v>
      </c>
      <c r="AY286" s="87">
        <v>0</v>
      </c>
      <c r="AZ286" s="87">
        <v>0</v>
      </c>
      <c r="BA286" s="87">
        <v>0</v>
      </c>
      <c r="BB286" s="87"/>
      <c r="BC286" s="87"/>
      <c r="BD286" s="87"/>
      <c r="BE286" s="87">
        <v>0</v>
      </c>
      <c r="BF286" s="89">
        <v>0</v>
      </c>
      <c r="BG286" s="87">
        <v>0</v>
      </c>
      <c r="BH286" s="87">
        <v>0</v>
      </c>
      <c r="BI286" s="87">
        <v>0</v>
      </c>
      <c r="BJ286" s="87">
        <v>0</v>
      </c>
      <c r="BK286" s="87"/>
      <c r="BL286" s="87"/>
      <c r="BM286" s="87"/>
      <c r="BN286" s="87">
        <v>0</v>
      </c>
      <c r="BO286" s="89">
        <v>0</v>
      </c>
      <c r="BP286" s="87">
        <v>0</v>
      </c>
      <c r="BQ286" s="87">
        <v>0</v>
      </c>
      <c r="BR286" s="87">
        <v>0</v>
      </c>
      <c r="BS286" s="87"/>
      <c r="BT286" s="87"/>
      <c r="BU286" s="87"/>
      <c r="BV286" s="87">
        <v>0</v>
      </c>
      <c r="BW286" s="87">
        <v>0</v>
      </c>
      <c r="BX286" s="87">
        <v>0</v>
      </c>
    </row>
    <row r="287" spans="1:76" x14ac:dyDescent="0.35">
      <c r="A287" t="s">
        <v>218</v>
      </c>
      <c r="B287" s="13" t="s">
        <v>241</v>
      </c>
      <c r="C287" s="13" t="s">
        <v>56</v>
      </c>
      <c r="D287" s="13" t="s">
        <v>219</v>
      </c>
      <c r="W287" s="101">
        <v>0</v>
      </c>
      <c r="X287" s="101">
        <v>0</v>
      </c>
      <c r="Y287" s="100">
        <v>1.0000807460939076</v>
      </c>
      <c r="Z287" s="100">
        <v>1.0000807460939076</v>
      </c>
      <c r="AA287" s="101">
        <v>0</v>
      </c>
      <c r="AB287" s="101">
        <v>0</v>
      </c>
      <c r="AC287" s="101">
        <v>0</v>
      </c>
      <c r="AD287" s="101">
        <v>0</v>
      </c>
      <c r="AE287" s="86">
        <v>0</v>
      </c>
      <c r="AF287" s="101">
        <v>0</v>
      </c>
      <c r="AG287" s="101">
        <v>0</v>
      </c>
      <c r="AH287" s="101">
        <v>0</v>
      </c>
      <c r="AI287" s="101">
        <v>0</v>
      </c>
      <c r="AJ287" s="101"/>
      <c r="AK287" s="101"/>
      <c r="AL287" s="101"/>
      <c r="AM287" s="101">
        <v>0</v>
      </c>
      <c r="AN287" s="86">
        <v>0</v>
      </c>
      <c r="AO287" s="101">
        <v>0</v>
      </c>
      <c r="AP287" s="101">
        <v>0</v>
      </c>
      <c r="AQ287" s="101">
        <v>0</v>
      </c>
      <c r="AR287" s="101">
        <v>0</v>
      </c>
      <c r="AS287" s="101"/>
      <c r="AT287" s="101"/>
      <c r="AU287" s="101"/>
      <c r="AV287" s="101">
        <v>0</v>
      </c>
      <c r="AW287" s="86">
        <v>0</v>
      </c>
      <c r="AX287" s="101">
        <v>0</v>
      </c>
      <c r="AY287" s="101">
        <v>0</v>
      </c>
      <c r="AZ287" s="101">
        <v>0</v>
      </c>
      <c r="BA287" s="101">
        <v>0</v>
      </c>
      <c r="BB287" s="101"/>
      <c r="BC287" s="101"/>
      <c r="BD287" s="101"/>
      <c r="BE287" s="101">
        <v>0</v>
      </c>
      <c r="BF287" s="86">
        <v>0</v>
      </c>
      <c r="BG287" s="101">
        <v>0</v>
      </c>
      <c r="BH287" s="101">
        <v>0</v>
      </c>
      <c r="BI287" s="101">
        <v>0</v>
      </c>
      <c r="BJ287" s="101">
        <v>0</v>
      </c>
      <c r="BK287" s="101"/>
      <c r="BL287" s="101"/>
      <c r="BM287" s="101"/>
      <c r="BN287" s="101">
        <v>0</v>
      </c>
      <c r="BO287" s="86">
        <v>0</v>
      </c>
      <c r="BP287" s="101">
        <v>0</v>
      </c>
      <c r="BQ287" s="101">
        <v>0</v>
      </c>
      <c r="BR287" s="101">
        <v>0</v>
      </c>
      <c r="BS287" s="101"/>
      <c r="BT287" s="101"/>
      <c r="BU287" s="101"/>
      <c r="BV287" s="101">
        <v>0</v>
      </c>
      <c r="BW287" s="101">
        <v>0</v>
      </c>
      <c r="BX287" s="101">
        <v>0</v>
      </c>
    </row>
    <row r="288" spans="1:76" x14ac:dyDescent="0.35">
      <c r="A288" s="12" t="s">
        <v>220</v>
      </c>
      <c r="B288" s="13" t="s">
        <v>241</v>
      </c>
      <c r="C288" s="13" t="s">
        <v>56</v>
      </c>
      <c r="D288" s="13" t="s">
        <v>221</v>
      </c>
      <c r="W288" s="101">
        <v>0</v>
      </c>
      <c r="X288" s="101">
        <v>0</v>
      </c>
      <c r="Y288" s="101">
        <v>0</v>
      </c>
      <c r="Z288" s="101">
        <v>0</v>
      </c>
      <c r="AA288" s="101">
        <v>0</v>
      </c>
      <c r="AB288" s="101">
        <v>0</v>
      </c>
      <c r="AC288" s="101">
        <v>0</v>
      </c>
      <c r="AD288" s="101">
        <v>0</v>
      </c>
      <c r="AE288" s="86">
        <v>0</v>
      </c>
      <c r="AF288" s="101">
        <v>0</v>
      </c>
      <c r="AG288" s="101">
        <v>0</v>
      </c>
      <c r="AH288" s="101">
        <v>0</v>
      </c>
      <c r="AI288" s="101">
        <v>0</v>
      </c>
      <c r="AJ288" s="101"/>
      <c r="AK288" s="101"/>
      <c r="AL288" s="101"/>
      <c r="AM288" s="101">
        <v>0</v>
      </c>
      <c r="AN288" s="86">
        <v>0</v>
      </c>
      <c r="AO288" s="101">
        <v>0</v>
      </c>
      <c r="AP288" s="101">
        <v>0</v>
      </c>
      <c r="AQ288" s="101">
        <v>0</v>
      </c>
      <c r="AR288" s="101">
        <v>0</v>
      </c>
      <c r="AS288" s="101"/>
      <c r="AT288" s="101"/>
      <c r="AU288" s="101"/>
      <c r="AV288" s="101">
        <v>0</v>
      </c>
      <c r="AW288" s="86">
        <v>0</v>
      </c>
      <c r="AX288" s="101">
        <v>0</v>
      </c>
      <c r="AY288" s="101">
        <v>0</v>
      </c>
      <c r="AZ288" s="101">
        <v>0</v>
      </c>
      <c r="BA288" s="101">
        <v>0</v>
      </c>
      <c r="BB288" s="101"/>
      <c r="BC288" s="101"/>
      <c r="BD288" s="101"/>
      <c r="BE288" s="101">
        <v>0</v>
      </c>
      <c r="BF288" s="86">
        <v>0</v>
      </c>
      <c r="BG288" s="101">
        <v>0</v>
      </c>
      <c r="BH288" s="101">
        <v>0</v>
      </c>
      <c r="BI288" s="101">
        <v>0</v>
      </c>
      <c r="BJ288" s="101">
        <v>0</v>
      </c>
      <c r="BK288" s="101"/>
      <c r="BL288" s="101"/>
      <c r="BM288" s="101"/>
      <c r="BN288" s="101">
        <v>0</v>
      </c>
      <c r="BO288" s="86">
        <v>0</v>
      </c>
      <c r="BP288" s="101">
        <v>0</v>
      </c>
      <c r="BQ288" s="101">
        <v>0</v>
      </c>
      <c r="BR288" s="101">
        <v>0</v>
      </c>
      <c r="BS288" s="101"/>
      <c r="BT288" s="101"/>
      <c r="BU288" s="101"/>
      <c r="BV288" s="101">
        <v>0</v>
      </c>
      <c r="BW288" s="101">
        <v>0</v>
      </c>
      <c r="BX288" s="101">
        <v>0</v>
      </c>
    </row>
    <row r="289" spans="1:76" x14ac:dyDescent="0.35">
      <c r="A289" t="s">
        <v>222</v>
      </c>
      <c r="B289" s="13" t="s">
        <v>241</v>
      </c>
      <c r="C289" s="13" t="s">
        <v>56</v>
      </c>
      <c r="D289" s="13" t="s">
        <v>223</v>
      </c>
      <c r="W289" s="101">
        <v>0</v>
      </c>
      <c r="X289" s="101">
        <v>0</v>
      </c>
      <c r="Y289" s="100">
        <v>3.7052409430862396E-4</v>
      </c>
      <c r="Z289" s="100">
        <v>3.7052409430862396E-4</v>
      </c>
      <c r="AA289" s="101">
        <v>0</v>
      </c>
      <c r="AB289" s="101">
        <v>0</v>
      </c>
      <c r="AC289" s="101">
        <v>0</v>
      </c>
      <c r="AD289" s="101">
        <v>0</v>
      </c>
      <c r="AE289" s="86">
        <v>0</v>
      </c>
      <c r="AF289" s="101">
        <v>0</v>
      </c>
      <c r="AG289" s="101">
        <v>0</v>
      </c>
      <c r="AH289" s="101">
        <v>0</v>
      </c>
      <c r="AI289" s="101">
        <v>0</v>
      </c>
      <c r="AJ289" s="101"/>
      <c r="AK289" s="101"/>
      <c r="AL289" s="101"/>
      <c r="AM289" s="101">
        <v>0</v>
      </c>
      <c r="AN289" s="86">
        <v>0</v>
      </c>
      <c r="AO289" s="101">
        <v>0</v>
      </c>
      <c r="AP289" s="101">
        <v>0</v>
      </c>
      <c r="AQ289" s="101">
        <v>0</v>
      </c>
      <c r="AR289" s="101">
        <v>0</v>
      </c>
      <c r="AS289" s="101"/>
      <c r="AT289" s="101"/>
      <c r="AU289" s="101"/>
      <c r="AV289" s="101">
        <v>0</v>
      </c>
      <c r="AW289" s="86">
        <v>0</v>
      </c>
      <c r="AX289" s="101">
        <v>0</v>
      </c>
      <c r="AY289" s="101">
        <v>0</v>
      </c>
      <c r="AZ289" s="101">
        <v>0</v>
      </c>
      <c r="BA289" s="101">
        <v>0</v>
      </c>
      <c r="BB289" s="101"/>
      <c r="BC289" s="101"/>
      <c r="BD289" s="101"/>
      <c r="BE289" s="101">
        <v>0</v>
      </c>
      <c r="BF289" s="86">
        <v>0</v>
      </c>
      <c r="BG289" s="101">
        <v>0</v>
      </c>
      <c r="BH289" s="101">
        <v>0</v>
      </c>
      <c r="BI289" s="101">
        <v>0</v>
      </c>
      <c r="BJ289" s="101">
        <v>0</v>
      </c>
      <c r="BK289" s="101"/>
      <c r="BL289" s="101"/>
      <c r="BM289" s="101"/>
      <c r="BN289" s="101">
        <v>0</v>
      </c>
      <c r="BO289" s="86">
        <v>0</v>
      </c>
      <c r="BP289" s="101">
        <v>0</v>
      </c>
      <c r="BQ289" s="101">
        <v>0</v>
      </c>
      <c r="BR289" s="101">
        <v>0</v>
      </c>
      <c r="BS289" s="101"/>
      <c r="BT289" s="101"/>
      <c r="BU289" s="101"/>
      <c r="BV289" s="101">
        <v>0</v>
      </c>
      <c r="BW289" s="101">
        <v>0</v>
      </c>
      <c r="BX289" s="101">
        <v>0</v>
      </c>
    </row>
    <row r="290" spans="1:76" x14ac:dyDescent="0.35">
      <c r="A290" t="s">
        <v>224</v>
      </c>
      <c r="B290" s="13" t="s">
        <v>241</v>
      </c>
      <c r="C290" s="13" t="s">
        <v>56</v>
      </c>
      <c r="D290" s="13" t="s">
        <v>225</v>
      </c>
      <c r="W290" s="101">
        <v>0</v>
      </c>
      <c r="X290" s="101">
        <v>0</v>
      </c>
      <c r="Y290" s="100">
        <v>5.8414042458127093E-3</v>
      </c>
      <c r="Z290" s="100">
        <v>5.8414042458127093E-3</v>
      </c>
      <c r="AA290" s="101">
        <v>0</v>
      </c>
      <c r="AB290" s="101">
        <v>0</v>
      </c>
      <c r="AC290" s="101">
        <v>0</v>
      </c>
      <c r="AD290" s="101">
        <v>0</v>
      </c>
      <c r="AE290" s="86">
        <v>0</v>
      </c>
      <c r="AF290" s="101">
        <v>0</v>
      </c>
      <c r="AG290" s="101">
        <v>0</v>
      </c>
      <c r="AH290" s="101">
        <v>0</v>
      </c>
      <c r="AI290" s="101">
        <v>0</v>
      </c>
      <c r="AJ290" s="101"/>
      <c r="AK290" s="101"/>
      <c r="AL290" s="101"/>
      <c r="AM290" s="101">
        <v>0</v>
      </c>
      <c r="AN290" s="86">
        <v>0</v>
      </c>
      <c r="AO290" s="101">
        <v>0</v>
      </c>
      <c r="AP290" s="101">
        <v>0</v>
      </c>
      <c r="AQ290" s="101">
        <v>0</v>
      </c>
      <c r="AR290" s="101">
        <v>0</v>
      </c>
      <c r="AS290" s="101"/>
      <c r="AT290" s="101"/>
      <c r="AU290" s="101"/>
      <c r="AV290" s="101">
        <v>0</v>
      </c>
      <c r="AW290" s="86">
        <v>0</v>
      </c>
      <c r="AX290" s="101">
        <v>0</v>
      </c>
      <c r="AY290" s="101">
        <v>0</v>
      </c>
      <c r="AZ290" s="101">
        <v>0</v>
      </c>
      <c r="BA290" s="101">
        <v>0</v>
      </c>
      <c r="BB290" s="101"/>
      <c r="BC290" s="101"/>
      <c r="BD290" s="101"/>
      <c r="BE290" s="101">
        <v>0</v>
      </c>
      <c r="BF290" s="86">
        <v>0</v>
      </c>
      <c r="BG290" s="101">
        <v>0</v>
      </c>
      <c r="BH290" s="101">
        <v>0</v>
      </c>
      <c r="BI290" s="101">
        <v>0</v>
      </c>
      <c r="BJ290" s="101">
        <v>0</v>
      </c>
      <c r="BK290" s="101"/>
      <c r="BL290" s="101"/>
      <c r="BM290" s="101"/>
      <c r="BN290" s="101">
        <v>0</v>
      </c>
      <c r="BO290" s="86">
        <v>0</v>
      </c>
      <c r="BP290" s="101">
        <v>0</v>
      </c>
      <c r="BQ290" s="101">
        <v>0</v>
      </c>
      <c r="BR290" s="101">
        <v>0</v>
      </c>
      <c r="BS290" s="101"/>
      <c r="BT290" s="101"/>
      <c r="BU290" s="101"/>
      <c r="BV290" s="101">
        <v>0</v>
      </c>
      <c r="BW290" s="101">
        <v>0</v>
      </c>
      <c r="BX290" s="101">
        <v>0</v>
      </c>
    </row>
    <row r="291" spans="1:76" x14ac:dyDescent="0.35">
      <c r="A291" t="s">
        <v>226</v>
      </c>
      <c r="B291" s="13" t="s">
        <v>241</v>
      </c>
      <c r="C291" s="13" t="s">
        <v>56</v>
      </c>
      <c r="D291" s="13" t="s">
        <v>227</v>
      </c>
      <c r="W291" s="101">
        <v>0</v>
      </c>
      <c r="X291" s="100">
        <v>1.1972685102906883E-2</v>
      </c>
      <c r="Y291" s="100">
        <v>5.0319447308723453E-3</v>
      </c>
      <c r="Z291" s="100">
        <v>5.0319447308723453E-3</v>
      </c>
      <c r="AA291" s="100">
        <v>2.4854239602480213E-3</v>
      </c>
      <c r="AB291" s="100">
        <v>2.4854239602480213E-3</v>
      </c>
      <c r="AC291" s="101">
        <v>0</v>
      </c>
      <c r="AD291" s="101">
        <v>0</v>
      </c>
      <c r="AE291" s="86">
        <v>0</v>
      </c>
      <c r="AF291" s="101">
        <v>0</v>
      </c>
      <c r="AG291" s="101">
        <v>0</v>
      </c>
      <c r="AH291" s="101">
        <v>0</v>
      </c>
      <c r="AI291" s="101">
        <v>0</v>
      </c>
      <c r="AJ291" s="101"/>
      <c r="AK291" s="101"/>
      <c r="AL291" s="101"/>
      <c r="AM291" s="101">
        <v>0</v>
      </c>
      <c r="AN291" s="86">
        <v>0</v>
      </c>
      <c r="AO291" s="101">
        <v>0</v>
      </c>
      <c r="AP291" s="101">
        <v>0</v>
      </c>
      <c r="AQ291" s="101">
        <v>0</v>
      </c>
      <c r="AR291" s="101">
        <v>0</v>
      </c>
      <c r="AS291" s="101"/>
      <c r="AT291" s="101"/>
      <c r="AU291" s="101"/>
      <c r="AV291" s="101">
        <v>0</v>
      </c>
      <c r="AW291" s="86">
        <v>0</v>
      </c>
      <c r="AX291" s="101">
        <v>0</v>
      </c>
      <c r="AY291" s="101">
        <v>0</v>
      </c>
      <c r="AZ291" s="101">
        <v>0</v>
      </c>
      <c r="BA291" s="101">
        <v>0</v>
      </c>
      <c r="BB291" s="101"/>
      <c r="BC291" s="101"/>
      <c r="BD291" s="101"/>
      <c r="BE291" s="101">
        <v>0</v>
      </c>
      <c r="BF291" s="86">
        <v>0</v>
      </c>
      <c r="BG291" s="101">
        <v>0</v>
      </c>
      <c r="BH291" s="101">
        <v>0</v>
      </c>
      <c r="BI291" s="101">
        <v>0</v>
      </c>
      <c r="BJ291" s="101">
        <v>0</v>
      </c>
      <c r="BK291" s="101"/>
      <c r="BL291" s="101"/>
      <c r="BM291" s="101"/>
      <c r="BN291" s="101">
        <v>0</v>
      </c>
      <c r="BO291" s="86">
        <v>0</v>
      </c>
      <c r="BP291" s="101">
        <v>0</v>
      </c>
      <c r="BQ291" s="101">
        <v>0</v>
      </c>
      <c r="BR291" s="101">
        <v>0</v>
      </c>
      <c r="BS291" s="101"/>
      <c r="BT291" s="101"/>
      <c r="BU291" s="101"/>
      <c r="BV291" s="101">
        <v>0</v>
      </c>
      <c r="BW291" s="101">
        <v>0</v>
      </c>
      <c r="BX291" s="101">
        <v>0</v>
      </c>
    </row>
    <row r="292" spans="1:76" x14ac:dyDescent="0.35">
      <c r="A292" t="s">
        <v>83</v>
      </c>
      <c r="B292" s="13" t="s">
        <v>241</v>
      </c>
      <c r="C292" s="13" t="s">
        <v>56</v>
      </c>
      <c r="D292" s="13" t="s">
        <v>228</v>
      </c>
      <c r="W292" s="101">
        <v>0</v>
      </c>
      <c r="X292" s="101">
        <v>0</v>
      </c>
      <c r="Y292" s="101">
        <v>0</v>
      </c>
      <c r="Z292" s="101">
        <v>0</v>
      </c>
      <c r="AA292" s="100">
        <v>3.1580644155014347E-2</v>
      </c>
      <c r="AB292" s="100">
        <v>3.1580644155014347E-2</v>
      </c>
      <c r="AC292" s="101">
        <v>0</v>
      </c>
      <c r="AD292" s="101">
        <v>0</v>
      </c>
      <c r="AE292" s="86">
        <v>0</v>
      </c>
      <c r="AF292" s="101"/>
      <c r="AG292" s="101"/>
      <c r="AH292" s="101"/>
      <c r="AI292" s="101"/>
      <c r="AJ292" s="101"/>
      <c r="AK292" s="101"/>
      <c r="AL292" s="101"/>
      <c r="AM292" s="101"/>
      <c r="AN292" s="86"/>
      <c r="AO292" s="101"/>
      <c r="AP292" s="101"/>
      <c r="AQ292" s="101"/>
      <c r="AR292" s="101"/>
      <c r="AS292" s="101"/>
      <c r="AT292" s="101"/>
      <c r="AU292" s="101"/>
      <c r="AV292" s="101"/>
      <c r="AW292" s="86"/>
      <c r="AX292" s="101"/>
      <c r="AY292" s="101"/>
      <c r="AZ292" s="101"/>
      <c r="BA292" s="101"/>
      <c r="BB292" s="101"/>
      <c r="BC292" s="101"/>
      <c r="BD292" s="101"/>
      <c r="BE292" s="101"/>
      <c r="BF292" s="86"/>
      <c r="BG292" s="101"/>
      <c r="BH292" s="101"/>
      <c r="BI292" s="101"/>
      <c r="BJ292" s="101"/>
      <c r="BK292" s="101"/>
      <c r="BL292" s="101"/>
      <c r="BM292" s="101"/>
      <c r="BN292" s="101"/>
      <c r="BO292" s="86"/>
      <c r="BP292" s="101"/>
      <c r="BQ292" s="101"/>
      <c r="BR292" s="101"/>
      <c r="BS292" s="101"/>
      <c r="BT292" s="101"/>
      <c r="BU292" s="101"/>
      <c r="BV292" s="101"/>
      <c r="BW292" s="101"/>
      <c r="BX292" s="101"/>
    </row>
    <row r="293" spans="1:76" x14ac:dyDescent="0.35">
      <c r="A293" t="s">
        <v>229</v>
      </c>
      <c r="B293" s="13" t="s">
        <v>241</v>
      </c>
      <c r="C293" s="13" t="s">
        <v>56</v>
      </c>
      <c r="D293" s="13" t="s">
        <v>230</v>
      </c>
      <c r="W293" s="101">
        <v>0</v>
      </c>
      <c r="X293" s="101">
        <v>0</v>
      </c>
      <c r="Y293" s="100">
        <v>4.336096678710085E-4</v>
      </c>
      <c r="Z293" s="100">
        <v>4.336096678710085E-4</v>
      </c>
      <c r="AA293" s="101">
        <v>0</v>
      </c>
      <c r="AB293" s="101">
        <v>0</v>
      </c>
      <c r="AC293" s="101">
        <v>0</v>
      </c>
      <c r="AD293" s="101">
        <v>0</v>
      </c>
      <c r="AE293" s="86">
        <v>0</v>
      </c>
      <c r="AF293" s="101">
        <v>0</v>
      </c>
      <c r="AG293" s="101">
        <v>0</v>
      </c>
      <c r="AH293" s="101">
        <v>0</v>
      </c>
      <c r="AI293" s="101">
        <v>0</v>
      </c>
      <c r="AJ293" s="101"/>
      <c r="AK293" s="101"/>
      <c r="AL293" s="101"/>
      <c r="AM293" s="101">
        <v>0</v>
      </c>
      <c r="AN293" s="86">
        <v>0</v>
      </c>
      <c r="AO293" s="101">
        <v>0</v>
      </c>
      <c r="AP293" s="101">
        <v>0</v>
      </c>
      <c r="AQ293" s="101">
        <v>0</v>
      </c>
      <c r="AR293" s="101">
        <v>0</v>
      </c>
      <c r="AS293" s="101"/>
      <c r="AT293" s="101"/>
      <c r="AU293" s="101"/>
      <c r="AV293" s="101">
        <v>0</v>
      </c>
      <c r="AW293" s="86">
        <v>0</v>
      </c>
      <c r="AX293" s="101">
        <v>0</v>
      </c>
      <c r="AY293" s="101">
        <v>0</v>
      </c>
      <c r="AZ293" s="101">
        <v>0</v>
      </c>
      <c r="BA293" s="101">
        <v>0</v>
      </c>
      <c r="BB293" s="101"/>
      <c r="BC293" s="101"/>
      <c r="BD293" s="101"/>
      <c r="BE293" s="101">
        <v>0</v>
      </c>
      <c r="BF293" s="86">
        <v>0</v>
      </c>
      <c r="BG293" s="101">
        <v>0</v>
      </c>
      <c r="BH293" s="101">
        <v>0</v>
      </c>
      <c r="BI293" s="101">
        <v>0</v>
      </c>
      <c r="BJ293" s="101">
        <v>0</v>
      </c>
      <c r="BK293" s="101"/>
      <c r="BL293" s="101"/>
      <c r="BM293" s="101"/>
      <c r="BN293" s="101">
        <v>0</v>
      </c>
      <c r="BO293" s="86">
        <v>0</v>
      </c>
      <c r="BP293" s="101">
        <v>0</v>
      </c>
      <c r="BQ293" s="101">
        <v>0</v>
      </c>
      <c r="BR293" s="101">
        <v>0</v>
      </c>
      <c r="BS293" s="101"/>
      <c r="BT293" s="101"/>
      <c r="BU293" s="101"/>
      <c r="BV293" s="101">
        <v>0</v>
      </c>
      <c r="BW293" s="101">
        <v>0</v>
      </c>
      <c r="BX293" s="101">
        <v>0</v>
      </c>
    </row>
    <row r="294" spans="1:76" x14ac:dyDescent="0.35">
      <c r="A294" t="s">
        <v>231</v>
      </c>
      <c r="B294" s="13" t="s">
        <v>241</v>
      </c>
      <c r="C294" s="13" t="s">
        <v>56</v>
      </c>
      <c r="D294" s="13" t="s">
        <v>232</v>
      </c>
      <c r="W294" s="101">
        <v>0</v>
      </c>
      <c r="X294" s="101">
        <v>0</v>
      </c>
      <c r="Y294" s="100">
        <v>2.1307680894208417E-3</v>
      </c>
      <c r="Z294" s="100">
        <v>2.1307680894208417E-3</v>
      </c>
      <c r="AA294" s="101">
        <v>0</v>
      </c>
      <c r="AB294" s="101">
        <v>0</v>
      </c>
      <c r="AC294" s="101">
        <v>0</v>
      </c>
      <c r="AD294" s="101">
        <v>0</v>
      </c>
      <c r="AE294" s="86">
        <v>0</v>
      </c>
      <c r="AF294" s="101">
        <v>0</v>
      </c>
      <c r="AG294" s="101">
        <v>0</v>
      </c>
      <c r="AH294" s="101">
        <v>0</v>
      </c>
      <c r="AI294" s="101">
        <v>0</v>
      </c>
      <c r="AJ294" s="101"/>
      <c r="AK294" s="101"/>
      <c r="AL294" s="101"/>
      <c r="AM294" s="101">
        <v>0</v>
      </c>
      <c r="AN294" s="86">
        <v>0</v>
      </c>
      <c r="AO294" s="101">
        <v>0</v>
      </c>
      <c r="AP294" s="101">
        <v>0</v>
      </c>
      <c r="AQ294" s="101">
        <v>0</v>
      </c>
      <c r="AR294" s="101">
        <v>0</v>
      </c>
      <c r="AS294" s="101"/>
      <c r="AT294" s="101"/>
      <c r="AU294" s="101"/>
      <c r="AV294" s="101">
        <v>0</v>
      </c>
      <c r="AW294" s="86">
        <v>0</v>
      </c>
      <c r="AX294" s="101">
        <v>0</v>
      </c>
      <c r="AY294" s="101">
        <v>0</v>
      </c>
      <c r="AZ294" s="101">
        <v>0</v>
      </c>
      <c r="BA294" s="101">
        <v>0</v>
      </c>
      <c r="BB294" s="101"/>
      <c r="BC294" s="101"/>
      <c r="BD294" s="101"/>
      <c r="BE294" s="101">
        <v>0</v>
      </c>
      <c r="BF294" s="86">
        <v>0</v>
      </c>
      <c r="BG294" s="101">
        <v>0</v>
      </c>
      <c r="BH294" s="101">
        <v>0</v>
      </c>
      <c r="BI294" s="101">
        <v>0</v>
      </c>
      <c r="BJ294" s="101">
        <v>0</v>
      </c>
      <c r="BK294" s="101"/>
      <c r="BL294" s="101"/>
      <c r="BM294" s="101"/>
      <c r="BN294" s="101">
        <v>0</v>
      </c>
      <c r="BO294" s="86">
        <v>0</v>
      </c>
      <c r="BP294" s="101">
        <v>0</v>
      </c>
      <c r="BQ294" s="101">
        <v>0</v>
      </c>
      <c r="BR294" s="101">
        <v>0</v>
      </c>
      <c r="BS294" s="101"/>
      <c r="BT294" s="101"/>
      <c r="BU294" s="101"/>
      <c r="BV294" s="101">
        <v>0</v>
      </c>
      <c r="BW294" s="101">
        <v>0</v>
      </c>
      <c r="BX294" s="101">
        <v>0</v>
      </c>
    </row>
    <row r="295" spans="1:76" x14ac:dyDescent="0.35">
      <c r="A295" t="s">
        <v>233</v>
      </c>
      <c r="B295" s="13" t="s">
        <v>241</v>
      </c>
      <c r="C295" s="13" t="s">
        <v>56</v>
      </c>
      <c r="D295" s="13" t="s">
        <v>228</v>
      </c>
      <c r="W295" s="101">
        <v>0</v>
      </c>
      <c r="X295" s="101">
        <v>0</v>
      </c>
      <c r="Y295" s="100">
        <v>4.3855511603587784E-2</v>
      </c>
      <c r="Z295" s="100">
        <v>4.3855511603587784E-2</v>
      </c>
      <c r="AA295" s="101">
        <v>0</v>
      </c>
      <c r="AB295" s="101">
        <v>0</v>
      </c>
      <c r="AC295" s="101">
        <v>0</v>
      </c>
      <c r="AD295" s="101">
        <v>0</v>
      </c>
      <c r="AE295" s="86">
        <v>0</v>
      </c>
      <c r="AF295" s="101">
        <v>0</v>
      </c>
      <c r="AG295" s="101">
        <v>0</v>
      </c>
      <c r="AH295" s="101">
        <v>0</v>
      </c>
      <c r="AI295" s="101">
        <v>0</v>
      </c>
      <c r="AJ295" s="101"/>
      <c r="AK295" s="101"/>
      <c r="AL295" s="101"/>
      <c r="AM295" s="101">
        <v>0</v>
      </c>
      <c r="AN295" s="86">
        <v>0</v>
      </c>
      <c r="AO295" s="101">
        <v>0</v>
      </c>
      <c r="AP295" s="101">
        <v>0</v>
      </c>
      <c r="AQ295" s="101">
        <v>0</v>
      </c>
      <c r="AR295" s="101">
        <v>0</v>
      </c>
      <c r="AS295" s="101"/>
      <c r="AT295" s="101"/>
      <c r="AU295" s="101"/>
      <c r="AV295" s="101">
        <v>0</v>
      </c>
      <c r="AW295" s="86">
        <v>0</v>
      </c>
      <c r="AX295" s="101">
        <v>0</v>
      </c>
      <c r="AY295" s="101">
        <v>0</v>
      </c>
      <c r="AZ295" s="101">
        <v>0</v>
      </c>
      <c r="BA295" s="101">
        <v>0</v>
      </c>
      <c r="BB295" s="101"/>
      <c r="BC295" s="101"/>
      <c r="BD295" s="101"/>
      <c r="BE295" s="101">
        <v>0</v>
      </c>
      <c r="BF295" s="86">
        <v>0</v>
      </c>
      <c r="BG295" s="101">
        <v>0</v>
      </c>
      <c r="BH295" s="101">
        <v>0</v>
      </c>
      <c r="BI295" s="101">
        <v>0</v>
      </c>
      <c r="BJ295" s="101">
        <v>0</v>
      </c>
      <c r="BK295" s="101"/>
      <c r="BL295" s="101"/>
      <c r="BM295" s="101"/>
      <c r="BN295" s="101">
        <v>0</v>
      </c>
      <c r="BO295" s="86">
        <v>0</v>
      </c>
      <c r="BP295" s="101">
        <v>0</v>
      </c>
      <c r="BQ295" s="101">
        <v>0</v>
      </c>
      <c r="BR295" s="101">
        <v>0</v>
      </c>
      <c r="BS295" s="101"/>
      <c r="BT295" s="101"/>
      <c r="BU295" s="101"/>
      <c r="BV295" s="101">
        <v>0</v>
      </c>
      <c r="BW295" s="101">
        <v>0</v>
      </c>
      <c r="BX295" s="101">
        <v>0</v>
      </c>
    </row>
    <row r="296" spans="1:76" x14ac:dyDescent="0.35">
      <c r="A296" t="s">
        <v>101</v>
      </c>
      <c r="B296" s="13" t="s">
        <v>241</v>
      </c>
      <c r="C296" s="13" t="s">
        <v>103</v>
      </c>
      <c r="D296" s="13" t="s">
        <v>234</v>
      </c>
      <c r="W296" s="101">
        <v>0</v>
      </c>
      <c r="X296" s="101">
        <v>0</v>
      </c>
      <c r="Y296" s="101">
        <v>0</v>
      </c>
      <c r="Z296" s="101">
        <v>0</v>
      </c>
      <c r="AA296" s="101">
        <v>0</v>
      </c>
      <c r="AB296" s="101">
        <v>0</v>
      </c>
      <c r="AC296" s="101">
        <v>0</v>
      </c>
      <c r="AD296" s="101">
        <v>0</v>
      </c>
      <c r="AE296" s="86">
        <v>0</v>
      </c>
      <c r="AF296" s="101"/>
      <c r="AG296" s="101"/>
      <c r="AH296" s="101"/>
      <c r="AI296" s="101"/>
      <c r="AJ296" s="101"/>
      <c r="AK296" s="101"/>
      <c r="AL296" s="101"/>
      <c r="AM296" s="101"/>
      <c r="AN296" s="86"/>
      <c r="AO296" s="101"/>
      <c r="AP296" s="101"/>
      <c r="AQ296" s="101"/>
      <c r="AR296" s="101"/>
      <c r="AS296" s="101"/>
      <c r="AT296" s="101"/>
      <c r="AU296" s="101"/>
      <c r="AV296" s="101"/>
      <c r="AW296" s="86"/>
      <c r="AX296" s="101"/>
      <c r="AY296" s="101"/>
      <c r="AZ296" s="101"/>
      <c r="BA296" s="101"/>
      <c r="BB296" s="101"/>
      <c r="BC296" s="101"/>
      <c r="BD296" s="101"/>
      <c r="BE296" s="101"/>
      <c r="BF296" s="86"/>
      <c r="BG296" s="101"/>
      <c r="BH296" s="101"/>
      <c r="BI296" s="101"/>
      <c r="BJ296" s="101"/>
      <c r="BK296" s="101"/>
      <c r="BL296" s="101"/>
      <c r="BM296" s="101"/>
      <c r="BN296" s="101"/>
      <c r="BO296" s="86"/>
      <c r="BP296" s="101"/>
      <c r="BQ296" s="101"/>
      <c r="BR296" s="101"/>
      <c r="BS296" s="101"/>
      <c r="BT296" s="101"/>
      <c r="BU296" s="101"/>
      <c r="BV296" s="101"/>
      <c r="BW296" s="101"/>
      <c r="BX296" s="101"/>
    </row>
    <row r="297" spans="1:76" x14ac:dyDescent="0.35">
      <c r="A297" t="s">
        <v>104</v>
      </c>
      <c r="B297" s="13" t="s">
        <v>241</v>
      </c>
      <c r="C297" s="13" t="s">
        <v>103</v>
      </c>
      <c r="D297" s="13" t="s">
        <v>235</v>
      </c>
      <c r="W297" s="101">
        <v>0</v>
      </c>
      <c r="X297" s="101">
        <v>0</v>
      </c>
      <c r="Y297" s="101">
        <v>0</v>
      </c>
      <c r="Z297" s="101">
        <v>0</v>
      </c>
      <c r="AA297" s="101">
        <v>0</v>
      </c>
      <c r="AB297" s="101">
        <v>0</v>
      </c>
      <c r="AC297" s="101">
        <v>0</v>
      </c>
      <c r="AD297" s="101">
        <v>0</v>
      </c>
      <c r="AE297" s="86">
        <v>0</v>
      </c>
      <c r="AF297" s="101"/>
      <c r="AG297" s="101"/>
      <c r="AH297" s="101"/>
      <c r="AI297" s="101"/>
      <c r="AJ297" s="101"/>
      <c r="AK297" s="101"/>
      <c r="AL297" s="101"/>
      <c r="AM297" s="101"/>
      <c r="AN297" s="86"/>
      <c r="AO297" s="101"/>
      <c r="AP297" s="101"/>
      <c r="AQ297" s="101"/>
      <c r="AR297" s="101"/>
      <c r="AS297" s="101"/>
      <c r="AT297" s="101"/>
      <c r="AU297" s="101"/>
      <c r="AV297" s="101"/>
      <c r="AW297" s="86"/>
      <c r="AX297" s="101"/>
      <c r="AY297" s="101"/>
      <c r="AZ297" s="101"/>
      <c r="BA297" s="101"/>
      <c r="BB297" s="101"/>
      <c r="BC297" s="101"/>
      <c r="BD297" s="101"/>
      <c r="BE297" s="101"/>
      <c r="BF297" s="86"/>
      <c r="BG297" s="101"/>
      <c r="BH297" s="101"/>
      <c r="BI297" s="101"/>
      <c r="BJ297" s="101"/>
      <c r="BK297" s="101"/>
      <c r="BL297" s="101"/>
      <c r="BM297" s="101"/>
      <c r="BN297" s="101"/>
      <c r="BO297" s="86"/>
      <c r="BP297" s="101"/>
      <c r="BQ297" s="101"/>
      <c r="BR297" s="101"/>
      <c r="BS297" s="101"/>
      <c r="BT297" s="101"/>
      <c r="BU297" s="101"/>
      <c r="BV297" s="101"/>
      <c r="BW297" s="101"/>
      <c r="BX297" s="101"/>
    </row>
    <row r="298" spans="1:76" ht="15" thickBot="1" x14ac:dyDescent="0.4">
      <c r="A298" t="s">
        <v>106</v>
      </c>
      <c r="B298" s="13" t="s">
        <v>241</v>
      </c>
      <c r="C298" s="13" t="s">
        <v>103</v>
      </c>
      <c r="D298" s="13" t="s">
        <v>236</v>
      </c>
      <c r="W298" s="87">
        <v>0</v>
      </c>
      <c r="X298" s="87">
        <v>0</v>
      </c>
      <c r="Y298" s="87">
        <v>0</v>
      </c>
      <c r="Z298" s="87">
        <v>0</v>
      </c>
      <c r="AA298" s="87">
        <v>0</v>
      </c>
      <c r="AB298" s="87">
        <v>0</v>
      </c>
      <c r="AC298" s="87">
        <v>0</v>
      </c>
      <c r="AD298" s="87">
        <v>0</v>
      </c>
      <c r="AE298" s="89">
        <v>0</v>
      </c>
      <c r="AF298" s="87">
        <v>0</v>
      </c>
      <c r="AG298" s="87">
        <v>0</v>
      </c>
      <c r="AH298" s="87">
        <v>0</v>
      </c>
      <c r="AI298" s="87">
        <v>0</v>
      </c>
      <c r="AJ298" s="87"/>
      <c r="AK298" s="87"/>
      <c r="AL298" s="87"/>
      <c r="AM298" s="87">
        <v>0</v>
      </c>
      <c r="AN298" s="89">
        <v>0</v>
      </c>
      <c r="AO298" s="87">
        <v>0</v>
      </c>
      <c r="AP298" s="87">
        <v>0</v>
      </c>
      <c r="AQ298" s="87">
        <v>0</v>
      </c>
      <c r="AR298" s="87">
        <v>0</v>
      </c>
      <c r="AS298" s="87"/>
      <c r="AT298" s="87"/>
      <c r="AU298" s="87"/>
      <c r="AV298" s="87">
        <v>0</v>
      </c>
      <c r="AW298" s="89">
        <v>0</v>
      </c>
      <c r="AX298" s="87">
        <v>0</v>
      </c>
      <c r="AY298" s="87">
        <v>0</v>
      </c>
      <c r="AZ298" s="87">
        <v>0</v>
      </c>
      <c r="BA298" s="87">
        <v>0</v>
      </c>
      <c r="BB298" s="87"/>
      <c r="BC298" s="87"/>
      <c r="BD298" s="87"/>
      <c r="BE298" s="87">
        <v>0</v>
      </c>
      <c r="BF298" s="89">
        <v>0</v>
      </c>
      <c r="BG298" s="87">
        <v>0</v>
      </c>
      <c r="BH298" s="87">
        <v>0</v>
      </c>
      <c r="BI298" s="87">
        <v>0</v>
      </c>
      <c r="BJ298" s="87">
        <v>0</v>
      </c>
      <c r="BK298" s="87"/>
      <c r="BL298" s="87"/>
      <c r="BM298" s="87"/>
      <c r="BN298" s="87">
        <v>0</v>
      </c>
      <c r="BO298" s="89">
        <v>0</v>
      </c>
      <c r="BP298" s="87">
        <v>0</v>
      </c>
      <c r="BQ298" s="87">
        <v>0</v>
      </c>
      <c r="BR298" s="87">
        <v>0</v>
      </c>
      <c r="BS298" s="87"/>
      <c r="BT298" s="87"/>
      <c r="BU298" s="87"/>
      <c r="BV298" s="87">
        <v>0</v>
      </c>
      <c r="BW298" s="87">
        <v>0</v>
      </c>
      <c r="BX298" s="87">
        <v>0</v>
      </c>
    </row>
    <row r="299" spans="1:76" x14ac:dyDescent="0.35">
      <c r="A299" t="s">
        <v>88</v>
      </c>
      <c r="B299" s="13" t="s">
        <v>29</v>
      </c>
      <c r="C299" s="13" t="s">
        <v>56</v>
      </c>
      <c r="D299" s="13" t="s">
        <v>45</v>
      </c>
      <c r="W299" s="102" cm="1">
        <f t="array" ref="W299:AE299">MMULT(W148:AE148,MINVERSE(_xlfn.MUNIT(9)*CF22:CF30))</f>
        <v>0</v>
      </c>
      <c r="X299" s="369">
        <v>-5.2256119372476872E-2</v>
      </c>
      <c r="Y299" s="208">
        <v>0.04</v>
      </c>
      <c r="Z299" s="208">
        <v>0.04</v>
      </c>
      <c r="AA299" s="369">
        <v>-0.26400000000000001</v>
      </c>
      <c r="AB299" s="369">
        <v>-0.8528</v>
      </c>
      <c r="AC299" s="369">
        <v>-0.8</v>
      </c>
      <c r="AD299" s="102">
        <v>0</v>
      </c>
      <c r="AE299" s="90">
        <v>0</v>
      </c>
      <c r="AF299" s="102">
        <v>0</v>
      </c>
      <c r="AG299" s="102">
        <v>0</v>
      </c>
      <c r="AH299" s="102">
        <v>0</v>
      </c>
      <c r="AI299" s="102">
        <v>0</v>
      </c>
      <c r="AJ299" s="102"/>
      <c r="AK299" s="102"/>
      <c r="AL299" s="102"/>
      <c r="AM299" s="102">
        <v>0</v>
      </c>
      <c r="AN299" s="90">
        <v>0</v>
      </c>
      <c r="AO299" s="102">
        <v>0</v>
      </c>
      <c r="AP299" s="102">
        <v>0</v>
      </c>
      <c r="AQ299" s="102">
        <v>0</v>
      </c>
      <c r="AR299" s="102">
        <v>0</v>
      </c>
      <c r="AS299" s="102"/>
      <c r="AT299" s="102"/>
      <c r="AU299" s="102"/>
      <c r="AV299" s="102">
        <v>0</v>
      </c>
      <c r="AW299" s="90">
        <v>0</v>
      </c>
      <c r="AX299" s="102">
        <v>0</v>
      </c>
      <c r="AY299" s="102">
        <v>0</v>
      </c>
      <c r="AZ299" s="102">
        <v>0</v>
      </c>
      <c r="BA299" s="102">
        <v>0</v>
      </c>
      <c r="BB299" s="102"/>
      <c r="BC299" s="102"/>
      <c r="BD299" s="102"/>
      <c r="BE299" s="102">
        <v>0</v>
      </c>
      <c r="BF299" s="90">
        <v>0</v>
      </c>
      <c r="BG299" s="102">
        <v>0</v>
      </c>
      <c r="BH299" s="102">
        <v>0</v>
      </c>
      <c r="BI299" s="102">
        <v>0</v>
      </c>
      <c r="BJ299" s="102">
        <v>0</v>
      </c>
      <c r="BK299" s="102"/>
      <c r="BL299" s="102"/>
      <c r="BM299" s="102"/>
      <c r="BN299" s="102">
        <v>0</v>
      </c>
      <c r="BO299" s="90">
        <v>0</v>
      </c>
      <c r="BP299" s="102">
        <v>0</v>
      </c>
      <c r="BQ299" s="102">
        <v>0</v>
      </c>
      <c r="BR299" s="102">
        <v>0</v>
      </c>
      <c r="BS299" s="102"/>
      <c r="BT299" s="102"/>
      <c r="BU299" s="102"/>
      <c r="BV299" s="102">
        <v>0</v>
      </c>
      <c r="BW299" s="102">
        <v>0</v>
      </c>
      <c r="BX299" s="102"/>
    </row>
  </sheetData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1CC-FDCB-475B-A396-75DBCAC88B82}">
  <dimension ref="B2:Y170"/>
  <sheetViews>
    <sheetView showGridLines="0" zoomScale="70" zoomScaleNormal="70" workbookViewId="0">
      <pane xSplit="6" ySplit="4" topLeftCell="G5" activePane="bottomRight" state="frozen"/>
      <selection pane="topRight" activeCell="G1" sqref="G1"/>
      <selection pane="bottomLeft" activeCell="A7" sqref="A7"/>
      <selection pane="bottomRight" activeCell="D12" sqref="D12"/>
    </sheetView>
  </sheetViews>
  <sheetFormatPr defaultRowHeight="14.5" x14ac:dyDescent="0.35"/>
  <cols>
    <col min="3" max="3" width="23.54296875" bestFit="1" customWidth="1"/>
    <col min="4" max="4" width="35.7265625" style="12" customWidth="1"/>
    <col min="5" max="5" width="34.1796875" style="12" bestFit="1" customWidth="1"/>
    <col min="6" max="6" width="7.81640625" style="47" customWidth="1"/>
    <col min="7" max="7" width="12" style="13" customWidth="1"/>
    <col min="8" max="10" width="12.453125" style="13" bestFit="1" customWidth="1"/>
    <col min="11" max="11" width="12" style="13" customWidth="1"/>
    <col min="12" max="12" width="12.453125" style="47" bestFit="1" customWidth="1"/>
    <col min="13" max="13" width="8.453125" style="13" customWidth="1"/>
    <col min="14" max="16" width="8.7265625" style="13"/>
    <col min="17" max="17" width="11.81640625" style="13" bestFit="1" customWidth="1"/>
    <col min="18" max="18" width="8.7265625" style="13"/>
    <col min="19" max="19" width="23.54296875" style="13" bestFit="1" customWidth="1"/>
    <col min="20" max="20" width="69.1796875" style="13" bestFit="1" customWidth="1"/>
    <col min="21" max="21" width="8.7265625" style="13"/>
    <col min="22" max="22" width="11.81640625" style="13" bestFit="1" customWidth="1"/>
    <col min="23" max="25" width="8.7265625" style="13"/>
  </cols>
  <sheetData>
    <row r="2" spans="2:25" x14ac:dyDescent="0.35">
      <c r="F2" s="266" t="s">
        <v>28</v>
      </c>
      <c r="G2" s="13" t="s">
        <v>29</v>
      </c>
      <c r="H2" s="13" t="s">
        <v>237</v>
      </c>
      <c r="I2" s="13" t="s">
        <v>238</v>
      </c>
      <c r="J2" s="13" t="s">
        <v>239</v>
      </c>
      <c r="K2" s="13" t="s">
        <v>240</v>
      </c>
      <c r="L2" s="47" t="s">
        <v>241</v>
      </c>
    </row>
    <row r="3" spans="2:25" x14ac:dyDescent="0.35">
      <c r="D3"/>
      <c r="G3"/>
      <c r="H3"/>
      <c r="I3"/>
      <c r="J3"/>
      <c r="K3"/>
      <c r="L3" s="48"/>
    </row>
    <row r="4" spans="2:25" s="28" customFormat="1" x14ac:dyDescent="0.35">
      <c r="C4" s="153" t="s">
        <v>245</v>
      </c>
      <c r="D4" s="153" t="s">
        <v>246</v>
      </c>
      <c r="E4" s="153" t="s">
        <v>247</v>
      </c>
      <c r="F4" s="151" t="s">
        <v>195</v>
      </c>
      <c r="G4" s="152"/>
      <c r="H4" s="152"/>
      <c r="I4" s="152"/>
      <c r="J4" s="152"/>
      <c r="K4" s="152"/>
      <c r="L4" s="151"/>
      <c r="M4" s="28" t="s">
        <v>248</v>
      </c>
    </row>
    <row r="5" spans="2:25" s="167" customFormat="1" x14ac:dyDescent="0.35">
      <c r="C5" s="168" t="s">
        <v>249</v>
      </c>
      <c r="D5" s="168" t="s">
        <v>250</v>
      </c>
      <c r="E5" s="168" t="s">
        <v>251</v>
      </c>
      <c r="F5" s="267" t="s">
        <v>46</v>
      </c>
      <c r="G5" s="313">
        <f>32.2/2476.9</f>
        <v>1.3000121119140862E-2</v>
      </c>
      <c r="H5" s="313">
        <f>266/2476.9</f>
        <v>0.10739230489725059</v>
      </c>
      <c r="I5" s="313">
        <f>48.7/2476.9</f>
        <v>1.9661673866526706E-2</v>
      </c>
      <c r="J5" s="313">
        <f>249.3/2476.9</f>
        <v>0.10065000605595704</v>
      </c>
      <c r="K5" s="313">
        <f>229.3/2476.9</f>
        <v>9.2575396665186327E-2</v>
      </c>
      <c r="L5" s="314">
        <f>1-SUM(G5:K5)</f>
        <v>0.66672049739593842</v>
      </c>
      <c r="M5" s="169">
        <f t="shared" ref="M5:M12" si="0">SUM(G5:L5)</f>
        <v>1</v>
      </c>
      <c r="N5" s="170"/>
      <c r="P5" s="170"/>
      <c r="Q5" s="170"/>
      <c r="R5" s="170"/>
      <c r="S5" s="170"/>
      <c r="T5" s="170"/>
      <c r="U5" s="170"/>
      <c r="V5" s="170"/>
      <c r="W5" s="170"/>
      <c r="X5" s="170"/>
      <c r="Y5" s="170"/>
    </row>
    <row r="6" spans="2:25" s="175" customFormat="1" x14ac:dyDescent="0.35">
      <c r="B6" s="171" t="s">
        <v>252</v>
      </c>
      <c r="C6" s="172" t="s">
        <v>253</v>
      </c>
      <c r="D6" s="172" t="s">
        <v>254</v>
      </c>
      <c r="E6" s="172" t="s">
        <v>255</v>
      </c>
      <c r="F6" s="268" t="s">
        <v>46</v>
      </c>
      <c r="G6" s="173">
        <v>1</v>
      </c>
      <c r="H6" s="173">
        <v>0</v>
      </c>
      <c r="I6" s="173">
        <v>0</v>
      </c>
      <c r="J6" s="173">
        <v>0</v>
      </c>
      <c r="K6" s="173">
        <v>0</v>
      </c>
      <c r="L6" s="288">
        <v>0</v>
      </c>
      <c r="M6" s="173">
        <f t="shared" si="0"/>
        <v>1</v>
      </c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</row>
    <row r="7" spans="2:25" s="199" customFormat="1" x14ac:dyDescent="0.35">
      <c r="B7" s="195" t="s">
        <v>256</v>
      </c>
      <c r="C7" s="196" t="s">
        <v>114</v>
      </c>
      <c r="D7" s="196" t="s">
        <v>257</v>
      </c>
      <c r="E7" s="196" t="s">
        <v>258</v>
      </c>
      <c r="F7" s="269" t="s">
        <v>46</v>
      </c>
      <c r="G7" s="197" cm="1">
        <f t="array" ref="G7:L7">G107:L107</f>
        <v>0.6468220353759514</v>
      </c>
      <c r="H7" s="197">
        <v>0.16852945407583597</v>
      </c>
      <c r="I7" s="197">
        <v>7.0158143579935094E-3</v>
      </c>
      <c r="J7" s="197">
        <v>2.257631413321563E-2</v>
      </c>
      <c r="K7" s="197">
        <v>3.0989635696361869E-2</v>
      </c>
      <c r="L7" s="298">
        <v>0.12350803143620799</v>
      </c>
      <c r="M7" s="197">
        <f t="shared" si="0"/>
        <v>0.99944128507556629</v>
      </c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</row>
    <row r="8" spans="2:25" s="176" customFormat="1" x14ac:dyDescent="0.35">
      <c r="C8" s="177" t="s">
        <v>259</v>
      </c>
      <c r="D8" s="177" t="s">
        <v>260</v>
      </c>
      <c r="E8" s="177" t="s">
        <v>261</v>
      </c>
      <c r="F8" s="270" t="s">
        <v>46</v>
      </c>
      <c r="G8" s="309" cm="1">
        <f t="array" ref="G8:L8">'[2]Imports by region'!$D$5:$I$5</f>
        <v>0.2086558149685778</v>
      </c>
      <c r="H8" s="309">
        <v>0.17326594323804065</v>
      </c>
      <c r="I8" s="309">
        <v>0.20862148436288905</v>
      </c>
      <c r="J8" s="309">
        <v>0.20083517722289576</v>
      </c>
      <c r="K8" s="309">
        <v>0</v>
      </c>
      <c r="L8" s="310">
        <v>0.20862158020759675</v>
      </c>
      <c r="M8" s="178">
        <f t="shared" si="0"/>
        <v>1</v>
      </c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</row>
    <row r="9" spans="2:25" s="184" customFormat="1" x14ac:dyDescent="0.35">
      <c r="B9" s="180"/>
      <c r="C9" s="181" t="s">
        <v>262</v>
      </c>
      <c r="D9" s="181" t="s">
        <v>263</v>
      </c>
      <c r="E9" s="181" t="s">
        <v>264</v>
      </c>
      <c r="F9" s="271" t="s">
        <v>46</v>
      </c>
      <c r="G9" s="315">
        <f>1131/48490</f>
        <v>2.3324396782841823E-2</v>
      </c>
      <c r="H9" s="315">
        <f>25617/48490</f>
        <v>0.52829449371004333</v>
      </c>
      <c r="I9" s="315">
        <f>3353/48490</f>
        <v>6.9148277995462984E-2</v>
      </c>
      <c r="J9" s="315">
        <f>4172/48490</f>
        <v>8.6038358424417399E-2</v>
      </c>
      <c r="K9" s="315">
        <f>2598/48490</f>
        <v>5.3578057331408538E-2</v>
      </c>
      <c r="L9" s="316">
        <f>(48490-1131-25617-3353-4172-2598)/48490</f>
        <v>0.23961641575582596</v>
      </c>
      <c r="M9" s="182">
        <f t="shared" si="0"/>
        <v>1</v>
      </c>
      <c r="N9" s="183"/>
      <c r="P9" s="183"/>
      <c r="Q9" s="183"/>
      <c r="R9" s="183"/>
      <c r="S9" s="183"/>
      <c r="T9" s="183"/>
      <c r="U9" s="183"/>
      <c r="V9" s="183"/>
      <c r="W9" s="183"/>
      <c r="X9" s="183"/>
      <c r="Y9" s="183"/>
    </row>
    <row r="10" spans="2:25" s="190" customFormat="1" x14ac:dyDescent="0.35">
      <c r="B10" s="194" t="s">
        <v>265</v>
      </c>
      <c r="C10" s="190" t="s">
        <v>119</v>
      </c>
      <c r="D10" s="191" t="s">
        <v>257</v>
      </c>
      <c r="E10" s="191" t="s">
        <v>266</v>
      </c>
      <c r="F10" s="272" t="s">
        <v>46</v>
      </c>
      <c r="G10" s="192" cm="1">
        <f t="array" ref="G10:L10">G168:L168</f>
        <v>0.82194004052291281</v>
      </c>
      <c r="H10" s="307">
        <v>9.6362342633008104E-3</v>
      </c>
      <c r="I10" s="307">
        <v>2.1710290038124094E-2</v>
      </c>
      <c r="J10" s="307">
        <v>1.8830706020920099E-3</v>
      </c>
      <c r="K10" s="307">
        <v>1.6682939280405009E-4</v>
      </c>
      <c r="L10" s="308">
        <v>0.14453655595700282</v>
      </c>
      <c r="M10" s="192">
        <f t="shared" si="0"/>
        <v>0.99987302077623674</v>
      </c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</row>
    <row r="11" spans="2:25" s="166" customFormat="1" x14ac:dyDescent="0.35">
      <c r="B11" s="161"/>
      <c r="C11" s="162" t="s">
        <v>267</v>
      </c>
      <c r="D11" s="163" t="s">
        <v>268</v>
      </c>
      <c r="E11" s="162" t="s">
        <v>269</v>
      </c>
      <c r="F11" s="273" t="s">
        <v>46</v>
      </c>
      <c r="G11" s="164">
        <f>411/40438</f>
        <v>1.0163707403926999E-2</v>
      </c>
      <c r="H11" s="164">
        <f>2218/40438</f>
        <v>5.4849399080073198E-2</v>
      </c>
      <c r="I11" s="164">
        <f>9786/40438</f>
        <v>0.24200009891686039</v>
      </c>
      <c r="J11" s="164">
        <f>298/40438</f>
        <v>7.3693060982244424E-3</v>
      </c>
      <c r="K11" s="164">
        <f>6184/40438</f>
        <v>0.15292546614570454</v>
      </c>
      <c r="L11" s="311">
        <f>(40438-2218-298-9786-6184-411)/40438</f>
        <v>0.5326920223552104</v>
      </c>
      <c r="M11" s="164">
        <f t="shared" si="0"/>
        <v>1</v>
      </c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</row>
    <row r="12" spans="2:25" s="205" customFormat="1" x14ac:dyDescent="0.35">
      <c r="B12" s="200"/>
      <c r="C12" s="201" t="s">
        <v>123</v>
      </c>
      <c r="D12" s="202" t="s">
        <v>260</v>
      </c>
      <c r="E12" s="201" t="s">
        <v>255</v>
      </c>
      <c r="F12" s="274" t="s">
        <v>46</v>
      </c>
      <c r="G12" s="203" cm="1">
        <f t="array" ref="G12:L12">TRANSPOSE('[3]Gross exports world'!$L$7:$L$12)</f>
        <v>0</v>
      </c>
      <c r="H12" s="203">
        <v>5.0918430334824016E-2</v>
      </c>
      <c r="I12" s="203">
        <v>0.15146639903364834</v>
      </c>
      <c r="J12" s="203">
        <v>1.4481034853174354E-2</v>
      </c>
      <c r="K12" s="203">
        <v>0</v>
      </c>
      <c r="L12" s="312">
        <v>0.78313413577835322</v>
      </c>
      <c r="M12" s="203">
        <f t="shared" si="0"/>
        <v>1</v>
      </c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</row>
    <row r="13" spans="2:25" s="265" customFormat="1" x14ac:dyDescent="0.35">
      <c r="B13" s="260" t="s">
        <v>270</v>
      </c>
      <c r="C13" s="261" t="s">
        <v>101</v>
      </c>
      <c r="D13" s="261" t="s">
        <v>263</v>
      </c>
      <c r="E13" s="262" t="s">
        <v>271</v>
      </c>
      <c r="F13" s="375" t="s">
        <v>46</v>
      </c>
      <c r="G13" s="284" cm="1">
        <f t="array" ref="G13:G15">G26:G28</f>
        <v>0.41224179051140819</v>
      </c>
      <c r="H13" s="284">
        <v>0</v>
      </c>
      <c r="I13" s="284">
        <v>0</v>
      </c>
      <c r="J13" s="284">
        <v>0</v>
      </c>
      <c r="K13" s="284">
        <v>0</v>
      </c>
      <c r="L13" s="285">
        <v>0</v>
      </c>
      <c r="M13" s="263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</row>
    <row r="14" spans="2:25" s="265" customFormat="1" x14ac:dyDescent="0.35">
      <c r="B14" s="260"/>
      <c r="C14" s="261" t="s">
        <v>104</v>
      </c>
      <c r="D14" s="261" t="s">
        <v>263</v>
      </c>
      <c r="E14" s="262" t="s">
        <v>271</v>
      </c>
      <c r="F14" s="375" t="s">
        <v>46</v>
      </c>
      <c r="G14" s="284">
        <v>0.23639132089836318</v>
      </c>
      <c r="H14" s="284">
        <v>0</v>
      </c>
      <c r="I14" s="284">
        <v>0</v>
      </c>
      <c r="J14" s="284">
        <v>0</v>
      </c>
      <c r="K14" s="284">
        <v>0</v>
      </c>
      <c r="L14" s="285">
        <v>0</v>
      </c>
      <c r="M14" s="263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</row>
    <row r="15" spans="2:25" s="185" customFormat="1" x14ac:dyDescent="0.35">
      <c r="B15" s="245"/>
      <c r="C15" s="186" t="s">
        <v>106</v>
      </c>
      <c r="D15" s="186" t="s">
        <v>263</v>
      </c>
      <c r="E15" s="187" t="s">
        <v>271</v>
      </c>
      <c r="F15" s="275" t="s">
        <v>46</v>
      </c>
      <c r="G15" s="286">
        <v>0.35136688859022863</v>
      </c>
      <c r="H15" s="286">
        <v>0</v>
      </c>
      <c r="I15" s="286">
        <v>0</v>
      </c>
      <c r="J15" s="286">
        <v>0</v>
      </c>
      <c r="K15" s="286">
        <v>0</v>
      </c>
      <c r="L15" s="287">
        <v>0</v>
      </c>
      <c r="M15" s="188">
        <f>SUM(G13:L15)</f>
        <v>1</v>
      </c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</row>
    <row r="17" spans="2:20" x14ac:dyDescent="0.35">
      <c r="B17" s="150"/>
      <c r="C17" s="146"/>
    </row>
    <row r="18" spans="2:20" x14ac:dyDescent="0.35">
      <c r="B18" s="145" t="s">
        <v>270</v>
      </c>
      <c r="C18" s="144" t="s">
        <v>272</v>
      </c>
    </row>
    <row r="20" spans="2:20" x14ac:dyDescent="0.35">
      <c r="C20" t="s">
        <v>273</v>
      </c>
      <c r="L20" s="149"/>
      <c r="M20" s="33"/>
      <c r="T20" s="56"/>
    </row>
    <row r="21" spans="2:20" x14ac:dyDescent="0.35">
      <c r="C21" t="s">
        <v>274</v>
      </c>
      <c r="D21" s="12" t="s">
        <v>263</v>
      </c>
      <c r="E21" s="12" t="s">
        <v>275</v>
      </c>
      <c r="F21" s="47" t="s">
        <v>276</v>
      </c>
      <c r="G21" s="33">
        <f>556.16+461.21+43.93</f>
        <v>1061.3</v>
      </c>
      <c r="H21" s="33"/>
      <c r="I21" s="33"/>
      <c r="J21" s="33"/>
      <c r="K21" s="33"/>
      <c r="L21" s="148"/>
      <c r="M21" s="33"/>
      <c r="T21" s="56"/>
    </row>
    <row r="22" spans="2:20" x14ac:dyDescent="0.35">
      <c r="C22" s="147" t="s">
        <v>277</v>
      </c>
      <c r="D22" s="12" t="s">
        <v>263</v>
      </c>
      <c r="E22" s="12" t="s">
        <v>275</v>
      </c>
      <c r="F22" s="47" t="s">
        <v>276</v>
      </c>
      <c r="G22" s="33">
        <v>608.58000000000004</v>
      </c>
      <c r="H22" s="33"/>
      <c r="I22" s="33"/>
      <c r="J22" s="33"/>
      <c r="K22" s="33"/>
      <c r="L22" s="148"/>
      <c r="M22" s="33"/>
    </row>
    <row r="23" spans="2:20" x14ac:dyDescent="0.35">
      <c r="C23" s="147" t="s">
        <v>278</v>
      </c>
      <c r="D23" s="12" t="s">
        <v>263</v>
      </c>
      <c r="E23" s="12" t="s">
        <v>275</v>
      </c>
      <c r="F23" s="47" t="s">
        <v>276</v>
      </c>
      <c r="G23" s="33">
        <f>420.48+276.86+207.24</f>
        <v>904.58</v>
      </c>
      <c r="H23" s="33"/>
      <c r="I23" s="33"/>
      <c r="J23" s="33"/>
      <c r="K23" s="33"/>
      <c r="L23" s="148"/>
      <c r="M23" s="33"/>
      <c r="O23" s="33"/>
    </row>
    <row r="24" spans="2:20" x14ac:dyDescent="0.35">
      <c r="C24" s="147"/>
      <c r="F24" s="47" t="s">
        <v>276</v>
      </c>
      <c r="G24" s="33">
        <f>SUM(G21:G23)</f>
        <v>2574.46</v>
      </c>
      <c r="H24" s="33"/>
      <c r="I24" s="33"/>
      <c r="J24" s="33"/>
      <c r="K24" s="33"/>
      <c r="L24" s="148"/>
      <c r="M24" s="33"/>
      <c r="O24" s="33"/>
    </row>
    <row r="25" spans="2:20" x14ac:dyDescent="0.35">
      <c r="C25" t="s">
        <v>273</v>
      </c>
      <c r="G25" s="33"/>
      <c r="H25" s="33"/>
      <c r="I25" s="33"/>
      <c r="J25" s="33"/>
      <c r="K25" s="33"/>
      <c r="L25" s="148"/>
    </row>
    <row r="26" spans="2:20" x14ac:dyDescent="0.35">
      <c r="C26" t="s">
        <v>274</v>
      </c>
      <c r="D26" s="12" t="s">
        <v>263</v>
      </c>
      <c r="E26" s="12" t="s">
        <v>275</v>
      </c>
      <c r="F26" s="47" t="s">
        <v>46</v>
      </c>
      <c r="G26" s="243">
        <f>G21/$G$24</f>
        <v>0.41224179051140819</v>
      </c>
      <c r="H26" s="243"/>
      <c r="I26" s="243"/>
      <c r="J26" s="243"/>
      <c r="K26" s="243"/>
      <c r="L26" s="244"/>
      <c r="M26" s="33"/>
    </row>
    <row r="27" spans="2:20" x14ac:dyDescent="0.35">
      <c r="C27" s="147" t="s">
        <v>277</v>
      </c>
      <c r="D27" s="12" t="s">
        <v>263</v>
      </c>
      <c r="E27" s="12" t="s">
        <v>275</v>
      </c>
      <c r="F27" s="47" t="s">
        <v>46</v>
      </c>
      <c r="G27" s="243">
        <f t="shared" ref="G27:G28" si="1">G22/$G$24</f>
        <v>0.23639132089836318</v>
      </c>
      <c r="H27" s="243"/>
      <c r="I27" s="243"/>
      <c r="J27" s="243"/>
      <c r="K27" s="243"/>
      <c r="L27" s="244"/>
      <c r="M27" s="33"/>
    </row>
    <row r="28" spans="2:20" x14ac:dyDescent="0.35">
      <c r="C28" s="147" t="s">
        <v>278</v>
      </c>
      <c r="D28" s="12" t="s">
        <v>263</v>
      </c>
      <c r="E28" s="12" t="s">
        <v>275</v>
      </c>
      <c r="F28" s="47" t="s">
        <v>46</v>
      </c>
      <c r="G28" s="243">
        <f t="shared" si="1"/>
        <v>0.35136688859022863</v>
      </c>
      <c r="H28" s="243"/>
      <c r="I28" s="243"/>
      <c r="J28" s="243"/>
      <c r="K28" s="243"/>
      <c r="L28" s="244"/>
      <c r="M28" s="33"/>
    </row>
    <row r="29" spans="2:20" x14ac:dyDescent="0.35">
      <c r="G29" s="160">
        <f>SUM(G26:G28)</f>
        <v>1</v>
      </c>
      <c r="H29" s="33"/>
      <c r="I29" s="33"/>
      <c r="J29" s="33"/>
      <c r="K29" s="33"/>
      <c r="L29" s="148"/>
    </row>
    <row r="31" spans="2:20" x14ac:dyDescent="0.35">
      <c r="B31" s="145" t="s">
        <v>252</v>
      </c>
      <c r="C31" s="144" t="s">
        <v>279</v>
      </c>
    </row>
    <row r="32" spans="2:20" x14ac:dyDescent="0.35">
      <c r="E32" s="12" t="s">
        <v>280</v>
      </c>
      <c r="F32" s="47" t="s">
        <v>281</v>
      </c>
      <c r="G32" s="13">
        <v>43.5</v>
      </c>
      <c r="H32" s="13">
        <v>0</v>
      </c>
      <c r="I32" s="13">
        <v>17.5</v>
      </c>
      <c r="J32" s="13" t="s">
        <v>282</v>
      </c>
      <c r="K32" s="13">
        <v>1</v>
      </c>
      <c r="L32" s="47">
        <f>F40+F42+F44+F46+F48+F50+F52+F54</f>
        <v>36.599999999999994</v>
      </c>
      <c r="M32" s="13">
        <f>SUM(G32:L32)</f>
        <v>98.6</v>
      </c>
    </row>
    <row r="33" spans="4:13" x14ac:dyDescent="0.35">
      <c r="F33" s="47" t="s">
        <v>46</v>
      </c>
      <c r="G33" s="243">
        <f>G32/$M$32</f>
        <v>0.44117647058823534</v>
      </c>
      <c r="H33" s="243">
        <f t="shared" ref="H33:L33" si="2">H32/$M$32</f>
        <v>0</v>
      </c>
      <c r="I33" s="243">
        <f t="shared" si="2"/>
        <v>0.1774847870182556</v>
      </c>
      <c r="J33" s="243">
        <v>0</v>
      </c>
      <c r="K33" s="243">
        <f t="shared" si="2"/>
        <v>1.0141987829614604E-2</v>
      </c>
      <c r="L33" s="244">
        <f t="shared" si="2"/>
        <v>0.3711967545638945</v>
      </c>
    </row>
    <row r="34" spans="4:13" x14ac:dyDescent="0.35">
      <c r="E34" s="12" t="s">
        <v>283</v>
      </c>
      <c r="F34" s="47" t="s">
        <v>281</v>
      </c>
      <c r="G34" s="13">
        <v>31.8</v>
      </c>
      <c r="H34" s="13">
        <v>0.6</v>
      </c>
      <c r="I34" s="13">
        <v>4.7</v>
      </c>
      <c r="J34" s="13" t="s">
        <v>282</v>
      </c>
      <c r="K34" s="13">
        <v>0</v>
      </c>
      <c r="L34" s="47">
        <f>F41+F43+F45+F47+F49+F51+F53+F55</f>
        <v>58.800000000000004</v>
      </c>
      <c r="M34" s="13">
        <f>SUM(G34:L34)</f>
        <v>95.9</v>
      </c>
    </row>
    <row r="35" spans="4:13" x14ac:dyDescent="0.35">
      <c r="F35" s="47" t="s">
        <v>46</v>
      </c>
      <c r="G35" s="243">
        <f>G34/$M$34</f>
        <v>0.33159541188738267</v>
      </c>
      <c r="H35" s="243">
        <f t="shared" ref="H35:L35" si="3">H34/$M$34</f>
        <v>6.2565172054223142E-3</v>
      </c>
      <c r="I35" s="243">
        <f t="shared" si="3"/>
        <v>4.9009384775808129E-2</v>
      </c>
      <c r="J35" s="243">
        <v>0</v>
      </c>
      <c r="K35" s="243">
        <f t="shared" si="3"/>
        <v>0</v>
      </c>
      <c r="L35" s="244">
        <f t="shared" si="3"/>
        <v>0.61313868613138689</v>
      </c>
    </row>
    <row r="36" spans="4:13" x14ac:dyDescent="0.35">
      <c r="E36" s="12" t="s">
        <v>284</v>
      </c>
      <c r="F36" s="47" t="s">
        <v>281</v>
      </c>
      <c r="G36" s="289">
        <f>IF(G32-G34&gt;0,G32-G34,0)</f>
        <v>11.7</v>
      </c>
      <c r="H36" s="13">
        <f t="shared" ref="H36:L36" si="4">IF(H32-H34&gt;0,H32-H34,0)</f>
        <v>0</v>
      </c>
      <c r="I36" s="13">
        <f t="shared" si="4"/>
        <v>12.8</v>
      </c>
      <c r="J36" s="13" t="s">
        <v>282</v>
      </c>
      <c r="K36" s="13">
        <f t="shared" si="4"/>
        <v>1</v>
      </c>
      <c r="L36" s="47">
        <f t="shared" si="4"/>
        <v>0</v>
      </c>
    </row>
    <row r="37" spans="4:13" x14ac:dyDescent="0.35">
      <c r="E37" s="12" t="s">
        <v>285</v>
      </c>
      <c r="F37" s="47" t="s">
        <v>281</v>
      </c>
      <c r="G37" s="13">
        <f>IF(G32-G34&lt;0,-(G32-G34),0)</f>
        <v>0</v>
      </c>
      <c r="H37" s="13">
        <f t="shared" ref="H37:L37" si="5">IF(H32-H34&lt;0,-(H32-H34),0)</f>
        <v>0.6</v>
      </c>
      <c r="I37" s="13">
        <f t="shared" si="5"/>
        <v>0</v>
      </c>
      <c r="J37" s="13" t="s">
        <v>282</v>
      </c>
      <c r="K37" s="13">
        <f t="shared" si="5"/>
        <v>0</v>
      </c>
      <c r="L37" s="47">
        <f t="shared" si="5"/>
        <v>22.20000000000001</v>
      </c>
    </row>
    <row r="39" spans="4:13" x14ac:dyDescent="0.35">
      <c r="G39" s="290" t="s">
        <v>286</v>
      </c>
    </row>
    <row r="40" spans="4:13" x14ac:dyDescent="0.35">
      <c r="D40" s="12" t="s">
        <v>287</v>
      </c>
      <c r="E40" s="12" t="s">
        <v>280</v>
      </c>
      <c r="F40" s="47">
        <v>10.199999999999999</v>
      </c>
    </row>
    <row r="41" spans="4:13" x14ac:dyDescent="0.35">
      <c r="E41" s="12" t="s">
        <v>283</v>
      </c>
      <c r="F41" s="47">
        <v>22.3</v>
      </c>
    </row>
    <row r="42" spans="4:13" x14ac:dyDescent="0.35">
      <c r="D42" s="12" t="s">
        <v>288</v>
      </c>
      <c r="E42" s="12" t="s">
        <v>280</v>
      </c>
      <c r="F42" s="47">
        <f>24-I32</f>
        <v>6.5</v>
      </c>
    </row>
    <row r="43" spans="4:13" x14ac:dyDescent="0.35">
      <c r="E43" s="12" t="s">
        <v>283</v>
      </c>
      <c r="F43" s="47">
        <f>8.8-I34</f>
        <v>4.1000000000000005</v>
      </c>
    </row>
    <row r="44" spans="4:13" x14ac:dyDescent="0.35">
      <c r="D44" s="12" t="s">
        <v>289</v>
      </c>
      <c r="E44" s="12" t="s">
        <v>280</v>
      </c>
      <c r="F44" s="47">
        <v>2.2000000000000002</v>
      </c>
    </row>
    <row r="45" spans="4:13" x14ac:dyDescent="0.35">
      <c r="E45" s="12" t="s">
        <v>283</v>
      </c>
      <c r="F45" s="47">
        <v>0.3</v>
      </c>
    </row>
    <row r="46" spans="4:13" x14ac:dyDescent="0.35">
      <c r="D46" s="12" t="s">
        <v>290</v>
      </c>
      <c r="E46" s="12" t="s">
        <v>280</v>
      </c>
      <c r="F46" s="47">
        <v>1.8</v>
      </c>
    </row>
    <row r="47" spans="4:13" x14ac:dyDescent="0.35">
      <c r="E47" s="12" t="s">
        <v>283</v>
      </c>
      <c r="F47" s="47">
        <v>0.9</v>
      </c>
    </row>
    <row r="48" spans="4:13" x14ac:dyDescent="0.35">
      <c r="D48" s="12" t="s">
        <v>291</v>
      </c>
      <c r="E48" s="12" t="s">
        <v>280</v>
      </c>
      <c r="F48" s="47">
        <v>3.6</v>
      </c>
    </row>
    <row r="49" spans="2:14" x14ac:dyDescent="0.35">
      <c r="E49" s="12" t="s">
        <v>283</v>
      </c>
      <c r="F49" s="47">
        <v>0.6</v>
      </c>
    </row>
    <row r="50" spans="2:14" x14ac:dyDescent="0.35">
      <c r="D50" s="12" t="s">
        <v>292</v>
      </c>
      <c r="E50" s="12" t="s">
        <v>280</v>
      </c>
      <c r="F50" s="47">
        <f>9.5-H32</f>
        <v>9.5</v>
      </c>
    </row>
    <row r="51" spans="2:14" x14ac:dyDescent="0.35">
      <c r="E51" s="12" t="s">
        <v>283</v>
      </c>
      <c r="F51" s="47">
        <f>31-H34</f>
        <v>30.4</v>
      </c>
    </row>
    <row r="52" spans="2:14" x14ac:dyDescent="0.35">
      <c r="D52" s="12" t="s">
        <v>293</v>
      </c>
      <c r="E52" s="12" t="s">
        <v>280</v>
      </c>
      <c r="F52" s="47">
        <f>0.1+0.1+0.2</f>
        <v>0.4</v>
      </c>
    </row>
    <row r="53" spans="2:14" x14ac:dyDescent="0.35">
      <c r="E53" s="12" t="s">
        <v>283</v>
      </c>
      <c r="F53" s="47">
        <v>0</v>
      </c>
    </row>
    <row r="54" spans="2:14" x14ac:dyDescent="0.35">
      <c r="D54" s="12" t="s">
        <v>294</v>
      </c>
      <c r="E54" s="12" t="s">
        <v>280</v>
      </c>
      <c r="F54" s="47">
        <v>2.4</v>
      </c>
    </row>
    <row r="55" spans="2:14" x14ac:dyDescent="0.35">
      <c r="E55" s="12" t="s">
        <v>283</v>
      </c>
      <c r="F55" s="47">
        <v>0.2</v>
      </c>
    </row>
    <row r="58" spans="2:14" x14ac:dyDescent="0.35">
      <c r="B58" s="150" t="s">
        <v>256</v>
      </c>
      <c r="C58" s="144" t="s">
        <v>295</v>
      </c>
    </row>
    <row r="59" spans="2:14" x14ac:dyDescent="0.35">
      <c r="C59" s="146"/>
    </row>
    <row r="60" spans="2:14" x14ac:dyDescent="0.35">
      <c r="D60" s="12" t="s">
        <v>296</v>
      </c>
      <c r="E60" s="12" t="s">
        <v>283</v>
      </c>
      <c r="F60" s="47" t="s">
        <v>46</v>
      </c>
      <c r="G60" s="243">
        <f>(52.4+0.73+0.052+0.05+0.022)/100</f>
        <v>0.5325399999999999</v>
      </c>
      <c r="H60" s="243">
        <v>5.7700000000000001E-2</v>
      </c>
      <c r="I60" s="243">
        <v>6.3E-3</v>
      </c>
      <c r="J60" s="243">
        <v>0</v>
      </c>
      <c r="K60" s="243">
        <v>1.7299999999999999E-2</v>
      </c>
      <c r="L60" s="244">
        <f>(37.3+0.08+1.27)/100</f>
        <v>0.38650000000000001</v>
      </c>
      <c r="M60" s="160">
        <f>SUM(G60:L60)</f>
        <v>1.0003399999999998</v>
      </c>
    </row>
    <row r="61" spans="2:14" x14ac:dyDescent="0.35">
      <c r="F61" s="47" t="s">
        <v>297</v>
      </c>
      <c r="G61" s="293">
        <f>G60*$M61</f>
        <v>148.57865999999999</v>
      </c>
      <c r="H61" s="293">
        <f t="shared" ref="H61:L61" si="6">H60*$M61</f>
        <v>16.098300000000002</v>
      </c>
      <c r="I61" s="293">
        <f t="shared" si="6"/>
        <v>1.7577</v>
      </c>
      <c r="J61" s="293">
        <f t="shared" si="6"/>
        <v>0</v>
      </c>
      <c r="K61" s="293">
        <f t="shared" si="6"/>
        <v>4.8266999999999998</v>
      </c>
      <c r="L61" s="294">
        <f t="shared" si="6"/>
        <v>107.8335</v>
      </c>
      <c r="M61" s="41">
        <v>279</v>
      </c>
      <c r="N61" s="40"/>
    </row>
    <row r="62" spans="2:14" x14ac:dyDescent="0.35">
      <c r="D62" s="12" t="s">
        <v>298</v>
      </c>
      <c r="E62" s="12" t="s">
        <v>283</v>
      </c>
      <c r="F62" s="47" t="s">
        <v>46</v>
      </c>
      <c r="G62" s="243">
        <f>(0.011+7.34+25+0.37+28.7+7.04+5.81+0.49+0.058+0.04+0.019+0.033)/100</f>
        <v>0.74911000000000016</v>
      </c>
      <c r="H62" s="243">
        <v>0.19600000000000001</v>
      </c>
      <c r="I62" s="243">
        <v>0</v>
      </c>
      <c r="J62" s="243">
        <v>1.7999999999999999E-2</v>
      </c>
      <c r="K62" s="243">
        <v>3.4000000000000002E-2</v>
      </c>
      <c r="L62" s="291">
        <v>5.2999999999999998E-4</v>
      </c>
      <c r="M62" s="160">
        <f>SUM(G62:L62)</f>
        <v>0.99764000000000019</v>
      </c>
    </row>
    <row r="63" spans="2:14" x14ac:dyDescent="0.35">
      <c r="F63" s="47" t="s">
        <v>297</v>
      </c>
      <c r="G63" s="293">
        <f>G62*$M63</f>
        <v>185.03017000000003</v>
      </c>
      <c r="H63" s="293">
        <f t="shared" ref="H63" si="7">H62*$M63</f>
        <v>48.411999999999999</v>
      </c>
      <c r="I63" s="293">
        <f t="shared" ref="I63" si="8">I62*$M63</f>
        <v>0</v>
      </c>
      <c r="J63" s="293">
        <f t="shared" ref="J63" si="9">J62*$M63</f>
        <v>4.4459999999999997</v>
      </c>
      <c r="K63" s="293">
        <f t="shared" ref="K63" si="10">K62*$M63</f>
        <v>8.3980000000000015</v>
      </c>
      <c r="L63" s="294">
        <f t="shared" ref="L63" si="11">L62*$M63</f>
        <v>0.13091</v>
      </c>
      <c r="M63" s="41">
        <v>247</v>
      </c>
    </row>
    <row r="64" spans="2:14" x14ac:dyDescent="0.35">
      <c r="D64" s="12" t="s">
        <v>299</v>
      </c>
      <c r="E64" s="12" t="s">
        <v>283</v>
      </c>
      <c r="F64" s="47" t="s">
        <v>46</v>
      </c>
      <c r="G64" s="243">
        <f>(4.99+27.7+0.0044+1.36+17.6+2.55+0.52+1.18+0.55+2.86+0.064+0.031)/100</f>
        <v>0.5940939999999999</v>
      </c>
      <c r="H64" s="243">
        <v>0.20799999999999999</v>
      </c>
      <c r="I64" s="243">
        <v>1.89E-2</v>
      </c>
      <c r="J64" s="243">
        <v>3.2599999999999997E-2</v>
      </c>
      <c r="K64" s="243">
        <v>9.4299999999999995E-2</v>
      </c>
      <c r="L64" s="244">
        <f>(0.38+3.29+1.09+0.11+0.15+0.03+0.011+0.084)/100</f>
        <v>5.1450000000000003E-2</v>
      </c>
      <c r="M64" s="160">
        <f>SUM(G64:L64)</f>
        <v>0.99934399999999979</v>
      </c>
    </row>
    <row r="65" spans="4:13" x14ac:dyDescent="0.35">
      <c r="F65" s="47" t="s">
        <v>297</v>
      </c>
      <c r="G65" s="293">
        <f>G64*$M65</f>
        <v>69.508997999999991</v>
      </c>
      <c r="H65" s="293">
        <f t="shared" ref="H65" si="12">H64*$M65</f>
        <v>24.335999999999999</v>
      </c>
      <c r="I65" s="293">
        <f t="shared" ref="I65" si="13">I64*$M65</f>
        <v>2.2113</v>
      </c>
      <c r="J65" s="293">
        <f t="shared" ref="J65" si="14">J64*$M65</f>
        <v>3.8141999999999996</v>
      </c>
      <c r="K65" s="293">
        <f t="shared" ref="K65" si="15">K64*$M65</f>
        <v>11.033099999999999</v>
      </c>
      <c r="L65" s="294">
        <f t="shared" ref="L65" si="16">L64*$M65</f>
        <v>6.0196500000000004</v>
      </c>
      <c r="M65" s="41">
        <v>117</v>
      </c>
    </row>
    <row r="66" spans="4:13" x14ac:dyDescent="0.35">
      <c r="D66" s="12" t="s">
        <v>300</v>
      </c>
      <c r="E66" s="12" t="s">
        <v>283</v>
      </c>
      <c r="F66" s="47" t="s">
        <v>46</v>
      </c>
      <c r="G66" s="243">
        <f>(24.4+27.6+0.021+0.6+0.042+1.89+1.84+5.65)/100</f>
        <v>0.62043000000000004</v>
      </c>
      <c r="H66" s="243">
        <v>0.14499999999999999</v>
      </c>
      <c r="I66" s="243">
        <v>1.89E-2</v>
      </c>
      <c r="J66" s="243">
        <v>0.13800000000000001</v>
      </c>
      <c r="K66" s="243">
        <v>5.1999999999999998E-3</v>
      </c>
      <c r="L66" s="244">
        <f>(0.031+1.58+0.38+5.21+0.061)/100</f>
        <v>7.2620000000000004E-2</v>
      </c>
      <c r="M66" s="160">
        <f t="shared" ref="M66:M104" si="17">SUM(G66:L66)</f>
        <v>1.0001500000000001</v>
      </c>
    </row>
    <row r="67" spans="4:13" x14ac:dyDescent="0.35">
      <c r="F67" s="47" t="s">
        <v>297</v>
      </c>
      <c r="G67" s="293">
        <f>G66*$M67</f>
        <v>45.415476000000005</v>
      </c>
      <c r="H67" s="293">
        <f t="shared" ref="H67" si="18">H66*$M67</f>
        <v>10.613999999999999</v>
      </c>
      <c r="I67" s="293">
        <f t="shared" ref="I67" si="19">I66*$M67</f>
        <v>1.38348</v>
      </c>
      <c r="J67" s="293">
        <f t="shared" ref="J67" si="20">J66*$M67</f>
        <v>10.101600000000001</v>
      </c>
      <c r="K67" s="293">
        <f t="shared" ref="K67" si="21">K66*$M67</f>
        <v>0.38063999999999998</v>
      </c>
      <c r="L67" s="294">
        <f t="shared" ref="L67" si="22">L66*$M67</f>
        <v>5.3157840000000007</v>
      </c>
      <c r="M67" s="41">
        <v>73.2</v>
      </c>
    </row>
    <row r="68" spans="4:13" x14ac:dyDescent="0.35">
      <c r="D68" s="12" t="s">
        <v>301</v>
      </c>
      <c r="E68" s="12" t="s">
        <v>283</v>
      </c>
      <c r="F68" s="47" t="s">
        <v>46</v>
      </c>
      <c r="G68" s="243">
        <f>(1.4+9.64+0.36+40.1+0.25+2.63+1.59+2.82+0.0065+3.03+2.26+0.024)/100</f>
        <v>0.64110500000000015</v>
      </c>
      <c r="H68" s="243">
        <v>0.14000000000000001</v>
      </c>
      <c r="I68" s="243">
        <v>1.0500000000000001E-2</v>
      </c>
      <c r="J68" s="243">
        <v>2.7799999999999998E-2</v>
      </c>
      <c r="K68" s="243">
        <v>2.9899999999999999E-2</v>
      </c>
      <c r="L68" s="244">
        <f>(0.069+1.54+4.74+7.88+0.056+0.011+0.78)/100</f>
        <v>0.15075999999999998</v>
      </c>
      <c r="M68" s="160">
        <f t="shared" si="17"/>
        <v>1.0000650000000002</v>
      </c>
    </row>
    <row r="69" spans="4:13" x14ac:dyDescent="0.35">
      <c r="F69" s="47" t="s">
        <v>297</v>
      </c>
      <c r="G69" s="293">
        <f>G68*$M69</f>
        <v>43.979803000000004</v>
      </c>
      <c r="H69" s="293">
        <f t="shared" ref="H69" si="23">H68*$M69</f>
        <v>9.604000000000001</v>
      </c>
      <c r="I69" s="293">
        <f t="shared" ref="I69" si="24">I68*$M69</f>
        <v>0.72029999999999994</v>
      </c>
      <c r="J69" s="293">
        <f t="shared" ref="J69" si="25">J68*$M69</f>
        <v>1.9070799999999997</v>
      </c>
      <c r="K69" s="293">
        <f t="shared" ref="K69" si="26">K68*$M69</f>
        <v>2.0511399999999997</v>
      </c>
      <c r="L69" s="294">
        <f t="shared" ref="L69" si="27">L68*$M69</f>
        <v>10.342135999999998</v>
      </c>
      <c r="M69" s="41">
        <v>68.599999999999994</v>
      </c>
    </row>
    <row r="70" spans="4:13" x14ac:dyDescent="0.35">
      <c r="D70" s="12" t="s">
        <v>302</v>
      </c>
      <c r="E70" s="12" t="s">
        <v>283</v>
      </c>
      <c r="F70" s="47" t="s">
        <v>46</v>
      </c>
      <c r="G70" s="243">
        <f>(0.032+1.21+41.1+8.91+0.0024+6.88)/100</f>
        <v>0.58134399999999997</v>
      </c>
      <c r="H70" s="243">
        <v>6.3399999999999998E-2</v>
      </c>
      <c r="I70" s="243">
        <v>0</v>
      </c>
      <c r="J70" s="243">
        <v>4.7000000000000002E-3</v>
      </c>
      <c r="K70" s="243">
        <v>0</v>
      </c>
      <c r="L70" s="244">
        <v>0.35099999999999998</v>
      </c>
      <c r="M70" s="160">
        <f t="shared" si="17"/>
        <v>1.0004439999999999</v>
      </c>
    </row>
    <row r="71" spans="4:13" x14ac:dyDescent="0.35">
      <c r="F71" s="47" t="s">
        <v>297</v>
      </c>
      <c r="G71" s="293">
        <f>G70*$M71</f>
        <v>22.439878400000001</v>
      </c>
      <c r="H71" s="293">
        <f t="shared" ref="H71" si="28">H70*$M71</f>
        <v>2.4472399999999999</v>
      </c>
      <c r="I71" s="293">
        <f t="shared" ref="I71" si="29">I70*$M71</f>
        <v>0</v>
      </c>
      <c r="J71" s="293">
        <f t="shared" ref="J71" si="30">J70*$M71</f>
        <v>0.18142000000000003</v>
      </c>
      <c r="K71" s="293">
        <f t="shared" ref="K71" si="31">K70*$M71</f>
        <v>0</v>
      </c>
      <c r="L71" s="294">
        <f t="shared" ref="L71" si="32">L70*$M71</f>
        <v>13.5486</v>
      </c>
      <c r="M71" s="41">
        <v>38.6</v>
      </c>
    </row>
    <row r="72" spans="4:13" x14ac:dyDescent="0.35">
      <c r="D72" s="12" t="s">
        <v>303</v>
      </c>
      <c r="E72" s="12" t="s">
        <v>283</v>
      </c>
      <c r="F72" s="47" t="s">
        <v>46</v>
      </c>
      <c r="G72" s="243">
        <f>(0.32+6.53+0.045+5.11+0.095+1.78+2.05+0.12+0.075+0.011+0.052+0.04+0.013+0.025+0.016)/100</f>
        <v>0.16281999999999996</v>
      </c>
      <c r="H72" s="243">
        <v>0.81299999999999994</v>
      </c>
      <c r="I72" s="243">
        <v>3.0999999999999999E-3</v>
      </c>
      <c r="J72" s="243">
        <v>0</v>
      </c>
      <c r="K72" s="243">
        <v>0</v>
      </c>
      <c r="L72" s="244">
        <f>(0.014+1.9+0.017+0.16)/100</f>
        <v>2.0909999999999998E-2</v>
      </c>
      <c r="M72" s="160">
        <f t="shared" si="17"/>
        <v>0.99982999999999989</v>
      </c>
    </row>
    <row r="73" spans="4:13" x14ac:dyDescent="0.35">
      <c r="F73" s="47" t="s">
        <v>297</v>
      </c>
      <c r="G73" s="293">
        <f>G72*$M73</f>
        <v>5.5847259999999981</v>
      </c>
      <c r="H73" s="293">
        <f t="shared" ref="H73" si="33">H72*$M73</f>
        <v>27.885899999999996</v>
      </c>
      <c r="I73" s="293">
        <f t="shared" ref="I73" si="34">I72*$M73</f>
        <v>0.10632999999999999</v>
      </c>
      <c r="J73" s="293">
        <f t="shared" ref="J73" si="35">J72*$M73</f>
        <v>0</v>
      </c>
      <c r="K73" s="293">
        <f t="shared" ref="K73" si="36">K72*$M73</f>
        <v>0</v>
      </c>
      <c r="L73" s="294">
        <f t="shared" ref="L73" si="37">L72*$M73</f>
        <v>0.71721299999999988</v>
      </c>
      <c r="M73" s="41">
        <v>34.299999999999997</v>
      </c>
    </row>
    <row r="74" spans="4:13" x14ac:dyDescent="0.35">
      <c r="D74" s="12" t="s">
        <v>304</v>
      </c>
      <c r="E74" s="12" t="s">
        <v>283</v>
      </c>
      <c r="F74" s="47" t="s">
        <v>46</v>
      </c>
      <c r="G74" s="243">
        <f>(4.58+47.2+18.3+13.1+1.01+5.62+0.26+1.41)/100</f>
        <v>0.91480000000000006</v>
      </c>
      <c r="H74" s="243">
        <v>1.7899999999999999E-2</v>
      </c>
      <c r="I74" s="243">
        <v>2.9000000000000001E-2</v>
      </c>
      <c r="J74" s="243">
        <v>0</v>
      </c>
      <c r="K74" s="243">
        <v>3.8399999999999997E-2</v>
      </c>
      <c r="L74" s="292">
        <v>1.9000000000000001E-4</v>
      </c>
      <c r="M74" s="160">
        <f t="shared" si="17"/>
        <v>1.0002900000000001</v>
      </c>
    </row>
    <row r="75" spans="4:13" x14ac:dyDescent="0.35">
      <c r="F75" s="47" t="s">
        <v>297</v>
      </c>
      <c r="G75" s="293">
        <f>G74*$M75</f>
        <v>27.718440000000001</v>
      </c>
      <c r="H75" s="293">
        <f t="shared" ref="H75" si="38">H74*$M75</f>
        <v>0.54237000000000002</v>
      </c>
      <c r="I75" s="293">
        <f t="shared" ref="I75" si="39">I74*$M75</f>
        <v>0.87870000000000004</v>
      </c>
      <c r="J75" s="293">
        <f t="shared" ref="J75" si="40">J74*$M75</f>
        <v>0</v>
      </c>
      <c r="K75" s="293">
        <f t="shared" ref="K75" si="41">K74*$M75</f>
        <v>1.1635199999999999</v>
      </c>
      <c r="L75" s="294">
        <f t="shared" ref="L75" si="42">L74*$M75</f>
        <v>5.7570000000000008E-3</v>
      </c>
      <c r="M75" s="41">
        <v>30.3</v>
      </c>
    </row>
    <row r="76" spans="4:13" x14ac:dyDescent="0.35">
      <c r="D76" s="12" t="s">
        <v>305</v>
      </c>
      <c r="E76" s="12" t="s">
        <v>283</v>
      </c>
      <c r="F76" s="47" t="s">
        <v>46</v>
      </c>
      <c r="G76" s="243">
        <f>(0.012+7.05+59.8+0.29+14+6.32+0.021+1.81)/100</f>
        <v>0.8930300000000001</v>
      </c>
      <c r="H76" s="243">
        <v>6.9900000000000004E-2</v>
      </c>
      <c r="I76" s="243">
        <v>0</v>
      </c>
      <c r="J76" s="243">
        <v>1.46E-2</v>
      </c>
      <c r="K76" s="243">
        <v>8.9999999999999998E-4</v>
      </c>
      <c r="L76" s="244">
        <f>(2.08+0.14)/100</f>
        <v>2.2200000000000001E-2</v>
      </c>
      <c r="M76" s="160">
        <f t="shared" si="17"/>
        <v>1.0006300000000001</v>
      </c>
    </row>
    <row r="77" spans="4:13" x14ac:dyDescent="0.35">
      <c r="F77" s="47" t="s">
        <v>297</v>
      </c>
      <c r="G77" s="293">
        <f>G76*$M77</f>
        <v>46.973378000000004</v>
      </c>
      <c r="H77" s="293">
        <f t="shared" ref="H77" si="43">H76*$M77</f>
        <v>3.6767400000000001</v>
      </c>
      <c r="I77" s="293">
        <f t="shared" ref="I77" si="44">I76*$M77</f>
        <v>0</v>
      </c>
      <c r="J77" s="293">
        <f t="shared" ref="J77" si="45">J76*$M77</f>
        <v>0.76795999999999998</v>
      </c>
      <c r="K77" s="293">
        <f t="shared" ref="K77" si="46">K76*$M77</f>
        <v>4.734E-2</v>
      </c>
      <c r="L77" s="294">
        <f t="shared" ref="L77" si="47">L76*$M77</f>
        <v>1.1677200000000001</v>
      </c>
      <c r="M77" s="41">
        <v>52.6</v>
      </c>
    </row>
    <row r="78" spans="4:13" x14ac:dyDescent="0.35">
      <c r="D78" s="12" t="s">
        <v>306</v>
      </c>
      <c r="E78" s="12" t="s">
        <v>283</v>
      </c>
      <c r="F78" s="47" t="s">
        <v>46</v>
      </c>
      <c r="G78" s="243">
        <f>(0.035+2.8+0.017+46.5+0.031+0.03+24.9+0.095)/100</f>
        <v>0.74407999999999985</v>
      </c>
      <c r="H78" s="243">
        <v>0.16200000000000001</v>
      </c>
      <c r="I78" s="243">
        <v>3.0999999999999999E-3</v>
      </c>
      <c r="J78" s="243">
        <v>6.6900000000000001E-2</v>
      </c>
      <c r="K78" s="243">
        <v>2.3099999999999999E-2</v>
      </c>
      <c r="L78" s="244">
        <v>0</v>
      </c>
      <c r="M78" s="160">
        <f t="shared" si="17"/>
        <v>0.99917999999999985</v>
      </c>
    </row>
    <row r="79" spans="4:13" x14ac:dyDescent="0.35">
      <c r="F79" s="47" t="s">
        <v>297</v>
      </c>
      <c r="G79" s="293">
        <f>G78*$M79</f>
        <v>18.006735999999997</v>
      </c>
      <c r="H79" s="293">
        <f t="shared" ref="H79" si="48">H78*$M79</f>
        <v>3.9203999999999999</v>
      </c>
      <c r="I79" s="293">
        <f t="shared" ref="I79" si="49">I78*$M79</f>
        <v>7.5019999999999989E-2</v>
      </c>
      <c r="J79" s="293">
        <f t="shared" ref="J79" si="50">J78*$M79</f>
        <v>1.6189800000000001</v>
      </c>
      <c r="K79" s="293">
        <f t="shared" ref="K79" si="51">K78*$M79</f>
        <v>0.55901999999999996</v>
      </c>
      <c r="L79" s="294">
        <f t="shared" ref="L79" si="52">L78*$M79</f>
        <v>0</v>
      </c>
      <c r="M79" s="41">
        <v>24.2</v>
      </c>
    </row>
    <row r="80" spans="4:13" x14ac:dyDescent="0.35">
      <c r="D80" s="12" t="s">
        <v>307</v>
      </c>
      <c r="E80" s="12" t="s">
        <v>283</v>
      </c>
      <c r="F80" s="47" t="s">
        <v>46</v>
      </c>
      <c r="G80" s="243">
        <f>(0.013+20.5+30.3+2.43+6.16+0.37+1.85+0.01+0.21+5.66+7.51)/100</f>
        <v>0.75013000000000007</v>
      </c>
      <c r="H80" s="243">
        <v>0.19400000000000001</v>
      </c>
      <c r="I80" s="243">
        <v>0</v>
      </c>
      <c r="J80" s="243">
        <v>0</v>
      </c>
      <c r="K80" s="243">
        <v>0.03</v>
      </c>
      <c r="L80" s="244">
        <f>(2.59+0.0045)/100</f>
        <v>2.5944999999999999E-2</v>
      </c>
      <c r="M80" s="160">
        <f t="shared" si="17"/>
        <v>1.0000750000000003</v>
      </c>
    </row>
    <row r="81" spans="4:13" x14ac:dyDescent="0.35">
      <c r="F81" s="47" t="s">
        <v>297</v>
      </c>
      <c r="G81" s="293">
        <f>G80*$M81</f>
        <v>16.727899000000001</v>
      </c>
      <c r="H81" s="293">
        <f t="shared" ref="H81" si="53">H80*$M81</f>
        <v>4.3262</v>
      </c>
      <c r="I81" s="293">
        <f t="shared" ref="I81" si="54">I80*$M81</f>
        <v>0</v>
      </c>
      <c r="J81" s="293">
        <f t="shared" ref="J81" si="55">J80*$M81</f>
        <v>0</v>
      </c>
      <c r="K81" s="293">
        <f t="shared" ref="K81" si="56">K80*$M81</f>
        <v>0.66900000000000004</v>
      </c>
      <c r="L81" s="294">
        <f t="shared" ref="L81" si="57">L80*$M81</f>
        <v>0.57857349999999996</v>
      </c>
      <c r="M81" s="41">
        <v>22.3</v>
      </c>
    </row>
    <row r="82" spans="4:13" x14ac:dyDescent="0.35">
      <c r="D82" s="12" t="s">
        <v>308</v>
      </c>
      <c r="E82" s="12" t="s">
        <v>283</v>
      </c>
      <c r="F82" s="47" t="s">
        <v>46</v>
      </c>
      <c r="G82" s="243">
        <f>(0.1+39.4+11+0.49+0.58+0.13+42.6)/100</f>
        <v>0.94300000000000006</v>
      </c>
      <c r="H82" s="243">
        <v>0</v>
      </c>
      <c r="I82" s="243">
        <v>3.8800000000000001E-2</v>
      </c>
      <c r="J82" s="243">
        <v>0</v>
      </c>
      <c r="K82" s="243">
        <v>1.83E-2</v>
      </c>
      <c r="L82" s="244">
        <f>0.024/100</f>
        <v>2.4000000000000001E-4</v>
      </c>
      <c r="M82" s="160">
        <f t="shared" si="17"/>
        <v>1.00034</v>
      </c>
    </row>
    <row r="83" spans="4:13" x14ac:dyDescent="0.35">
      <c r="F83" s="47" t="s">
        <v>297</v>
      </c>
      <c r="G83" s="293">
        <f>G82*$M83</f>
        <v>20.2745</v>
      </c>
      <c r="H83" s="293">
        <f t="shared" ref="H83" si="58">H82*$M83</f>
        <v>0</v>
      </c>
      <c r="I83" s="293">
        <f t="shared" ref="I83" si="59">I82*$M83</f>
        <v>0.83420000000000005</v>
      </c>
      <c r="J83" s="293">
        <f t="shared" ref="J83" si="60">J82*$M83</f>
        <v>0</v>
      </c>
      <c r="K83" s="293">
        <f t="shared" ref="K83" si="61">K82*$M83</f>
        <v>0.39345000000000002</v>
      </c>
      <c r="L83" s="294">
        <f t="shared" ref="L83" si="62">L82*$M83</f>
        <v>5.1600000000000005E-3</v>
      </c>
      <c r="M83" s="41">
        <v>21.5</v>
      </c>
    </row>
    <row r="84" spans="4:13" x14ac:dyDescent="0.35">
      <c r="D84" s="12" t="s">
        <v>309</v>
      </c>
      <c r="E84" s="12" t="s">
        <v>283</v>
      </c>
      <c r="F84" s="47" t="s">
        <v>46</v>
      </c>
      <c r="G84" s="243">
        <f>(0.1+8.4+0.0021+0.014+70.7+1.79+2.36)/100</f>
        <v>0.83366099999999999</v>
      </c>
      <c r="H84" s="243">
        <v>3.49E-2</v>
      </c>
      <c r="I84" s="243">
        <v>0</v>
      </c>
      <c r="J84" s="243">
        <v>8.5000000000000006E-2</v>
      </c>
      <c r="K84" s="243">
        <v>4.6399999999999997E-2</v>
      </c>
      <c r="L84" s="292">
        <v>4.8999999999999998E-4</v>
      </c>
      <c r="M84" s="160">
        <f t="shared" si="17"/>
        <v>1.000451</v>
      </c>
    </row>
    <row r="85" spans="4:13" x14ac:dyDescent="0.35">
      <c r="F85" s="47" t="s">
        <v>297</v>
      </c>
      <c r="G85" s="293">
        <f>G84*$M85</f>
        <v>16.589853899999998</v>
      </c>
      <c r="H85" s="293">
        <f t="shared" ref="H85" si="63">H84*$M85</f>
        <v>0.69450999999999996</v>
      </c>
      <c r="I85" s="293">
        <f t="shared" ref="I85" si="64">I84*$M85</f>
        <v>0</v>
      </c>
      <c r="J85" s="293">
        <f t="shared" ref="J85" si="65">J84*$M85</f>
        <v>1.6915</v>
      </c>
      <c r="K85" s="293">
        <f t="shared" ref="K85" si="66">K84*$M85</f>
        <v>0.92335999999999985</v>
      </c>
      <c r="L85" s="294">
        <f t="shared" ref="L85" si="67">L84*$M85</f>
        <v>9.7509999999999993E-3</v>
      </c>
      <c r="M85" s="41">
        <v>19.899999999999999</v>
      </c>
    </row>
    <row r="86" spans="4:13" x14ac:dyDescent="0.35">
      <c r="D86" s="12" t="s">
        <v>310</v>
      </c>
      <c r="E86" s="12" t="s">
        <v>283</v>
      </c>
      <c r="F86" s="47" t="s">
        <v>46</v>
      </c>
      <c r="G86" s="243">
        <f>(0.02+2.19+29+32.6+1.32+0.007+6.46+15.1)/100</f>
        <v>0.86696999999999991</v>
      </c>
      <c r="H86" s="243">
        <v>0.13100000000000001</v>
      </c>
      <c r="I86" s="243">
        <v>0</v>
      </c>
      <c r="J86" s="243">
        <v>0</v>
      </c>
      <c r="K86" s="243">
        <v>0</v>
      </c>
      <c r="L86" s="291">
        <f>0.093/100</f>
        <v>9.2999999999999995E-4</v>
      </c>
      <c r="M86" s="160">
        <f t="shared" si="17"/>
        <v>0.9988999999999999</v>
      </c>
    </row>
    <row r="87" spans="4:13" x14ac:dyDescent="0.35">
      <c r="F87" s="47" t="s">
        <v>297</v>
      </c>
      <c r="G87" s="293">
        <f>G86*$M87</f>
        <v>38.926952999999997</v>
      </c>
      <c r="H87" s="293">
        <f t="shared" ref="H87" si="68">H86*$M87</f>
        <v>5.8818999999999999</v>
      </c>
      <c r="I87" s="293">
        <f t="shared" ref="I87" si="69">I86*$M87</f>
        <v>0</v>
      </c>
      <c r="J87" s="293">
        <f t="shared" ref="J87" si="70">J86*$M87</f>
        <v>0</v>
      </c>
      <c r="K87" s="293">
        <f t="shared" ref="K87" si="71">K86*$M87</f>
        <v>0</v>
      </c>
      <c r="L87" s="294">
        <f t="shared" ref="L87" si="72">L86*$M87</f>
        <v>4.1756999999999996E-2</v>
      </c>
      <c r="M87" s="41">
        <v>44.9</v>
      </c>
    </row>
    <row r="88" spans="4:13" x14ac:dyDescent="0.35">
      <c r="D88" s="12" t="s">
        <v>311</v>
      </c>
      <c r="E88" s="12" t="s">
        <v>283</v>
      </c>
      <c r="F88" s="47" t="s">
        <v>46</v>
      </c>
      <c r="G88" s="243">
        <f>(0.028+20.5+39.9+37.9+1.12)/100</f>
        <v>0.99448000000000003</v>
      </c>
      <c r="H88" s="243">
        <v>0</v>
      </c>
      <c r="I88" s="243">
        <v>0</v>
      </c>
      <c r="J88" s="243">
        <v>0</v>
      </c>
      <c r="K88" s="243">
        <v>2.5999999999999999E-3</v>
      </c>
      <c r="L88" s="244">
        <v>4.4000000000000002E-4</v>
      </c>
      <c r="M88" s="160">
        <f t="shared" si="17"/>
        <v>0.99752000000000007</v>
      </c>
    </row>
    <row r="89" spans="4:13" x14ac:dyDescent="0.35">
      <c r="F89" s="47" t="s">
        <v>297</v>
      </c>
      <c r="G89" s="293">
        <f>G88*$M89</f>
        <v>44.353808000000001</v>
      </c>
      <c r="H89" s="293">
        <f t="shared" ref="H89" si="73">H88*$M89</f>
        <v>0</v>
      </c>
      <c r="I89" s="293">
        <f t="shared" ref="I89" si="74">I88*$M89</f>
        <v>0</v>
      </c>
      <c r="J89" s="293">
        <f t="shared" ref="J89" si="75">J88*$M89</f>
        <v>0</v>
      </c>
      <c r="K89" s="293">
        <f t="shared" ref="K89" si="76">K88*$M89</f>
        <v>0.11595999999999999</v>
      </c>
      <c r="L89" s="294">
        <f t="shared" ref="L89" si="77">L88*$M89</f>
        <v>1.9624000000000003E-2</v>
      </c>
      <c r="M89" s="41">
        <v>44.6</v>
      </c>
    </row>
    <row r="90" spans="4:13" x14ac:dyDescent="0.35">
      <c r="D90" s="12" t="s">
        <v>312</v>
      </c>
      <c r="E90" s="12" t="s">
        <v>283</v>
      </c>
      <c r="F90" s="47" t="s">
        <v>46</v>
      </c>
      <c r="G90" s="243">
        <f>(0.069+0.068+0.011+0.4+0.13+0.13+0.035+0.097)/100</f>
        <v>9.4000000000000004E-3</v>
      </c>
      <c r="H90" s="243">
        <v>0.60199999999999998</v>
      </c>
      <c r="I90" s="243">
        <v>2.2499999999999999E-2</v>
      </c>
      <c r="J90" s="243">
        <v>4.7999999999999996E-3</v>
      </c>
      <c r="K90" s="243">
        <v>0.28999999999999998</v>
      </c>
      <c r="L90" s="244">
        <f>(0.49+5.95+0.012+0.62)/100</f>
        <v>7.0720000000000005E-2</v>
      </c>
      <c r="M90" s="160">
        <f t="shared" si="17"/>
        <v>0.99941999999999986</v>
      </c>
    </row>
    <row r="91" spans="4:13" x14ac:dyDescent="0.35">
      <c r="F91" s="47" t="s">
        <v>297</v>
      </c>
      <c r="G91" s="293">
        <f>G90*$M91</f>
        <v>0.15886</v>
      </c>
      <c r="H91" s="293">
        <f t="shared" ref="H91" si="78">H90*$M91</f>
        <v>10.173799999999998</v>
      </c>
      <c r="I91" s="293">
        <f t="shared" ref="I91" si="79">I90*$M91</f>
        <v>0.38024999999999998</v>
      </c>
      <c r="J91" s="293">
        <f t="shared" ref="J91" si="80">J90*$M91</f>
        <v>8.1119999999999984E-2</v>
      </c>
      <c r="K91" s="293">
        <f t="shared" ref="K91" si="81">K90*$M91</f>
        <v>4.9009999999999989</v>
      </c>
      <c r="L91" s="294">
        <f t="shared" ref="L91" si="82">L90*$M91</f>
        <v>1.195168</v>
      </c>
      <c r="M91" s="41">
        <v>16.899999999999999</v>
      </c>
    </row>
    <row r="92" spans="4:13" x14ac:dyDescent="0.35">
      <c r="D92" s="12" t="s">
        <v>313</v>
      </c>
      <c r="E92" s="12" t="s">
        <v>283</v>
      </c>
      <c r="F92" s="47" t="s">
        <v>46</v>
      </c>
      <c r="G92" s="243">
        <f>(6.96+0.018+42+17.6+2.61+0.017+0.023+5.07+0.83+2.27)/100</f>
        <v>0.77398</v>
      </c>
      <c r="H92" s="243">
        <v>0.153</v>
      </c>
      <c r="I92" s="243">
        <v>8.8000000000000005E-3</v>
      </c>
      <c r="J92" s="243">
        <v>5.3E-3</v>
      </c>
      <c r="K92" s="243">
        <v>5.0000000000000001E-3</v>
      </c>
      <c r="L92" s="244">
        <f>(2.6+0.45+2.25)/100</f>
        <v>5.3000000000000005E-2</v>
      </c>
      <c r="M92" s="160">
        <f t="shared" si="17"/>
        <v>0.99908000000000008</v>
      </c>
    </row>
    <row r="93" spans="4:13" x14ac:dyDescent="0.35">
      <c r="F93" s="47" t="s">
        <v>297</v>
      </c>
      <c r="G93" s="293">
        <f>G92*$M93</f>
        <v>11.222709999999999</v>
      </c>
      <c r="H93" s="293">
        <f t="shared" ref="H93" si="83">H92*$M93</f>
        <v>2.2185000000000001</v>
      </c>
      <c r="I93" s="293">
        <f t="shared" ref="I93" si="84">I92*$M93</f>
        <v>0.12760000000000002</v>
      </c>
      <c r="J93" s="293">
        <f t="shared" ref="J93" si="85">J92*$M93</f>
        <v>7.6850000000000002E-2</v>
      </c>
      <c r="K93" s="293">
        <f t="shared" ref="K93" si="86">K92*$M93</f>
        <v>7.2499999999999995E-2</v>
      </c>
      <c r="L93" s="294">
        <f t="shared" ref="L93" si="87">L92*$M93</f>
        <v>0.76850000000000007</v>
      </c>
      <c r="M93" s="41">
        <v>14.5</v>
      </c>
    </row>
    <row r="94" spans="4:13" x14ac:dyDescent="0.35">
      <c r="D94" s="12" t="s">
        <v>314</v>
      </c>
      <c r="E94" s="12" t="s">
        <v>283</v>
      </c>
      <c r="F94" s="47" t="s">
        <v>46</v>
      </c>
      <c r="G94" s="243">
        <f>(0.65+24.8+26.4+0.1+0.46+9.98+8.32)/100</f>
        <v>0.70710000000000006</v>
      </c>
      <c r="H94" s="243">
        <v>0.186</v>
      </c>
      <c r="I94" s="243">
        <v>0</v>
      </c>
      <c r="J94" s="243">
        <v>1.29E-2</v>
      </c>
      <c r="K94" s="243">
        <v>8.2100000000000006E-2</v>
      </c>
      <c r="L94" s="244">
        <f>(1.12+0.027+0.016+0.046)/100</f>
        <v>1.209E-2</v>
      </c>
      <c r="M94" s="160">
        <f t="shared" si="17"/>
        <v>1.0001899999999999</v>
      </c>
    </row>
    <row r="95" spans="4:13" x14ac:dyDescent="0.35">
      <c r="F95" s="47" t="s">
        <v>297</v>
      </c>
      <c r="G95" s="293">
        <f>G94*$M95</f>
        <v>7.4245500000000009</v>
      </c>
      <c r="H95" s="293">
        <f t="shared" ref="H95" si="88">H94*$M95</f>
        <v>1.9530000000000001</v>
      </c>
      <c r="I95" s="293">
        <f t="shared" ref="I95" si="89">I94*$M95</f>
        <v>0</v>
      </c>
      <c r="J95" s="293">
        <f t="shared" ref="J95" si="90">J94*$M95</f>
        <v>0.13544999999999999</v>
      </c>
      <c r="K95" s="293">
        <f t="shared" ref="K95" si="91">K94*$M95</f>
        <v>0.86205000000000009</v>
      </c>
      <c r="L95" s="294">
        <f t="shared" ref="L95" si="92">L94*$M95</f>
        <v>0.126945</v>
      </c>
      <c r="M95" s="41">
        <v>10.5</v>
      </c>
    </row>
    <row r="96" spans="4:13" x14ac:dyDescent="0.35">
      <c r="D96" s="12" t="s">
        <v>315</v>
      </c>
      <c r="E96" s="12" t="s">
        <v>283</v>
      </c>
      <c r="F96" s="47" t="s">
        <v>46</v>
      </c>
      <c r="G96" s="243">
        <f>(0.11+3.81+0.02+51.8+1.94+1.87+0.036+7.55+0.052+1.06+10.5)/100</f>
        <v>0.78748000000000007</v>
      </c>
      <c r="H96" s="243">
        <v>9.1499999999999998E-2</v>
      </c>
      <c r="I96" s="243">
        <v>0</v>
      </c>
      <c r="J96" s="243">
        <v>0.106</v>
      </c>
      <c r="K96" s="243">
        <v>1.17E-2</v>
      </c>
      <c r="L96" s="244">
        <f>(0.029+0.33)/100</f>
        <v>3.5900000000000003E-3</v>
      </c>
      <c r="M96" s="160">
        <f t="shared" si="17"/>
        <v>1.0002700000000002</v>
      </c>
    </row>
    <row r="97" spans="2:13" x14ac:dyDescent="0.35">
      <c r="F97" s="47" t="s">
        <v>297</v>
      </c>
      <c r="G97" s="293">
        <f>G96*$M97</f>
        <v>8.1110440000000015</v>
      </c>
      <c r="H97" s="293">
        <f t="shared" ref="H97" si="93">H96*$M97</f>
        <v>0.94245000000000001</v>
      </c>
      <c r="I97" s="293">
        <f t="shared" ref="I97" si="94">I96*$M97</f>
        <v>0</v>
      </c>
      <c r="J97" s="293">
        <f t="shared" ref="J97" si="95">J96*$M97</f>
        <v>1.0918000000000001</v>
      </c>
      <c r="K97" s="293">
        <f t="shared" ref="K97" si="96">K96*$M97</f>
        <v>0.12051000000000001</v>
      </c>
      <c r="L97" s="294">
        <f t="shared" ref="L97" si="97">L96*$M97</f>
        <v>3.6977000000000003E-2</v>
      </c>
      <c r="M97" s="41">
        <v>10.3</v>
      </c>
    </row>
    <row r="98" spans="2:13" x14ac:dyDescent="0.35">
      <c r="D98" s="12" t="s">
        <v>316</v>
      </c>
      <c r="E98" s="12" t="s">
        <v>283</v>
      </c>
      <c r="F98" s="47" t="s">
        <v>46</v>
      </c>
      <c r="G98" s="243">
        <f>(0.054+0.038+0.029+0.064+35.8+17.7+8.39+0.051+0.43)/100</f>
        <v>0.62556</v>
      </c>
      <c r="H98" s="243">
        <v>0.16500000000000001</v>
      </c>
      <c r="I98" s="243">
        <v>0</v>
      </c>
      <c r="J98" s="243">
        <v>0</v>
      </c>
      <c r="K98" s="243">
        <v>0</v>
      </c>
      <c r="L98" s="244">
        <f>(11.5+9.48)/100</f>
        <v>0.20980000000000001</v>
      </c>
      <c r="M98" s="160">
        <f t="shared" si="17"/>
        <v>1.0003600000000001</v>
      </c>
    </row>
    <row r="99" spans="2:13" x14ac:dyDescent="0.35">
      <c r="F99" s="47" t="s">
        <v>297</v>
      </c>
      <c r="G99" s="293">
        <f>G98*$M99</f>
        <v>5.9928648000000004</v>
      </c>
      <c r="H99" s="293">
        <f t="shared" ref="H99" si="98">H98*$M99</f>
        <v>1.5807</v>
      </c>
      <c r="I99" s="293">
        <f t="shared" ref="I99" si="99">I98*$M99</f>
        <v>0</v>
      </c>
      <c r="J99" s="293">
        <f t="shared" ref="J99" si="100">J98*$M99</f>
        <v>0</v>
      </c>
      <c r="K99" s="293">
        <f t="shared" ref="K99" si="101">K98*$M99</f>
        <v>0</v>
      </c>
      <c r="L99" s="294">
        <f t="shared" ref="L99" si="102">L98*$M99</f>
        <v>2.009884</v>
      </c>
      <c r="M99" s="41">
        <v>9.58</v>
      </c>
    </row>
    <row r="100" spans="2:13" x14ac:dyDescent="0.35">
      <c r="D100" s="12" t="s">
        <v>317</v>
      </c>
      <c r="E100" s="12" t="s">
        <v>283</v>
      </c>
      <c r="F100" s="47" t="s">
        <v>46</v>
      </c>
      <c r="G100" s="243">
        <f>(15.2+10.9+0.055+0.11+0.0081+0.035+1.92+0.12+21)/100</f>
        <v>0.493481</v>
      </c>
      <c r="H100" s="243">
        <v>0.32</v>
      </c>
      <c r="I100" s="243">
        <v>0</v>
      </c>
      <c r="J100" s="243">
        <v>0</v>
      </c>
      <c r="K100" s="243">
        <v>7.85E-2</v>
      </c>
      <c r="L100" s="244">
        <f>(0.061+10.6)/100</f>
        <v>0.10661</v>
      </c>
      <c r="M100" s="160">
        <f t="shared" si="17"/>
        <v>0.99859100000000001</v>
      </c>
    </row>
    <row r="101" spans="2:13" x14ac:dyDescent="0.35">
      <c r="F101" s="47" t="s">
        <v>297</v>
      </c>
      <c r="G101" s="293">
        <f>G100*$M101</f>
        <v>2.3687087999999998</v>
      </c>
      <c r="H101" s="293">
        <f t="shared" ref="H101" si="103">H100*$M101</f>
        <v>1.536</v>
      </c>
      <c r="I101" s="293">
        <f t="shared" ref="I101" si="104">I100*$M101</f>
        <v>0</v>
      </c>
      <c r="J101" s="293">
        <f t="shared" ref="J101" si="105">J100*$M101</f>
        <v>0</v>
      </c>
      <c r="K101" s="293">
        <f t="shared" ref="K101" si="106">K100*$M101</f>
        <v>0.37679999999999997</v>
      </c>
      <c r="L101" s="294">
        <f t="shared" ref="L101" si="107">L100*$M101</f>
        <v>0.51172799999999996</v>
      </c>
      <c r="M101" s="41">
        <v>4.8</v>
      </c>
    </row>
    <row r="102" spans="2:13" x14ac:dyDescent="0.35">
      <c r="D102" s="12" t="s">
        <v>318</v>
      </c>
      <c r="E102" s="12" t="s">
        <v>283</v>
      </c>
      <c r="F102" s="47" t="s">
        <v>46</v>
      </c>
      <c r="G102" s="243">
        <f>(0.069+1.91+0.2+10.7+0.06)/100</f>
        <v>0.12939000000000001</v>
      </c>
      <c r="H102" s="243">
        <v>0.51200000000000001</v>
      </c>
      <c r="I102" s="243">
        <v>0</v>
      </c>
      <c r="J102" s="243">
        <v>0</v>
      </c>
      <c r="K102" s="243">
        <v>0.35899999999999999</v>
      </c>
      <c r="L102" s="244">
        <v>3.1E-4</v>
      </c>
      <c r="M102" s="160">
        <f t="shared" si="17"/>
        <v>1.0006999999999999</v>
      </c>
    </row>
    <row r="103" spans="2:13" x14ac:dyDescent="0.35">
      <c r="F103" s="47" t="s">
        <v>297</v>
      </c>
      <c r="G103" s="293">
        <f>G102*$M103</f>
        <v>0.36746760000000001</v>
      </c>
      <c r="H103" s="293">
        <f t="shared" ref="H103" si="108">H102*$M103</f>
        <v>1.45408</v>
      </c>
      <c r="I103" s="293">
        <f t="shared" ref="I103" si="109">I102*$M103</f>
        <v>0</v>
      </c>
      <c r="J103" s="293">
        <f t="shared" ref="J103" si="110">J102*$M103</f>
        <v>0</v>
      </c>
      <c r="K103" s="293">
        <f t="shared" ref="K103" si="111">K102*$M103</f>
        <v>1.0195599999999998</v>
      </c>
      <c r="L103" s="294">
        <f t="shared" ref="L103" si="112">L102*$M103</f>
        <v>8.8039999999999993E-4</v>
      </c>
      <c r="M103" s="41">
        <v>2.84</v>
      </c>
    </row>
    <row r="104" spans="2:13" x14ac:dyDescent="0.35">
      <c r="D104" s="12" t="s">
        <v>319</v>
      </c>
      <c r="E104" s="12" t="s">
        <v>283</v>
      </c>
      <c r="F104" s="47" t="s">
        <v>46</v>
      </c>
      <c r="G104" s="143">
        <f>(1-J104)*(1-62.8/100)</f>
        <v>7.4400000000000063E-4</v>
      </c>
      <c r="H104" s="243">
        <v>0</v>
      </c>
      <c r="I104" s="143">
        <f>(1-J104)*62.8/100</f>
        <v>1.256000000000001E-3</v>
      </c>
      <c r="J104" s="243">
        <v>0.998</v>
      </c>
      <c r="K104" s="243">
        <v>0</v>
      </c>
      <c r="L104" s="244">
        <v>0</v>
      </c>
      <c r="M104" s="160">
        <f t="shared" si="17"/>
        <v>1</v>
      </c>
    </row>
    <row r="105" spans="2:13" x14ac:dyDescent="0.35">
      <c r="F105" s="47" t="s">
        <v>297</v>
      </c>
      <c r="G105" s="293">
        <f>G104*$M105</f>
        <v>1.2722400000000011E-3</v>
      </c>
      <c r="H105" s="293">
        <f t="shared" ref="H105" si="113">H104*$M105</f>
        <v>0</v>
      </c>
      <c r="I105" s="293">
        <f t="shared" ref="I105" si="114">I104*$M105</f>
        <v>2.1477600000000016E-3</v>
      </c>
      <c r="J105" s="293">
        <f t="shared" ref="J105" si="115">J104*$M105</f>
        <v>1.70658</v>
      </c>
      <c r="K105" s="293">
        <f t="shared" ref="K105" si="116">K104*$M105</f>
        <v>0</v>
      </c>
      <c r="L105" s="294">
        <f t="shared" ref="L105" si="117">L104*$M105</f>
        <v>0</v>
      </c>
      <c r="M105" s="41">
        <v>1.71</v>
      </c>
    </row>
    <row r="107" spans="2:13" x14ac:dyDescent="0.35">
      <c r="D107" s="6" t="s">
        <v>320</v>
      </c>
      <c r="E107" s="6" t="s">
        <v>283</v>
      </c>
      <c r="F107" s="266" t="s">
        <v>46</v>
      </c>
      <c r="G107" s="296">
        <f>G108/$M$108</f>
        <v>0.6468220353759514</v>
      </c>
      <c r="H107" s="296">
        <f t="shared" ref="H107:L107" si="118">H108/$M$108</f>
        <v>0.16852945407583597</v>
      </c>
      <c r="I107" s="296">
        <f t="shared" si="118"/>
        <v>7.0158143579935094E-3</v>
      </c>
      <c r="J107" s="296">
        <f t="shared" si="118"/>
        <v>2.257631413321563E-2</v>
      </c>
      <c r="K107" s="296">
        <f t="shared" si="118"/>
        <v>3.0989635696361869E-2</v>
      </c>
      <c r="L107" s="297">
        <f t="shared" si="118"/>
        <v>0.12350803143620799</v>
      </c>
      <c r="M107" s="7"/>
    </row>
    <row r="108" spans="2:13" x14ac:dyDescent="0.35">
      <c r="F108" s="47" t="s">
        <v>297</v>
      </c>
      <c r="G108" s="41">
        <f>G61+G63+G65+G67+G69+G71+G73+G73+G75+G77+G79+G81+G83+G85+G87+G89+G91+G93+G95+G97+G99+G101+G103+G105</f>
        <v>791.34148274000029</v>
      </c>
      <c r="H108" s="41">
        <f t="shared" ref="H108:K108" si="119">H61+H63+H65+H67+H69+H71+H73+H73+H75+H77+H79+H81+H83+H85+H87+H89+H91+H93+H95+H97+H99+H101+H103+H105</f>
        <v>206.18399000000002</v>
      </c>
      <c r="I108" s="41">
        <f t="shared" si="119"/>
        <v>8.5833577600000002</v>
      </c>
      <c r="J108" s="41">
        <f t="shared" si="119"/>
        <v>27.620539999999998</v>
      </c>
      <c r="K108" s="41">
        <f t="shared" si="119"/>
        <v>37.913650000000004</v>
      </c>
      <c r="L108" s="295">
        <f>L61+L63+L65+L67+L69+L71+L73+L73+L75+L77+L79+L81+L83+L85+L87+L89+L91+L93+L95+L97+L99+L101+L103+L105</f>
        <v>151.10343089999995</v>
      </c>
      <c r="M108" s="41">
        <f>M61+M63+M65+M67+M69+M71+M73+M73+M75+M77+M79+M81+M83+M85+M87+M89+M91+M93+M95+M97+M99+M101+M103+M105</f>
        <v>1223.43</v>
      </c>
    </row>
    <row r="109" spans="2:13" x14ac:dyDescent="0.35">
      <c r="G109" s="41"/>
      <c r="H109" s="41"/>
      <c r="I109" s="41"/>
      <c r="J109" s="41"/>
      <c r="K109" s="41"/>
      <c r="L109" s="295"/>
      <c r="M109" s="41"/>
    </row>
    <row r="110" spans="2:13" x14ac:dyDescent="0.35">
      <c r="M110" s="41"/>
    </row>
    <row r="111" spans="2:13" x14ac:dyDescent="0.35">
      <c r="B111" s="150" t="s">
        <v>265</v>
      </c>
      <c r="C111" s="144" t="s">
        <v>321</v>
      </c>
    </row>
    <row r="113" spans="4:14" x14ac:dyDescent="0.35">
      <c r="D113" s="12" t="s">
        <v>296</v>
      </c>
      <c r="E113" s="12" t="s">
        <v>283</v>
      </c>
      <c r="F113" s="47" t="s">
        <v>46</v>
      </c>
      <c r="G113" s="299">
        <f>(3.11+2.13+14.2+0.17+13.5+0.25+0.36+0.038+0.035+0.024+0.039+0.34+23.8+2.08+0.034)/100</f>
        <v>0.60109999999999997</v>
      </c>
      <c r="H113" s="299">
        <v>2.5000000000000001E-3</v>
      </c>
      <c r="I113" s="299">
        <v>3.1699999999999999E-2</v>
      </c>
      <c r="J113" s="299">
        <v>0</v>
      </c>
      <c r="K113" s="299">
        <v>0</v>
      </c>
      <c r="L113" s="300">
        <f>(3.66+32.7+0.056)/100</f>
        <v>0.36415999999999998</v>
      </c>
      <c r="M113" s="160">
        <f>SUM(G113:L113)</f>
        <v>0.99945999999999979</v>
      </c>
    </row>
    <row r="114" spans="4:14" x14ac:dyDescent="0.35">
      <c r="F114" s="47" t="s">
        <v>297</v>
      </c>
      <c r="G114" s="301">
        <f>G113*$M114</f>
        <v>2.1880039999999998</v>
      </c>
      <c r="H114" s="301">
        <f t="shared" ref="H114" si="120">H113*$M114</f>
        <v>9.1000000000000004E-3</v>
      </c>
      <c r="I114" s="301">
        <f t="shared" ref="I114" si="121">I113*$M114</f>
        <v>0.115388</v>
      </c>
      <c r="J114" s="301">
        <f t="shared" ref="J114" si="122">J113*$M114</f>
        <v>0</v>
      </c>
      <c r="K114" s="301">
        <f t="shared" ref="K114" si="123">K113*$M114</f>
        <v>0</v>
      </c>
      <c r="L114" s="302">
        <f t="shared" ref="L114" si="124">L113*$M114</f>
        <v>1.3255424</v>
      </c>
      <c r="M114" s="41">
        <v>3.64</v>
      </c>
      <c r="N114" s="40"/>
    </row>
    <row r="115" spans="4:14" x14ac:dyDescent="0.35">
      <c r="D115" s="12" t="s">
        <v>298</v>
      </c>
      <c r="E115" s="12" t="s">
        <v>283</v>
      </c>
      <c r="F115" s="47" t="s">
        <v>46</v>
      </c>
      <c r="G115" s="299">
        <f>(0.35+12.2+23.1+11.3+4.38+0.0095+8.25+1.93+20.8+0.4+9.4+0.53+0.1+0.078+0.18+0.76+0.1+0.16+0.2+0.12+0.08)/100</f>
        <v>0.9442750000000002</v>
      </c>
      <c r="H115" s="299">
        <v>7.6999999999999996E-4</v>
      </c>
      <c r="I115" s="299">
        <v>2.2000000000000001E-3</v>
      </c>
      <c r="J115" s="299">
        <v>5.0000000000000002E-5</v>
      </c>
      <c r="K115" s="299">
        <v>0</v>
      </c>
      <c r="L115" s="303">
        <f>(0.025+0.19+0.49+0.005+4.53)/100</f>
        <v>5.2400000000000002E-2</v>
      </c>
      <c r="M115" s="160">
        <f>SUM(G115:L115)</f>
        <v>0.99969500000000022</v>
      </c>
    </row>
    <row r="116" spans="4:14" x14ac:dyDescent="0.35">
      <c r="F116" s="47" t="s">
        <v>297</v>
      </c>
      <c r="G116" s="301">
        <f>G115*$M116</f>
        <v>82.624062500000022</v>
      </c>
      <c r="H116" s="301">
        <f t="shared" ref="H116" si="125">H115*$M116</f>
        <v>6.737499999999999E-2</v>
      </c>
      <c r="I116" s="301">
        <f t="shared" ref="I116" si="126">I115*$M116</f>
        <v>0.1925</v>
      </c>
      <c r="J116" s="301">
        <f t="shared" ref="J116" si="127">J115*$M116</f>
        <v>4.3750000000000004E-3</v>
      </c>
      <c r="K116" s="301">
        <f t="shared" ref="K116" si="128">K115*$M116</f>
        <v>0</v>
      </c>
      <c r="L116" s="302">
        <f t="shared" ref="L116" si="129">L115*$M116</f>
        <v>4.585</v>
      </c>
      <c r="M116" s="41">
        <v>87.5</v>
      </c>
    </row>
    <row r="117" spans="4:14" x14ac:dyDescent="0.35">
      <c r="D117" s="12" t="s">
        <v>299</v>
      </c>
      <c r="E117" s="12" t="s">
        <v>283</v>
      </c>
      <c r="F117" s="47" t="s">
        <v>46</v>
      </c>
      <c r="G117" s="299">
        <f>(22.1+11.3+6.87+4.56+0.13+14+6.02+7.37+0.013+0.017+1.12+5.17+0.23+2.26+3.49+0.47+0.42+1.96+0.053+0.019)/100</f>
        <v>0.87572000000000016</v>
      </c>
      <c r="H117" s="299">
        <v>1.7500000000000002E-2</v>
      </c>
      <c r="I117" s="299">
        <v>1.8499999999999999E-2</v>
      </c>
      <c r="J117" s="299">
        <v>7.9000000000000001E-4</v>
      </c>
      <c r="K117" s="299">
        <v>1.8000000000000001E-4</v>
      </c>
      <c r="L117" s="300">
        <f>(0.82+4.96+1.04+0.97+0.071+0.8+0.044+0.043+0.028)/100</f>
        <v>8.7760000000000005E-2</v>
      </c>
      <c r="M117" s="160">
        <f>SUM(G117:L117)</f>
        <v>1.0004500000000001</v>
      </c>
    </row>
    <row r="118" spans="4:14" x14ac:dyDescent="0.35">
      <c r="F118" s="47" t="s">
        <v>297</v>
      </c>
      <c r="G118" s="301">
        <f>G117*$M118</f>
        <v>114.71932000000002</v>
      </c>
      <c r="H118" s="301">
        <f t="shared" ref="H118:K118" si="130">H117*$M118</f>
        <v>2.2925000000000004</v>
      </c>
      <c r="I118" s="301">
        <f t="shared" si="130"/>
        <v>2.4234999999999998</v>
      </c>
      <c r="J118" s="301">
        <f t="shared" si="130"/>
        <v>0.10349</v>
      </c>
      <c r="K118" s="301">
        <f t="shared" si="130"/>
        <v>2.358E-2</v>
      </c>
      <c r="L118" s="302">
        <f>L117*$M118</f>
        <v>11.496560000000001</v>
      </c>
      <c r="M118" s="41">
        <v>131</v>
      </c>
    </row>
    <row r="119" spans="4:14" x14ac:dyDescent="0.35">
      <c r="D119" s="12" t="s">
        <v>300</v>
      </c>
      <c r="E119" s="12" t="s">
        <v>283</v>
      </c>
      <c r="F119" s="47" t="s">
        <v>46</v>
      </c>
      <c r="G119" s="299">
        <f>(0.84+23.4+14.9+2.2+2.28+2.21+16.9+0.1+1.84+2.78+0.029+0.013+0.22+4.67+0.043+0.084+1.95+0.086+0.92+0.072+0.019)/100</f>
        <v>0.75556000000000023</v>
      </c>
      <c r="H119" s="299">
        <v>2.3599999999999999E-2</v>
      </c>
      <c r="I119" s="299">
        <v>1.3899999999999999E-2</v>
      </c>
      <c r="J119" s="299">
        <v>9.9000000000000008E-3</v>
      </c>
      <c r="K119" s="299">
        <v>0</v>
      </c>
      <c r="L119" s="300">
        <f>(16.1+0.086+0.067+0.011+0.0054+0.14+3.21+0.015)/100</f>
        <v>0.19634400000000002</v>
      </c>
      <c r="M119" s="160">
        <f t="shared" ref="M119" si="131">SUM(G119:L119)</f>
        <v>0.99930400000000019</v>
      </c>
    </row>
    <row r="120" spans="4:14" x14ac:dyDescent="0.35">
      <c r="F120" s="47" t="s">
        <v>297</v>
      </c>
      <c r="G120" s="301">
        <f>G119*$M120</f>
        <v>18.133440000000007</v>
      </c>
      <c r="H120" s="301">
        <f t="shared" ref="H120" si="132">H119*$M120</f>
        <v>0.56640000000000001</v>
      </c>
      <c r="I120" s="301">
        <f t="shared" ref="I120" si="133">I119*$M120</f>
        <v>0.33360000000000001</v>
      </c>
      <c r="J120" s="301">
        <f t="shared" ref="J120" si="134">J119*$M120</f>
        <v>0.23760000000000003</v>
      </c>
      <c r="K120" s="301">
        <f t="shared" ref="K120" si="135">K119*$M120</f>
        <v>0</v>
      </c>
      <c r="L120" s="302">
        <f t="shared" ref="L120" si="136">L119*$M120</f>
        <v>4.712256</v>
      </c>
      <c r="M120" s="41">
        <v>24</v>
      </c>
    </row>
    <row r="121" spans="4:14" x14ac:dyDescent="0.35">
      <c r="D121" s="12" t="s">
        <v>301</v>
      </c>
      <c r="E121" s="12" t="s">
        <v>283</v>
      </c>
      <c r="F121" s="47" t="s">
        <v>46</v>
      </c>
      <c r="G121" s="299">
        <f>(4.57+21.8+2.58+0.53+20.3+1.79+2.76+0.49+14.3+0.067+9.06+7.31+0.18+0.47+0.52+0.78+0.15)/100</f>
        <v>0.87657000000000007</v>
      </c>
      <c r="H121" s="299">
        <v>8.3999999999999995E-3</v>
      </c>
      <c r="I121" s="299">
        <v>5.7000000000000002E-3</v>
      </c>
      <c r="J121" s="299">
        <v>3.2000000000000003E-4</v>
      </c>
      <c r="K121" s="299">
        <v>1.3999999999999999E-4</v>
      </c>
      <c r="L121" s="300">
        <f>(0.017+0.021+8.08+0.77+1.75+0.25+0.013)/100</f>
        <v>0.10901</v>
      </c>
      <c r="M121" s="160">
        <f t="shared" ref="M121" si="137">SUM(G121:L121)</f>
        <v>1.00014</v>
      </c>
    </row>
    <row r="122" spans="4:14" x14ac:dyDescent="0.35">
      <c r="F122" s="47" t="s">
        <v>297</v>
      </c>
      <c r="G122" s="301">
        <f>G121*$M122</f>
        <v>72.579996000000008</v>
      </c>
      <c r="H122" s="301">
        <f t="shared" ref="H122" si="138">H121*$M122</f>
        <v>0.69551999999999992</v>
      </c>
      <c r="I122" s="301">
        <f t="shared" ref="I122" si="139">I121*$M122</f>
        <v>0.47195999999999999</v>
      </c>
      <c r="J122" s="301">
        <f t="shared" ref="J122" si="140">J121*$M122</f>
        <v>2.6496000000000002E-2</v>
      </c>
      <c r="K122" s="301">
        <f t="shared" ref="K122" si="141">K121*$M122</f>
        <v>1.1591999999999998E-2</v>
      </c>
      <c r="L122" s="302">
        <f t="shared" ref="L122" si="142">L121*$M122</f>
        <v>9.0260280000000002</v>
      </c>
      <c r="M122" s="41">
        <v>82.8</v>
      </c>
    </row>
    <row r="123" spans="4:14" x14ac:dyDescent="0.35">
      <c r="D123" s="12" t="s">
        <v>302</v>
      </c>
      <c r="E123" s="12" t="s">
        <v>283</v>
      </c>
      <c r="F123" s="47" t="s">
        <v>46</v>
      </c>
      <c r="G123" s="299">
        <f>(8.92+30.8+24.1+0.53+0.27+0.93+17.3+13.5+0.047+1.79+0.17)/100</f>
        <v>0.98356999999999994</v>
      </c>
      <c r="H123" s="299">
        <v>0</v>
      </c>
      <c r="I123" s="299">
        <f>(1-G123-L123)*81.4/100</f>
        <v>2.6524971440000434E-3</v>
      </c>
      <c r="J123" s="299">
        <f>(1-G123-L123)*10.4/100</f>
        <v>3.388939840000055E-4</v>
      </c>
      <c r="K123" s="299">
        <v>0</v>
      </c>
      <c r="L123" s="300">
        <f>(0.46+0.012+0.67+0.16)/100+(1-G123-(0.46+0.012+0.67+0.16)/100)*4.44/100</f>
        <v>1.3171404000000003E-2</v>
      </c>
      <c r="M123" s="304">
        <f t="shared" ref="M123" si="143">SUM(G123:L123)</f>
        <v>0.99973279512800006</v>
      </c>
    </row>
    <row r="124" spans="4:14" x14ac:dyDescent="0.35">
      <c r="F124" s="47" t="s">
        <v>297</v>
      </c>
      <c r="G124" s="301">
        <f>G123*$M124</f>
        <v>6.0981339999999999</v>
      </c>
      <c r="H124" s="301">
        <f t="shared" ref="H124" si="144">H123*$M124</f>
        <v>0</v>
      </c>
      <c r="I124" s="301">
        <f t="shared" ref="I124" si="145">I123*$M124</f>
        <v>1.6445482292800271E-2</v>
      </c>
      <c r="J124" s="301">
        <f t="shared" ref="J124" si="146">J123*$M124</f>
        <v>2.1011427008000342E-3</v>
      </c>
      <c r="K124" s="301">
        <f t="shared" ref="K124" si="147">K123*$M124</f>
        <v>0</v>
      </c>
      <c r="L124" s="302">
        <f t="shared" ref="L124" si="148">L123*$M124</f>
        <v>8.1662704800000013E-2</v>
      </c>
      <c r="M124" s="41">
        <v>6.2</v>
      </c>
    </row>
    <row r="125" spans="4:14" x14ac:dyDescent="0.35">
      <c r="D125" s="12" t="s">
        <v>303</v>
      </c>
      <c r="E125" s="12" t="s">
        <v>283</v>
      </c>
      <c r="F125" s="47" t="s">
        <v>46</v>
      </c>
      <c r="G125" s="299">
        <f>(22.5+7.84+4.88+0.019+0.6+0.038+1.04+0.86+2.28+0.016+0.018+2.23+0.17+0.018+0.82+0.086+0.53+0.63+0.053+0.013+0.016+0.023)/100</f>
        <v>0.44679999999999992</v>
      </c>
      <c r="H125" s="299">
        <v>2.1499999999999998E-2</v>
      </c>
      <c r="I125" s="299">
        <v>5.96E-2</v>
      </c>
      <c r="J125" s="299">
        <v>0</v>
      </c>
      <c r="K125" s="299">
        <v>0</v>
      </c>
      <c r="L125" s="300">
        <f>(6.76+2.05+18+0.13+4.8+0.098+0.37+14.9)/100</f>
        <v>0.47107999999999994</v>
      </c>
      <c r="M125" s="160">
        <f>SUM(G125:L125)</f>
        <v>0.99897999999999987</v>
      </c>
    </row>
    <row r="126" spans="4:14" x14ac:dyDescent="0.35">
      <c r="F126" s="47" t="s">
        <v>297</v>
      </c>
      <c r="G126" s="301">
        <f>G125*$M126</f>
        <v>20.061319999999995</v>
      </c>
      <c r="H126" s="301">
        <f t="shared" ref="H126" si="149">H125*$M126</f>
        <v>0.96534999999999993</v>
      </c>
      <c r="I126" s="301">
        <f t="shared" ref="I126" si="150">I125*$M126</f>
        <v>2.67604</v>
      </c>
      <c r="J126" s="301">
        <f t="shared" ref="J126" si="151">J125*$M126</f>
        <v>0</v>
      </c>
      <c r="K126" s="301">
        <f t="shared" ref="K126" si="152">K125*$M126</f>
        <v>0</v>
      </c>
      <c r="L126" s="302">
        <f t="shared" ref="L126" si="153">L125*$M126</f>
        <v>21.151491999999998</v>
      </c>
      <c r="M126" s="41">
        <v>44.9</v>
      </c>
    </row>
    <row r="127" spans="4:14" x14ac:dyDescent="0.35">
      <c r="D127" s="12" t="s">
        <v>304</v>
      </c>
      <c r="E127" s="12" t="s">
        <v>283</v>
      </c>
      <c r="F127" s="47" t="s">
        <v>46</v>
      </c>
      <c r="G127" s="299">
        <f>(0.47+3.26+12.6+3.2+18.7+0.43+4.55+9.55+3.32+0.33+0.22+0.013+0.13+5.14+0.13+0.21+6.37+0.068)/100</f>
        <v>0.68690999999999991</v>
      </c>
      <c r="H127" s="299">
        <v>7.3000000000000001E-3</v>
      </c>
      <c r="I127" s="299">
        <v>2.5999999999999999E-3</v>
      </c>
      <c r="J127" s="299">
        <v>0</v>
      </c>
      <c r="K127" s="299">
        <v>0</v>
      </c>
      <c r="L127" s="305">
        <f>(14.5+14.5+0.043+0.2+0.91+0.059+0.099)/100</f>
        <v>0.30310999999999999</v>
      </c>
      <c r="M127" s="160">
        <f t="shared" ref="M127" si="154">SUM(G127:L127)</f>
        <v>0.99991999999999992</v>
      </c>
    </row>
    <row r="128" spans="4:14" x14ac:dyDescent="0.35">
      <c r="F128" s="47" t="s">
        <v>297</v>
      </c>
      <c r="G128" s="301">
        <f>G127*$M128</f>
        <v>20.195153999999995</v>
      </c>
      <c r="H128" s="301">
        <f t="shared" ref="H128" si="155">H127*$M128</f>
        <v>0.21462000000000001</v>
      </c>
      <c r="I128" s="301">
        <f t="shared" ref="I128" si="156">I127*$M128</f>
        <v>7.6439999999999994E-2</v>
      </c>
      <c r="J128" s="301">
        <f t="shared" ref="J128" si="157">J127*$M128</f>
        <v>0</v>
      </c>
      <c r="K128" s="301">
        <f t="shared" ref="K128" si="158">K127*$M128</f>
        <v>0</v>
      </c>
      <c r="L128" s="302">
        <f t="shared" ref="L128" si="159">L127*$M128</f>
        <v>8.9114339999999999</v>
      </c>
      <c r="M128" s="41">
        <v>29.4</v>
      </c>
    </row>
    <row r="129" spans="4:13" x14ac:dyDescent="0.35">
      <c r="D129" s="12" t="s">
        <v>305</v>
      </c>
      <c r="E129" s="12" t="s">
        <v>283</v>
      </c>
      <c r="F129" s="47" t="s">
        <v>46</v>
      </c>
      <c r="G129" s="299">
        <f>(5.6+30.5+9.28+4.53+1.81+9.33+0.086+3.17+5.8+4.05+3.54+0.53+1.63+0.3+0.21+0.9+0.52+0.019)/100</f>
        <v>0.81804999999999994</v>
      </c>
      <c r="H129" s="299">
        <v>8.8000000000000005E-3</v>
      </c>
      <c r="I129" s="299">
        <v>2.0999999999999999E-3</v>
      </c>
      <c r="J129" s="299">
        <v>0</v>
      </c>
      <c r="K129" s="299">
        <v>0</v>
      </c>
      <c r="L129" s="300">
        <f>(15.6+0.18+0.027+0.12+0.076+1.1+0.0223)/100</f>
        <v>0.17125299999999999</v>
      </c>
      <c r="M129" s="160">
        <f t="shared" ref="M129" si="160">SUM(G129:L129)</f>
        <v>1.000203</v>
      </c>
    </row>
    <row r="130" spans="4:13" x14ac:dyDescent="0.35">
      <c r="F130" s="47" t="s">
        <v>297</v>
      </c>
      <c r="G130" s="301">
        <f>G129*$M130</f>
        <v>34.112684999999999</v>
      </c>
      <c r="H130" s="301">
        <f t="shared" ref="H130" si="161">H129*$M130</f>
        <v>0.36696000000000006</v>
      </c>
      <c r="I130" s="301">
        <f t="shared" ref="I130" si="162">I129*$M130</f>
        <v>8.7569999999999995E-2</v>
      </c>
      <c r="J130" s="301">
        <f t="shared" ref="J130" si="163">J129*$M130</f>
        <v>0</v>
      </c>
      <c r="K130" s="301">
        <f t="shared" ref="K130" si="164">K129*$M130</f>
        <v>0</v>
      </c>
      <c r="L130" s="302">
        <f t="shared" ref="L130" si="165">L129*$M130</f>
        <v>7.1412500999999997</v>
      </c>
      <c r="M130" s="41">
        <v>41.7</v>
      </c>
    </row>
    <row r="131" spans="4:13" x14ac:dyDescent="0.35">
      <c r="D131" s="12" t="s">
        <v>306</v>
      </c>
      <c r="E131" s="12" t="s">
        <v>283</v>
      </c>
      <c r="F131" s="47" t="s">
        <v>46</v>
      </c>
      <c r="G131" s="299">
        <f>(3.94+14.7+2.74+1.82+0.65+1.91+10.1+1.66+0.33+0.017+8.12+0.44+1.58+0.83+1.79)/100</f>
        <v>0.50626999999999989</v>
      </c>
      <c r="H131" s="299">
        <v>1.8100000000000002E-2</v>
      </c>
      <c r="I131" s="299">
        <v>6.4999999999999997E-3</v>
      </c>
      <c r="J131" s="299">
        <v>4.5699999999999998E-2</v>
      </c>
      <c r="K131" s="299">
        <v>0</v>
      </c>
      <c r="L131" s="300">
        <f>(0.035+13.3+22.5+5.65+0.42)/100+(1-SUM(G131:K131)-(0.035+13.3+22.5+5.65+0.42)/100)*(66.9+33.1)/100</f>
        <v>0.4234300000000002</v>
      </c>
      <c r="M131" s="160">
        <f t="shared" ref="M131" si="166">SUM(G131:L131)</f>
        <v>1</v>
      </c>
    </row>
    <row r="132" spans="4:13" x14ac:dyDescent="0.35">
      <c r="F132" s="47" t="s">
        <v>297</v>
      </c>
      <c r="G132" s="301">
        <f>G131*$M132</f>
        <v>5.6702239999999984</v>
      </c>
      <c r="H132" s="301">
        <f t="shared" ref="H132" si="167">H131*$M132</f>
        <v>0.20272000000000001</v>
      </c>
      <c r="I132" s="301">
        <f t="shared" ref="I132" si="168">I131*$M132</f>
        <v>7.279999999999999E-2</v>
      </c>
      <c r="J132" s="301">
        <f t="shared" ref="J132" si="169">J131*$M132</f>
        <v>0.51183999999999996</v>
      </c>
      <c r="K132" s="301">
        <f t="shared" ref="K132" si="170">K131*$M132</f>
        <v>0</v>
      </c>
      <c r="L132" s="302">
        <f t="shared" ref="L132" si="171">L131*$M132</f>
        <v>4.7424160000000022</v>
      </c>
      <c r="M132" s="41">
        <v>11.2</v>
      </c>
    </row>
    <row r="133" spans="4:13" x14ac:dyDescent="0.35">
      <c r="D133" s="12" t="s">
        <v>307</v>
      </c>
      <c r="E133" s="12" t="s">
        <v>283</v>
      </c>
      <c r="F133" s="47" t="s">
        <v>46</v>
      </c>
      <c r="G133" s="299">
        <f>(2.42+18.1+0.79+0.13+0.23+4.97+23.1+0.47+26.5+0.0077+3.29+9.22+5.44+0.068+1.44+0.032)/100</f>
        <v>0.96207700000000007</v>
      </c>
      <c r="H133" s="299">
        <v>0</v>
      </c>
      <c r="I133" s="299">
        <v>0</v>
      </c>
      <c r="J133" s="299">
        <f>(1-G133-(0.073+0.039+1.21+0.076+1.78+0.1)/100)*17.9/100</f>
        <v>9.2059699999998666E-4</v>
      </c>
      <c r="K133" s="299">
        <v>1.8000000000000001E-4</v>
      </c>
      <c r="L133" s="300">
        <f>(0.073+0.039+1.21+0.076+1.78+0.1)/100+(1-G133-(0.073+0.039+1.21+0.076+1.78+0.1)/100)*79.1/100+(1-G133-(0.073+0.039+1.21+0.076+1.78+0.1)/100)*3.03/100</f>
        <v>3.7003945899999946E-2</v>
      </c>
      <c r="M133" s="160">
        <f t="shared" ref="M133" si="172">SUM(G133:L133)</f>
        <v>1.0001815429000001</v>
      </c>
    </row>
    <row r="134" spans="4:13" x14ac:dyDescent="0.35">
      <c r="F134" s="47" t="s">
        <v>297</v>
      </c>
      <c r="G134" s="301">
        <f>G133*$M134</f>
        <v>7.4464759800000007</v>
      </c>
      <c r="H134" s="301">
        <f t="shared" ref="H134" si="173">H133*$M134</f>
        <v>0</v>
      </c>
      <c r="I134" s="301">
        <f t="shared" ref="I134" si="174">I133*$M134</f>
        <v>0</v>
      </c>
      <c r="J134" s="301">
        <f t="shared" ref="J134" si="175">J133*$M134</f>
        <v>7.1254207799998966E-3</v>
      </c>
      <c r="K134" s="301">
        <f t="shared" ref="K134" si="176">K133*$M134</f>
        <v>1.3932E-3</v>
      </c>
      <c r="L134" s="302">
        <f t="shared" ref="L134" si="177">L133*$M134</f>
        <v>0.28641054126599957</v>
      </c>
      <c r="M134" s="41">
        <v>7.74</v>
      </c>
    </row>
    <row r="135" spans="4:13" x14ac:dyDescent="0.35">
      <c r="D135" s="12" t="s">
        <v>308</v>
      </c>
      <c r="E135" s="12" t="s">
        <v>283</v>
      </c>
      <c r="F135" s="47" t="s">
        <v>46</v>
      </c>
      <c r="G135" s="299">
        <f>(0.48+1.03+28.1+1.46+9.32+2.49+4.99+1.82+0.35+0.32+0.17+4.5+2.31+0.047+2.79+0.032+24+0.61+0.055+0.56)/100</f>
        <v>0.8543400000000001</v>
      </c>
      <c r="H135" s="299">
        <v>2.9999999999999997E-4</v>
      </c>
      <c r="I135" s="299">
        <v>0</v>
      </c>
      <c r="J135" s="299">
        <v>0</v>
      </c>
      <c r="K135" s="299">
        <v>1.9000000000000001E-4</v>
      </c>
      <c r="L135" s="300">
        <f>(0.031+6.03+5.06+0.32+3.04+0.041)/100</f>
        <v>0.14521999999999999</v>
      </c>
      <c r="M135" s="160">
        <f t="shared" ref="M135" si="178">SUM(G135:L135)</f>
        <v>1.0000500000000001</v>
      </c>
    </row>
    <row r="136" spans="4:13" x14ac:dyDescent="0.35">
      <c r="F136" s="47" t="s">
        <v>297</v>
      </c>
      <c r="G136" s="301">
        <f>G135*$M136</f>
        <v>13.584006000000002</v>
      </c>
      <c r="H136" s="301">
        <f t="shared" ref="H136" si="179">H135*$M136</f>
        <v>4.7699999999999999E-3</v>
      </c>
      <c r="I136" s="301">
        <f t="shared" ref="I136" si="180">I135*$M136</f>
        <v>0</v>
      </c>
      <c r="J136" s="301">
        <f t="shared" ref="J136" si="181">J135*$M136</f>
        <v>0</v>
      </c>
      <c r="K136" s="301">
        <f t="shared" ref="K136" si="182">K135*$M136</f>
        <v>3.0210000000000002E-3</v>
      </c>
      <c r="L136" s="302">
        <f t="shared" ref="L136" si="183">L135*$M136</f>
        <v>2.3089979999999999</v>
      </c>
      <c r="M136" s="41">
        <v>15.9</v>
      </c>
    </row>
    <row r="137" spans="4:13" x14ac:dyDescent="0.35">
      <c r="D137" s="12" t="s">
        <v>309</v>
      </c>
      <c r="E137" s="12" t="s">
        <v>283</v>
      </c>
      <c r="F137" s="47" t="s">
        <v>46</v>
      </c>
      <c r="G137" s="299">
        <f>(0.24+3.86+4.61+0.34+78.2+0.011+4.28+0.34+0.017+1.66+0.069+0.004+0.029+0.36+2.51+0.02)/100</f>
        <v>0.96550000000000002</v>
      </c>
      <c r="H137" s="299">
        <f>(1-G137-(0.012+2.8)/100)*84.7/100</f>
        <v>5.40385999999998E-3</v>
      </c>
      <c r="I137" s="299">
        <f>(1-G137-(0.012+2.8)/100)*13.7/100</f>
        <v>8.740599999999966E-4</v>
      </c>
      <c r="J137" s="299">
        <v>0</v>
      </c>
      <c r="K137" s="299">
        <v>0</v>
      </c>
      <c r="L137" s="305">
        <f>(0.012+2.8)/100+(1-G137-((0.012+2.8)/100))*0.59/100+(1-G137-((0.012+2.8)/100))*0.17/100+(1-G137-((0.012+2.8)/100))*0.49/100</f>
        <v>2.8199749999999999E-2</v>
      </c>
      <c r="M137" s="160">
        <f t="shared" ref="M137" si="184">SUM(G137:L137)</f>
        <v>0.99997766999999993</v>
      </c>
    </row>
    <row r="138" spans="4:13" x14ac:dyDescent="0.35">
      <c r="F138" s="47" t="s">
        <v>297</v>
      </c>
      <c r="G138" s="301">
        <f>G137*$M138</f>
        <v>20.468599999999999</v>
      </c>
      <c r="H138" s="301">
        <f t="shared" ref="H138" si="185">H137*$M138</f>
        <v>0.11456183199999957</v>
      </c>
      <c r="I138" s="301">
        <f t="shared" ref="I138" si="186">I137*$M138</f>
        <v>1.8530071999999929E-2</v>
      </c>
      <c r="J138" s="301">
        <f t="shared" ref="J138" si="187">J137*$M138</f>
        <v>0</v>
      </c>
      <c r="K138" s="301">
        <f t="shared" ref="K138" si="188">K137*$M138</f>
        <v>0</v>
      </c>
      <c r="L138" s="302">
        <f t="shared" ref="L138" si="189">L137*$M138</f>
        <v>0.59783469999999994</v>
      </c>
      <c r="M138" s="41">
        <v>21.2</v>
      </c>
    </row>
    <row r="139" spans="4:13" x14ac:dyDescent="0.35">
      <c r="D139" s="12" t="s">
        <v>310</v>
      </c>
      <c r="E139" s="12" t="s">
        <v>283</v>
      </c>
      <c r="F139" s="47" t="s">
        <v>46</v>
      </c>
      <c r="G139" s="299">
        <f>(10.8+27.1+24.6+5.26+0.11+2.32+1.21+2.8+0.0061+0.89+1.16+0.8+1.54+0.59+3.38+0.073+0.061+0.013)/100</f>
        <v>0.82713099999999995</v>
      </c>
      <c r="H139" s="299">
        <v>4.4000000000000002E-4</v>
      </c>
      <c r="I139" s="299">
        <v>0.11899999999999999</v>
      </c>
      <c r="J139" s="299">
        <v>0</v>
      </c>
      <c r="K139" s="299">
        <v>0</v>
      </c>
      <c r="L139" s="303">
        <f>(0.027+0.042+0.064+4.35+0.017+0.019+0.77+0.011+0.013+0.015)/100</f>
        <v>5.3279999999999994E-2</v>
      </c>
      <c r="M139" s="160">
        <f t="shared" ref="M139" si="190">SUM(G139:L139)</f>
        <v>0.99985099999999993</v>
      </c>
    </row>
    <row r="140" spans="4:13" x14ac:dyDescent="0.35">
      <c r="F140" s="47" t="s">
        <v>297</v>
      </c>
      <c r="G140" s="301">
        <f>G139*$M140</f>
        <v>43.1762382</v>
      </c>
      <c r="H140" s="301">
        <f t="shared" ref="H140" si="191">H139*$M140</f>
        <v>2.2968000000000002E-2</v>
      </c>
      <c r="I140" s="301">
        <f t="shared" ref="I140" si="192">I139*$M140</f>
        <v>6.2118000000000002</v>
      </c>
      <c r="J140" s="301">
        <f t="shared" ref="J140" si="193">J139*$M140</f>
        <v>0</v>
      </c>
      <c r="K140" s="301">
        <f t="shared" ref="K140" si="194">K139*$M140</f>
        <v>0</v>
      </c>
      <c r="L140" s="302">
        <f t="shared" ref="L140" si="195">L139*$M140</f>
        <v>2.7812159999999997</v>
      </c>
      <c r="M140" s="41">
        <v>52.2</v>
      </c>
    </row>
    <row r="141" spans="4:13" x14ac:dyDescent="0.35">
      <c r="D141" s="12" t="s">
        <v>311</v>
      </c>
      <c r="E141" s="12" t="s">
        <v>283</v>
      </c>
      <c r="F141" s="47" t="s">
        <v>46</v>
      </c>
      <c r="G141" s="299">
        <f>(24.8+0.42+21.3+3.84+25.7+8+0.023+0.27+0.32+0.071+2.28+0.4+3.14+0.63+0.19+0.27+5.12)/100</f>
        <v>0.96773999999999982</v>
      </c>
      <c r="H141" s="299">
        <f>(1-G141-(0.12+2.78+0.015)/100)*79.1/100</f>
        <v>2.4600100000001408E-3</v>
      </c>
      <c r="I141" s="299">
        <v>0</v>
      </c>
      <c r="J141" s="299">
        <f>(1-G141-(0.12+2.78+0.015)/100)*8.11/100</f>
        <v>2.5222100000001448E-4</v>
      </c>
      <c r="K141" s="299">
        <v>6.8000000000000005E-4</v>
      </c>
      <c r="L141" s="300">
        <f>(0.12+2.78+0.015)/100+(1-G141-(0.12+2.78+0.015)/100)*(9.66+3.11)/100</f>
        <v>2.954714700000002E-2</v>
      </c>
      <c r="M141" s="160">
        <f t="shared" ref="M141" si="196">SUM(G141:L141)</f>
        <v>1.0006793780000001</v>
      </c>
    </row>
    <row r="142" spans="4:13" x14ac:dyDescent="0.35">
      <c r="F142" s="47" t="s">
        <v>297</v>
      </c>
      <c r="G142" s="301">
        <f>G141*$M142</f>
        <v>2.3612855999999995</v>
      </c>
      <c r="H142" s="301">
        <f t="shared" ref="H142" si="197">H141*$M142</f>
        <v>6.0024244000003437E-3</v>
      </c>
      <c r="I142" s="301">
        <f t="shared" ref="I142" si="198">I141*$M142</f>
        <v>0</v>
      </c>
      <c r="J142" s="301">
        <f t="shared" ref="J142" si="199">J141*$M142</f>
        <v>6.1541924000003533E-4</v>
      </c>
      <c r="K142" s="301">
        <f t="shared" ref="K142" si="200">K141*$M142</f>
        <v>1.6592E-3</v>
      </c>
      <c r="L142" s="302">
        <f t="shared" ref="L142" si="201">L141*$M142</f>
        <v>7.2095038680000043E-2</v>
      </c>
      <c r="M142" s="41">
        <v>2.44</v>
      </c>
    </row>
    <row r="143" spans="4:13" x14ac:dyDescent="0.35">
      <c r="D143" s="12" t="s">
        <v>312</v>
      </c>
      <c r="E143" s="12" t="s">
        <v>283</v>
      </c>
      <c r="F143" s="47" t="s">
        <v>46</v>
      </c>
      <c r="G143" s="299">
        <f>(6.3+16.9+2.17+9.02+0.28+0.68+2.29+0.03+0.19+35.4+0.89+0.33+9.78+6.64+0.21+1.13+0.54)/100</f>
        <v>0.92779999999999985</v>
      </c>
      <c r="H143" s="299">
        <v>2.8E-3</v>
      </c>
      <c r="I143" s="299">
        <v>1.8599999999999998E-2</v>
      </c>
      <c r="J143" s="299">
        <v>2.3E-3</v>
      </c>
      <c r="K143" s="299">
        <v>0</v>
      </c>
      <c r="L143" s="300">
        <f>(4.59+0.027+0.21+0.0078)/100+(1-SUM(G143:K143)-(4.59+0.027+0.21+0.0078)/100)*(92.2+7.81)/100</f>
        <v>4.8500015200000211E-2</v>
      </c>
      <c r="M143" s="160">
        <f t="shared" ref="M143" si="202">SUM(G143:L143)</f>
        <v>1.0000000151999999</v>
      </c>
    </row>
    <row r="144" spans="4:13" x14ac:dyDescent="0.35">
      <c r="F144" s="47" t="s">
        <v>297</v>
      </c>
      <c r="G144" s="301">
        <f>G143*$M144</f>
        <v>31.916319999999992</v>
      </c>
      <c r="H144" s="301">
        <f t="shared" ref="H144" si="203">H143*$M144</f>
        <v>9.6319999999999989E-2</v>
      </c>
      <c r="I144" s="301">
        <f t="shared" ref="I144" si="204">I143*$M144</f>
        <v>0.63983999999999996</v>
      </c>
      <c r="J144" s="301">
        <f t="shared" ref="J144" si="205">J143*$M144</f>
        <v>7.9119999999999996E-2</v>
      </c>
      <c r="K144" s="301">
        <f t="shared" ref="K144" si="206">K143*$M144</f>
        <v>0</v>
      </c>
      <c r="L144" s="302">
        <f t="shared" ref="L144" si="207">L143*$M144</f>
        <v>1.6684005228800072</v>
      </c>
      <c r="M144" s="41">
        <v>34.4</v>
      </c>
    </row>
    <row r="145" spans="4:13" x14ac:dyDescent="0.35">
      <c r="D145" s="12" t="s">
        <v>313</v>
      </c>
      <c r="E145" s="12" t="s">
        <v>283</v>
      </c>
      <c r="F145" s="47" t="s">
        <v>46</v>
      </c>
      <c r="G145" s="299">
        <f>(7.45+15.3+11.9+3.87+3.49+1.53+10.1+2.71+0.28+3.04+6.02+9.21+11.4+0.062+1.88+0.96)/100</f>
        <v>0.89202000000000004</v>
      </c>
      <c r="H145" s="299">
        <v>6.1000000000000004E-3</v>
      </c>
      <c r="I145" s="299">
        <v>0</v>
      </c>
      <c r="J145" s="299">
        <v>1.2200000000000001E-2</v>
      </c>
      <c r="K145" s="299">
        <v>0</v>
      </c>
      <c r="L145" s="300">
        <f>(2.89+0.72+0.042+0.011+5.03+0.16)/100</f>
        <v>8.8530000000000011E-2</v>
      </c>
      <c r="M145" s="160">
        <f t="shared" ref="M145" si="208">SUM(G145:L145)</f>
        <v>0.99885000000000002</v>
      </c>
    </row>
    <row r="146" spans="4:13" x14ac:dyDescent="0.35">
      <c r="F146" s="47" t="s">
        <v>297</v>
      </c>
      <c r="G146" s="301">
        <f>G145*$M146</f>
        <v>19.356833999999999</v>
      </c>
      <c r="H146" s="301">
        <f t="shared" ref="H146" si="209">H145*$M146</f>
        <v>0.13237000000000002</v>
      </c>
      <c r="I146" s="301">
        <f t="shared" ref="I146" si="210">I145*$M146</f>
        <v>0</v>
      </c>
      <c r="J146" s="301">
        <f t="shared" ref="J146" si="211">J145*$M146</f>
        <v>0.26474000000000003</v>
      </c>
      <c r="K146" s="301">
        <f t="shared" ref="K146" si="212">K145*$M146</f>
        <v>0</v>
      </c>
      <c r="L146" s="302">
        <f t="shared" ref="L146" si="213">L145*$M146</f>
        <v>1.9211010000000002</v>
      </c>
      <c r="M146" s="41">
        <v>21.7</v>
      </c>
    </row>
    <row r="147" spans="4:13" x14ac:dyDescent="0.35">
      <c r="D147" s="12" t="s">
        <v>314</v>
      </c>
      <c r="E147" s="12" t="s">
        <v>283</v>
      </c>
      <c r="F147" s="47" t="s">
        <v>46</v>
      </c>
      <c r="G147" s="299">
        <f>(2.64+75.7+5.24+2.22+0.84+0.048+0.012+4.19+0.17+0.094+3.04+0.55+1.02+0.82+0.035+0.46)/100</f>
        <v>0.97078999999999982</v>
      </c>
      <c r="H147" s="299">
        <v>0</v>
      </c>
      <c r="I147" s="299">
        <v>0</v>
      </c>
      <c r="J147" s="299">
        <v>5.2999999999999998E-4</v>
      </c>
      <c r="K147" s="299">
        <v>9.2999999999999997E-5</v>
      </c>
      <c r="L147" s="300">
        <f>(0.027+1.52+0.07+0.82+0.24+0.087+0.076)/100</f>
        <v>2.8399999999999998E-2</v>
      </c>
      <c r="M147" s="160">
        <f t="shared" ref="M147" si="214">SUM(G147:L147)</f>
        <v>0.99981299999999984</v>
      </c>
    </row>
    <row r="148" spans="4:13" x14ac:dyDescent="0.35">
      <c r="F148" s="47" t="s">
        <v>297</v>
      </c>
      <c r="G148" s="301">
        <f>G147*$M148</f>
        <v>53.005133999999991</v>
      </c>
      <c r="H148" s="301">
        <f t="shared" ref="H148" si="215">H147*$M148</f>
        <v>0</v>
      </c>
      <c r="I148" s="301">
        <f t="shared" ref="I148" si="216">I147*$M148</f>
        <v>0</v>
      </c>
      <c r="J148" s="301">
        <f t="shared" ref="J148" si="217">J147*$M148</f>
        <v>2.8937999999999998E-2</v>
      </c>
      <c r="K148" s="301">
        <f t="shared" ref="K148" si="218">K147*$M148</f>
        <v>5.0778000000000004E-3</v>
      </c>
      <c r="L148" s="302">
        <f t="shared" ref="L148" si="219">L147*$M148</f>
        <v>1.55064</v>
      </c>
      <c r="M148" s="41">
        <v>54.6</v>
      </c>
    </row>
    <row r="149" spans="4:13" x14ac:dyDescent="0.35">
      <c r="D149" s="12" t="s">
        <v>315</v>
      </c>
      <c r="E149" s="12" t="s">
        <v>283</v>
      </c>
      <c r="F149" s="47" t="s">
        <v>46</v>
      </c>
      <c r="G149" s="299">
        <f>(0.18+9.11+7.53+4.41+0.45+0.77+2.09+37.7+5.93+0.15+0.2+0.0053+1.92+0.74+7.51+0.66+0.75+0.53)/100</f>
        <v>0.8063530000000001</v>
      </c>
      <c r="H149" s="299">
        <v>5.16E-2</v>
      </c>
      <c r="I149" s="299">
        <v>1.8499999999999999E-2</v>
      </c>
      <c r="J149" s="299">
        <v>2.3099999999999999E-2</v>
      </c>
      <c r="K149" s="299">
        <v>5.5000000000000003E-4</v>
      </c>
      <c r="L149" s="300">
        <f>(0.21+0.18+5.82+0.2+0.28+0.011+3.27)/100</f>
        <v>9.9710000000000007E-2</v>
      </c>
      <c r="M149" s="160">
        <f t="shared" ref="M149" si="220">SUM(G149:L149)</f>
        <v>0.99981300000000006</v>
      </c>
    </row>
    <row r="150" spans="4:13" x14ac:dyDescent="0.35">
      <c r="F150" s="47" t="s">
        <v>297</v>
      </c>
      <c r="G150" s="301">
        <f>G149*$M150</f>
        <v>7.0394616900000013</v>
      </c>
      <c r="H150" s="301">
        <f t="shared" ref="H150" si="221">H149*$M150</f>
        <v>0.45046800000000004</v>
      </c>
      <c r="I150" s="301">
        <f t="shared" ref="I150" si="222">I149*$M150</f>
        <v>0.16150500000000001</v>
      </c>
      <c r="J150" s="301">
        <f t="shared" ref="J150" si="223">J149*$M150</f>
        <v>0.20166300000000001</v>
      </c>
      <c r="K150" s="301">
        <f t="shared" ref="K150" si="224">K149*$M150</f>
        <v>4.8015000000000002E-3</v>
      </c>
      <c r="L150" s="302">
        <f t="shared" ref="L150" si="225">L149*$M150</f>
        <v>0.87046830000000008</v>
      </c>
      <c r="M150" s="41">
        <v>8.73</v>
      </c>
    </row>
    <row r="151" spans="4:13" x14ac:dyDescent="0.35">
      <c r="D151" s="12" t="s">
        <v>316</v>
      </c>
      <c r="E151" s="12" t="s">
        <v>283</v>
      </c>
      <c r="F151" s="47" t="s">
        <v>46</v>
      </c>
      <c r="G151" s="299">
        <f>(0.5+14.2+1.19+4.91+1.72+0.032+8.35+21.2+0.034+4.03+37.8+0.39+3.51+0.53+0.031)/100</f>
        <v>0.98426999999999998</v>
      </c>
      <c r="H151" s="299">
        <f>(1-G151-(0.0083+1.45+0.018)/100)*59/100</f>
        <v>5.7053000000001277E-4</v>
      </c>
      <c r="I151" s="299">
        <v>0</v>
      </c>
      <c r="J151" s="299">
        <v>0</v>
      </c>
      <c r="K151" s="299">
        <v>3.2000000000000003E-4</v>
      </c>
      <c r="L151" s="300">
        <f>(0.0083+1.45+0.018)/100+(1-G151-(0.0083+1.45+0.018)/100)*(26.1+14.9)/100</f>
        <v>1.5159470000000008E-2</v>
      </c>
      <c r="M151" s="160">
        <f t="shared" ref="M151" si="226">SUM(G151:L151)</f>
        <v>1.0003199999999999</v>
      </c>
    </row>
    <row r="152" spans="4:13" x14ac:dyDescent="0.35">
      <c r="F152" s="47" t="s">
        <v>297</v>
      </c>
      <c r="G152" s="301">
        <f>G151*$M152</f>
        <v>18.012141</v>
      </c>
      <c r="H152" s="301">
        <f t="shared" ref="H152" si="227">H151*$M152</f>
        <v>1.0440699000000234E-2</v>
      </c>
      <c r="I152" s="301">
        <f t="shared" ref="I152" si="228">I151*$M152</f>
        <v>0</v>
      </c>
      <c r="J152" s="301">
        <f t="shared" ref="J152" si="229">J151*$M152</f>
        <v>0</v>
      </c>
      <c r="K152" s="301">
        <f t="shared" ref="K152" si="230">K151*$M152</f>
        <v>5.856000000000001E-3</v>
      </c>
      <c r="L152" s="302">
        <f t="shared" ref="L152" si="231">L151*$M152</f>
        <v>0.27741830100000014</v>
      </c>
      <c r="M152" s="41">
        <v>18.3</v>
      </c>
    </row>
    <row r="153" spans="4:13" x14ac:dyDescent="0.35">
      <c r="D153" s="12" t="s">
        <v>317</v>
      </c>
      <c r="E153" s="12" t="s">
        <v>283</v>
      </c>
      <c r="F153" s="47" t="s">
        <v>46</v>
      </c>
      <c r="G153" s="299">
        <f>(0.059+1.13+42+2.89+1.96+2.27+14.3+0.74+0.11+3.75+9.22+6.4+3.64+1.08+6.4+0.094+0.072)/100</f>
        <v>0.96115000000000006</v>
      </c>
      <c r="H153" s="299">
        <f>(1-G153-I153-(0.029+0.024)/100)*94.9/100</f>
        <v>1.4253979999999944E-2</v>
      </c>
      <c r="I153" s="299">
        <v>2.3300000000000001E-2</v>
      </c>
      <c r="J153" s="299">
        <v>0</v>
      </c>
      <c r="K153" s="299">
        <v>0</v>
      </c>
      <c r="L153" s="300">
        <f>(0.029+0.024)/100+(1-G153-I153-(0.029+0.024)/100)*(2.85+2.27)/100</f>
        <v>1.2990239999999971E-3</v>
      </c>
      <c r="M153" s="160">
        <f t="shared" ref="M153" si="232">SUM(G153:L153)</f>
        <v>1.0000030040000001</v>
      </c>
    </row>
    <row r="154" spans="4:13" x14ac:dyDescent="0.35">
      <c r="F154" s="47" t="s">
        <v>297</v>
      </c>
      <c r="G154" s="301">
        <f>G153*$M154</f>
        <v>12.398835000000002</v>
      </c>
      <c r="H154" s="301">
        <f t="shared" ref="H154" si="233">H153*$M154</f>
        <v>0.18387634199999928</v>
      </c>
      <c r="I154" s="301">
        <f t="shared" ref="I154" si="234">I153*$M154</f>
        <v>0.30057</v>
      </c>
      <c r="J154" s="301">
        <f t="shared" ref="J154" si="235">J153*$M154</f>
        <v>0</v>
      </c>
      <c r="K154" s="301">
        <f t="shared" ref="K154" si="236">K153*$M154</f>
        <v>0</v>
      </c>
      <c r="L154" s="302">
        <f t="shared" ref="L154" si="237">L153*$M154</f>
        <v>1.6757409599999964E-2</v>
      </c>
      <c r="M154" s="41">
        <v>12.9</v>
      </c>
    </row>
    <row r="155" spans="4:13" x14ac:dyDescent="0.35">
      <c r="D155" s="12" t="s">
        <v>318</v>
      </c>
      <c r="E155" s="12" t="s">
        <v>283</v>
      </c>
      <c r="F155" s="47" t="s">
        <v>46</v>
      </c>
      <c r="G155" s="299">
        <f>(0.6+9.99+1.16+1.01+3.5+1.76+21.6+18.5+0.7+0.34+4.63+17.3+0.026+0.24+3.79+3.45)/100</f>
        <v>0.88596000000000019</v>
      </c>
      <c r="H155" s="299">
        <v>8.3000000000000001E-3</v>
      </c>
      <c r="I155" s="299">
        <v>4.5999999999999999E-3</v>
      </c>
      <c r="J155" s="299">
        <v>0</v>
      </c>
      <c r="K155" s="299">
        <v>0</v>
      </c>
      <c r="L155" s="300">
        <f>(0.45+1.81+7.26+0.19+0.36)/100</f>
        <v>0.10069999999999998</v>
      </c>
      <c r="M155" s="160">
        <f t="shared" ref="M155" si="238">SUM(G155:L155)</f>
        <v>0.99956000000000023</v>
      </c>
    </row>
    <row r="156" spans="4:13" x14ac:dyDescent="0.35">
      <c r="F156" s="47" t="s">
        <v>297</v>
      </c>
      <c r="G156" s="301">
        <f>G155*$M156</f>
        <v>3.3134904000000009</v>
      </c>
      <c r="H156" s="301">
        <f t="shared" ref="H156" si="239">H155*$M156</f>
        <v>3.1042000000000004E-2</v>
      </c>
      <c r="I156" s="301">
        <f t="shared" ref="I156" si="240">I155*$M156</f>
        <v>1.7204000000000001E-2</v>
      </c>
      <c r="J156" s="301">
        <f t="shared" ref="J156" si="241">J155*$M156</f>
        <v>0</v>
      </c>
      <c r="K156" s="301">
        <f t="shared" ref="K156" si="242">K155*$M156</f>
        <v>0</v>
      </c>
      <c r="L156" s="302">
        <f t="shared" ref="L156" si="243">L155*$M156</f>
        <v>0.37661799999999995</v>
      </c>
      <c r="M156" s="41">
        <v>3.74</v>
      </c>
    </row>
    <row r="157" spans="4:13" x14ac:dyDescent="0.35">
      <c r="D157" s="12" t="s">
        <v>319</v>
      </c>
      <c r="E157" s="12" t="s">
        <v>283</v>
      </c>
      <c r="F157" s="47" t="s">
        <v>46</v>
      </c>
      <c r="G157" s="306">
        <f>(12.2+7.26+15.4+4.83+5.97+0.049+0.22+8.04+0.5+3.25+3.27+0.16+16.6+0.94+0.24)/100</f>
        <v>0.78928999999999983</v>
      </c>
      <c r="H157" s="299">
        <v>0</v>
      </c>
      <c r="I157" s="306">
        <v>0</v>
      </c>
      <c r="J157" s="299">
        <v>0</v>
      </c>
      <c r="K157" s="299">
        <v>4.2799999999999998E-2</v>
      </c>
      <c r="L157" s="300">
        <f>(15.2+1.55)/100+(1-G157-(15.2+1.55)/100)*(3.26+0.98)/100</f>
        <v>0.16933210400000001</v>
      </c>
      <c r="M157" s="160">
        <f t="shared" ref="M157" si="244">SUM(G157:L157)</f>
        <v>1.0014221039999998</v>
      </c>
    </row>
    <row r="158" spans="4:13" x14ac:dyDescent="0.35">
      <c r="F158" s="47" t="s">
        <v>297</v>
      </c>
      <c r="G158" s="301">
        <f>G157*$M158</f>
        <v>1.2233994999999998</v>
      </c>
      <c r="H158" s="301">
        <f t="shared" ref="H158" si="245">H157*$M158</f>
        <v>0</v>
      </c>
      <c r="I158" s="301">
        <f t="shared" ref="I158" si="246">I157*$M158</f>
        <v>0</v>
      </c>
      <c r="J158" s="301">
        <f t="shared" ref="J158" si="247">J157*$M158</f>
        <v>0</v>
      </c>
      <c r="K158" s="301">
        <f t="shared" ref="K158" si="248">K157*$M158</f>
        <v>6.6339999999999996E-2</v>
      </c>
      <c r="L158" s="302">
        <f t="shared" ref="L158" si="249">L157*$M158</f>
        <v>0.26246476120000001</v>
      </c>
      <c r="M158" s="41">
        <v>1.55</v>
      </c>
    </row>
    <row r="159" spans="4:13" x14ac:dyDescent="0.35">
      <c r="D159" s="12" t="s">
        <v>322</v>
      </c>
      <c r="E159" s="12" t="s">
        <v>283</v>
      </c>
      <c r="F159" s="47" t="s">
        <v>46</v>
      </c>
      <c r="G159" s="306">
        <f>(0.41+32.6+22.6+0.021+1.97+5.53+4.28+0.38+0.17+0.34+0.25+0.013+11.8+0.078)/100</f>
        <v>0.80442000000000002</v>
      </c>
      <c r="H159" s="299">
        <v>1.6000000000000001E-3</v>
      </c>
      <c r="I159" s="306">
        <v>4.2700000000000002E-2</v>
      </c>
      <c r="J159" s="299">
        <v>0</v>
      </c>
      <c r="K159" s="299">
        <v>0</v>
      </c>
      <c r="L159" s="300">
        <f>(0.67+14.4)/100</f>
        <v>0.1507</v>
      </c>
      <c r="M159" s="160">
        <f t="shared" ref="M159" si="250">SUM(G159:L159)</f>
        <v>0.99941999999999998</v>
      </c>
    </row>
    <row r="160" spans="4:13" x14ac:dyDescent="0.35">
      <c r="F160" s="47" t="s">
        <v>297</v>
      </c>
      <c r="G160" s="301">
        <f>G159*$M160</f>
        <v>5.1482880000000009</v>
      </c>
      <c r="H160" s="301">
        <f t="shared" ref="H160" si="251">H159*$M160</f>
        <v>1.0240000000000001E-2</v>
      </c>
      <c r="I160" s="301">
        <f t="shared" ref="I160" si="252">I159*$M160</f>
        <v>0.27328000000000002</v>
      </c>
      <c r="J160" s="301">
        <f t="shared" ref="J160" si="253">J159*$M160</f>
        <v>0</v>
      </c>
      <c r="K160" s="301">
        <f t="shared" ref="K160" si="254">K159*$M160</f>
        <v>0</v>
      </c>
      <c r="L160" s="302">
        <f t="shared" ref="L160" si="255">L159*$M160</f>
        <v>0.96448</v>
      </c>
      <c r="M160" s="41">
        <v>6.4</v>
      </c>
    </row>
    <row r="161" spans="4:13" x14ac:dyDescent="0.35">
      <c r="D161" s="12" t="s">
        <v>323</v>
      </c>
      <c r="E161" s="12" t="s">
        <v>283</v>
      </c>
      <c r="F161" s="47" t="s">
        <v>46</v>
      </c>
      <c r="G161" s="306">
        <f>(0.17+10.9+4.41+6.08+0.26+0.1+0.8+1.36+0.1+2.03+1.15+0.059)/100</f>
        <v>0.2741900000000001</v>
      </c>
      <c r="H161" s="299">
        <v>1.6500000000000001E-2</v>
      </c>
      <c r="I161" s="306">
        <v>2.4799999999999999E-2</v>
      </c>
      <c r="J161" s="299">
        <v>0</v>
      </c>
      <c r="K161" s="299">
        <v>0</v>
      </c>
      <c r="L161" s="300">
        <f>(68.3+0.032)/100+(1-SUM(G161:K161)-(68.3+0.032)/100)*1</f>
        <v>0.68450999999999995</v>
      </c>
      <c r="M161" s="160">
        <f t="shared" ref="M161" si="256">SUM(G161:L161)</f>
        <v>1</v>
      </c>
    </row>
    <row r="162" spans="4:13" x14ac:dyDescent="0.35">
      <c r="F162" s="47" t="s">
        <v>297</v>
      </c>
      <c r="G162" s="301">
        <f>G161*$M162</f>
        <v>1.7191713000000004</v>
      </c>
      <c r="H162" s="301">
        <f t="shared" ref="H162" si="257">H161*$M162</f>
        <v>0.10345499999999999</v>
      </c>
      <c r="I162" s="301">
        <f t="shared" ref="I162" si="258">I161*$M162</f>
        <v>0.155496</v>
      </c>
      <c r="J162" s="301">
        <f t="shared" ref="J162" si="259">J161*$M162</f>
        <v>0</v>
      </c>
      <c r="K162" s="301">
        <f t="shared" ref="K162" si="260">K161*$M162</f>
        <v>0</v>
      </c>
      <c r="L162" s="302">
        <f t="shared" ref="L162" si="261">L161*$M162</f>
        <v>4.2918776999999997</v>
      </c>
      <c r="M162" s="41">
        <v>6.27</v>
      </c>
    </row>
    <row r="163" spans="4:13" x14ac:dyDescent="0.35">
      <c r="D163" s="12" t="s">
        <v>324</v>
      </c>
      <c r="E163" s="12" t="s">
        <v>283</v>
      </c>
      <c r="F163" s="47" t="s">
        <v>46</v>
      </c>
      <c r="G163" s="306">
        <f>(0.52+15.3+0.015+3.76+22.4+0.4+1.48+1.74+1.31+3.89+1.52+0.059+1.66+0.0077+32.3+12)/100</f>
        <v>0.98361699999999985</v>
      </c>
      <c r="H163" s="299">
        <v>0</v>
      </c>
      <c r="I163" s="306">
        <f>(1-G163-(1.02+0.017)/100)*26/100</f>
        <v>1.5633800000000387E-3</v>
      </c>
      <c r="J163" s="299">
        <v>0</v>
      </c>
      <c r="K163" s="299">
        <v>1.9E-3</v>
      </c>
      <c r="L163" s="300">
        <f>(1.02+0.017)/100+(1-G163-K163-(1.02+0.017)/100)*74/100</f>
        <v>1.3413620000000109E-2</v>
      </c>
      <c r="M163" s="160">
        <f t="shared" ref="M163" si="262">SUM(G163:L163)</f>
        <v>1.000494</v>
      </c>
    </row>
    <row r="164" spans="4:13" x14ac:dyDescent="0.35">
      <c r="F164" s="47" t="s">
        <v>297</v>
      </c>
      <c r="G164" s="301">
        <f>G163*$M164</f>
        <v>3.4918403499999995</v>
      </c>
      <c r="H164" s="301">
        <f t="shared" ref="H164" si="263">H163*$M164</f>
        <v>0</v>
      </c>
      <c r="I164" s="301">
        <f t="shared" ref="I164" si="264">I163*$M164</f>
        <v>5.5499990000001369E-3</v>
      </c>
      <c r="J164" s="301">
        <f t="shared" ref="J164" si="265">J163*$M164</f>
        <v>0</v>
      </c>
      <c r="K164" s="301">
        <f t="shared" ref="K164" si="266">K163*$M164</f>
        <v>6.7449999999999993E-3</v>
      </c>
      <c r="L164" s="302">
        <f t="shared" ref="L164" si="267">L163*$M164</f>
        <v>4.7618351000000385E-2</v>
      </c>
      <c r="M164" s="41">
        <v>3.55</v>
      </c>
    </row>
    <row r="165" spans="4:13" x14ac:dyDescent="0.35">
      <c r="D165" s="12" t="s">
        <v>325</v>
      </c>
      <c r="E165" s="12" t="s">
        <v>283</v>
      </c>
      <c r="F165" s="47" t="s">
        <v>46</v>
      </c>
      <c r="G165" s="306">
        <f>(0.088+2.44+0.0061+4.83+1.5+81.9+0.62)/100</f>
        <v>0.91384100000000013</v>
      </c>
      <c r="H165" s="299">
        <v>4.0999999999999999E-4</v>
      </c>
      <c r="I165" s="306">
        <v>0</v>
      </c>
      <c r="J165" s="299">
        <v>0</v>
      </c>
      <c r="K165" s="299">
        <v>0</v>
      </c>
      <c r="L165" s="300">
        <f>(3.4+4.79+0.34)/100</f>
        <v>8.5299999999999987E-2</v>
      </c>
      <c r="M165" s="304">
        <f t="shared" ref="M165" si="268">SUM(G165:L165)</f>
        <v>0.99955100000000008</v>
      </c>
    </row>
    <row r="166" spans="4:13" x14ac:dyDescent="0.35">
      <c r="F166" s="47" t="s">
        <v>297</v>
      </c>
      <c r="G166" s="301">
        <f>G165*$M166</f>
        <v>0.70639909300000014</v>
      </c>
      <c r="H166" s="301">
        <f t="shared" ref="H166" si="269">H165*$M166</f>
        <v>3.1692999999999999E-4</v>
      </c>
      <c r="I166" s="301">
        <f t="shared" ref="I166" si="270">I165*$M166</f>
        <v>0</v>
      </c>
      <c r="J166" s="301">
        <f t="shared" ref="J166" si="271">J165*$M166</f>
        <v>0</v>
      </c>
      <c r="K166" s="301">
        <f t="shared" ref="K166" si="272">K165*$M166</f>
        <v>0</v>
      </c>
      <c r="L166" s="302">
        <f t="shared" ref="L166" si="273">L165*$M166</f>
        <v>6.5936899999999993E-2</v>
      </c>
      <c r="M166" s="41">
        <v>0.77300000000000002</v>
      </c>
    </row>
    <row r="168" spans="4:13" x14ac:dyDescent="0.35">
      <c r="D168" s="6" t="s">
        <v>320</v>
      </c>
      <c r="E168" s="6" t="s">
        <v>283</v>
      </c>
      <c r="F168" s="266" t="s">
        <v>46</v>
      </c>
      <c r="G168" s="296">
        <f>G169/$M$169</f>
        <v>0.82194004052291281</v>
      </c>
      <c r="H168" s="296">
        <f t="shared" ref="H168:L168" si="274">H169/$M$169</f>
        <v>9.6362342633008104E-3</v>
      </c>
      <c r="I168" s="296">
        <f>I169/$M$169</f>
        <v>2.1710290038124094E-2</v>
      </c>
      <c r="J168" s="296">
        <f t="shared" si="274"/>
        <v>1.8830706020920099E-3</v>
      </c>
      <c r="K168" s="296">
        <f t="shared" si="274"/>
        <v>1.6682939280405009E-4</v>
      </c>
      <c r="L168" s="297">
        <f t="shared" si="274"/>
        <v>0.14453655595700282</v>
      </c>
    </row>
    <row r="169" spans="4:13" x14ac:dyDescent="0.35">
      <c r="F169" s="47" t="s">
        <v>297</v>
      </c>
      <c r="G169" s="41">
        <f>G114+G116+G118+G120+G122+G124+G126+G126+G128+G130+G132+G134+G136+G138+G140+G142+G144+G146+G148+G150+G152+G154+G156+G158+G160+G162+G164+G166</f>
        <v>640.81157961300005</v>
      </c>
      <c r="H169" s="41">
        <f t="shared" ref="H169:K169" si="275">H114+H116+H118+H120+H122+H124+H126+H126+H128+H130+H132+H134+H136+H138+H140+H142+H144+H146+H148+H150+H152+H154+H156+H158+H160+H162+H164+H166</f>
        <v>7.5127262274</v>
      </c>
      <c r="I169" s="41">
        <f t="shared" si="275"/>
        <v>16.926058553292801</v>
      </c>
      <c r="J169" s="41">
        <f t="shared" si="275"/>
        <v>1.4681039827207998</v>
      </c>
      <c r="K169" s="41">
        <f t="shared" si="275"/>
        <v>0.13006569999999998</v>
      </c>
      <c r="L169" s="295">
        <f>L114+L116+L118+L120+L122+L124+L126+L126+L128+L130+L132+L134+L136+L138+L140+L142+L144+L146+L148+L150+L152+L154+L156+L158+L160+L162+L164+L166</f>
        <v>112.68546873042597</v>
      </c>
      <c r="M169" s="41">
        <f>M114+M116+M118+M120+M122+M124+M126+M126+M128+M130+M132+M134+M136+M138+M140+M142+M144+M146+M148+M150+M152+M154+M156+M158+M160+M162+M164+M166</f>
        <v>779.63299999999992</v>
      </c>
    </row>
    <row r="170" spans="4:13" x14ac:dyDescent="0.35">
      <c r="M170" s="4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7FF6AC5190914D89FF8FC0AF0540FE" ma:contentTypeVersion="15" ma:contentTypeDescription="Creare un nuovo documento." ma:contentTypeScope="" ma:versionID="28a56e8dca09b467fa942315cf147876">
  <xsd:schema xmlns:xsd="http://www.w3.org/2001/XMLSchema" xmlns:xs="http://www.w3.org/2001/XMLSchema" xmlns:p="http://schemas.microsoft.com/office/2006/metadata/properties" xmlns:ns3="e657a442-71c8-406f-9398-806e25ddda86" xmlns:ns4="020d2ebf-5742-42da-963b-effaf8f11033" targetNamespace="http://schemas.microsoft.com/office/2006/metadata/properties" ma:root="true" ma:fieldsID="bde189296e3eb31998164fe61242effd" ns3:_="" ns4:_="">
    <xsd:import namespace="e657a442-71c8-406f-9398-806e25ddda86"/>
    <xsd:import namespace="020d2ebf-5742-42da-963b-effaf8f110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7a442-71c8-406f-9398-806e25ddd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d2ebf-5742-42da-963b-effaf8f110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57a442-71c8-406f-9398-806e25ddda86" xsi:nil="true"/>
  </documentManagement>
</p:properties>
</file>

<file path=customXml/itemProps1.xml><?xml version="1.0" encoding="utf-8"?>
<ds:datastoreItem xmlns:ds="http://schemas.openxmlformats.org/officeDocument/2006/customXml" ds:itemID="{BEB52FDF-BE4C-42D8-8FED-9DE34FB05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7a442-71c8-406f-9398-806e25ddda86"/>
    <ds:schemaRef ds:uri="020d2ebf-5742-42da-963b-effaf8f11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3C7AFB-7870-417E-8731-F4E8D84564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3BB1B-8988-4867-A87B-986680B50E85}">
  <ds:schemaRefs>
    <ds:schemaRef ds:uri="http://schemas.microsoft.com/office/2006/metadata/properties"/>
    <ds:schemaRef ds:uri="http://schemas.microsoft.com/office/infopath/2007/PartnerControls"/>
    <ds:schemaRef ds:uri="e657a442-71c8-406f-9398-806e25ddda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Steel_BF-BOF with H2</vt:lpstr>
      <vt:lpstr>Steel_BF-BOF with char (+CCUS)</vt:lpstr>
      <vt:lpstr>Steel_NG-DR</vt:lpstr>
      <vt:lpstr>Steel_100%H2-DR</vt:lpstr>
      <vt:lpstr>CO2 footprint</vt:lpstr>
      <vt:lpstr>Value added</vt:lpstr>
      <vt:lpstr>SUT_EU27</vt:lpstr>
      <vt:lpstr>MSUT</vt:lpstr>
      <vt:lpstr>Inputs by region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 Ghezzi</dc:creator>
  <cp:keywords/>
  <dc:description/>
  <cp:lastModifiedBy>Debora Ghezzi</cp:lastModifiedBy>
  <cp:revision/>
  <dcterms:created xsi:type="dcterms:W3CDTF">2023-10-30T09:30:05Z</dcterms:created>
  <dcterms:modified xsi:type="dcterms:W3CDTF">2024-03-15T11:59:06Z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0x010100D97FF6AC5190914D89FF8FC0AF0540FE</vt:lpwstr>
  </property>
</Properties>
</file>